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ustomProperty10.bin" ContentType="application/vnd.openxmlformats-officedocument.spreadsheetml.customProperty"/>
  <Override PartName="/xl/drawings/drawing10.xml" ContentType="application/vnd.openxmlformats-officedocument.drawing+xml"/>
  <Override PartName="/xl/customProperty11.bin" ContentType="application/vnd.openxmlformats-officedocument.spreadsheetml.customProperty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customProperty12.bin" ContentType="application/vnd.openxmlformats-officedocument.spreadsheetml.customProperty"/>
  <Override PartName="/xl/drawings/drawing12.xml" ContentType="application/vnd.openxmlformats-officedocument.drawing+xml"/>
  <Override PartName="/xl/customProperty13.bin" ContentType="application/vnd.openxmlformats-officedocument.spreadsheetml.customProperty"/>
  <Override PartName="/xl/drawings/drawing13.xml" ContentType="application/vnd.openxmlformats-officedocument.drawing+xml"/>
  <Override PartName="/xl/customProperty14.bin" ContentType="application/vnd.openxmlformats-officedocument.spreadsheetml.customProperty"/>
  <Override PartName="/xl/drawings/drawing14.xml" ContentType="application/vnd.openxmlformats-officedocument.drawing+xml"/>
  <Override PartName="/xl/customProperty15.bin" ContentType="application/vnd.openxmlformats-officedocument.spreadsheetml.customProperty"/>
  <Override PartName="/xl/drawings/drawing15.xml" ContentType="application/vnd.openxmlformats-officedocument.drawing+xml"/>
  <Override PartName="/xl/customProperty16.bin" ContentType="application/vnd.openxmlformats-officedocument.spreadsheetml.customProperty"/>
  <Override PartName="/xl/drawings/drawing16.xml" ContentType="application/vnd.openxmlformats-officedocument.drawing+xml"/>
  <Override PartName="/xl/customProperty17.bin" ContentType="application/vnd.openxmlformats-officedocument.spreadsheetml.customProperty"/>
  <Override PartName="/xl/drawings/drawing17.xml" ContentType="application/vnd.openxmlformats-officedocument.drawing+xml"/>
  <Override PartName="/xl/customProperty18.bin" ContentType="application/vnd.openxmlformats-officedocument.spreadsheetml.customProperty"/>
  <Override PartName="/xl/drawings/drawing18.xml" ContentType="application/vnd.openxmlformats-officedocument.drawing+xml"/>
  <Override PartName="/xl/customProperty19.bin" ContentType="application/vnd.openxmlformats-officedocument.spreadsheetml.customProperty"/>
  <Override PartName="/xl/drawings/drawing19.xml" ContentType="application/vnd.openxmlformats-officedocument.drawing+xml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EstaPasta_de_trabalho"/>
  <workbookProtection workbookPassword="CF7A" lockStructure="1"/>
  <bookViews>
    <workbookView xWindow="120" yWindow="75" windowWidth="15600" windowHeight="9240" tabRatio="641"/>
  </bookViews>
  <sheets>
    <sheet name="apresentação" sheetId="22" r:id="rId1"/>
    <sheet name="instru" sheetId="5" r:id="rId2"/>
    <sheet name="calcest" sheetId="7" r:id="rId3"/>
    <sheet name="inserir_med" sheetId="8" r:id="rId4"/>
    <sheet name="fontes" sheetId="2" r:id="rId5"/>
    <sheet name="créditos" sheetId="3" r:id="rId6"/>
    <sheet name="estado" sheetId="9" r:id="rId7"/>
    <sheet name="compre" sheetId="10" r:id="rId8"/>
    <sheet name="calcu" sheetId="11" r:id="rId9"/>
    <sheet name="class" sheetId="12" r:id="rId10"/>
    <sheet name="medidas" sheetId="13" r:id="rId11"/>
    <sheet name="resultados" sheetId="14" r:id="rId12"/>
    <sheet name="tecantrop" sheetId="6" r:id="rId13"/>
    <sheet name="estatura" sheetId="15" r:id="rId14"/>
    <sheet name="cc" sheetId="16" r:id="rId15"/>
    <sheet name="pregacuta" sheetId="17" r:id="rId16"/>
    <sheet name="circunfpanturr" sheetId="18" r:id="rId17"/>
    <sheet name="altura do joelho" sheetId="20" r:id="rId18"/>
    <sheet name="outra" sheetId="19" r:id="rId19"/>
    <sheet name="Plan2" sheetId="21" state="hidden" r:id="rId20"/>
    <sheet name="DV-IDENTITY-0" sheetId="23" state="veryHidden" r:id="rId21"/>
  </sheets>
  <definedNames>
    <definedName name="_xlnm._FilterDatabase" localSheetId="11" hidden="1">resultados!#REF!</definedName>
  </definedNames>
  <calcPr calcId="145621" refMode="R1C1"/>
</workbook>
</file>

<file path=xl/calcChain.xml><?xml version="1.0" encoding="utf-8"?>
<calcChain xmlns="http://schemas.openxmlformats.org/spreadsheetml/2006/main">
  <c r="M7" i="13" l="1"/>
  <c r="N7" i="13"/>
  <c r="M8" i="13"/>
  <c r="N8" i="13"/>
  <c r="A185" i="23"/>
  <c r="A184" i="23"/>
  <c r="A183" i="23"/>
  <c r="A182" i="23"/>
  <c r="A181" i="23"/>
  <c r="A180" i="23"/>
  <c r="A179" i="23"/>
  <c r="A178" i="23"/>
  <c r="A177" i="23"/>
  <c r="A176" i="23"/>
  <c r="B176" i="23"/>
  <c r="C176" i="23"/>
  <c r="D176" i="23"/>
  <c r="E176" i="23"/>
  <c r="F176" i="23"/>
  <c r="G176" i="23"/>
  <c r="H176" i="23"/>
  <c r="I176" i="23"/>
  <c r="J176" i="23"/>
  <c r="K176" i="23"/>
  <c r="L176" i="23"/>
  <c r="M176" i="23"/>
  <c r="N176" i="23"/>
  <c r="O176" i="23"/>
  <c r="P176" i="23"/>
  <c r="Q176" i="23"/>
  <c r="R176" i="23"/>
  <c r="S176" i="23"/>
  <c r="T176" i="23"/>
  <c r="U176" i="23"/>
  <c r="V176" i="23"/>
  <c r="W176" i="23"/>
  <c r="X176" i="23"/>
  <c r="AB176" i="23"/>
  <c r="A175" i="23"/>
  <c r="B175" i="23"/>
  <c r="C175" i="23"/>
  <c r="D175" i="23"/>
  <c r="E175" i="23"/>
  <c r="F175" i="23"/>
  <c r="G175" i="23"/>
  <c r="H175" i="23"/>
  <c r="I175" i="23"/>
  <c r="J175" i="23"/>
  <c r="K175" i="23"/>
  <c r="L175" i="23"/>
  <c r="M175" i="23"/>
  <c r="N175" i="23"/>
  <c r="O175" i="23"/>
  <c r="P175" i="23"/>
  <c r="Q175" i="23"/>
  <c r="R175" i="23"/>
  <c r="S175" i="23"/>
  <c r="T175" i="23"/>
  <c r="U175" i="23"/>
  <c r="V175" i="23"/>
  <c r="W175" i="23"/>
  <c r="X175" i="23"/>
  <c r="Y175" i="23"/>
  <c r="Z175" i="23"/>
  <c r="AA175" i="23"/>
  <c r="AB175" i="23"/>
  <c r="AC175" i="23"/>
  <c r="AD175" i="23"/>
  <c r="AE175" i="23"/>
  <c r="AF175" i="23"/>
  <c r="AG175" i="23"/>
  <c r="AH175" i="23"/>
  <c r="AI175" i="23"/>
  <c r="AJ175" i="23"/>
  <c r="AK175" i="23"/>
  <c r="AL175" i="23"/>
  <c r="AM175" i="23"/>
  <c r="AN175" i="23"/>
  <c r="AO175" i="23"/>
  <c r="AP175" i="23"/>
  <c r="AQ175" i="23"/>
  <c r="AR175" i="23"/>
  <c r="AS175" i="23"/>
  <c r="AT175" i="23"/>
  <c r="AU175" i="23"/>
  <c r="AV175" i="23"/>
  <c r="AW175" i="23"/>
  <c r="AX175" i="23"/>
  <c r="AY175" i="23"/>
  <c r="AZ175" i="23"/>
  <c r="BA175" i="23"/>
  <c r="BB175" i="23"/>
  <c r="BC175" i="23"/>
  <c r="BD175" i="23"/>
  <c r="BE175" i="23"/>
  <c r="BF175" i="23"/>
  <c r="BG175" i="23"/>
  <c r="BH175" i="23"/>
  <c r="BI175" i="23"/>
  <c r="BJ175" i="23"/>
  <c r="BK175" i="23"/>
  <c r="BL175" i="23"/>
  <c r="BM175" i="23"/>
  <c r="BN175" i="23"/>
  <c r="BO175" i="23"/>
  <c r="BP175" i="23"/>
  <c r="BQ175" i="23"/>
  <c r="BR175" i="23"/>
  <c r="BS175" i="23"/>
  <c r="BT175" i="23"/>
  <c r="BU175" i="23"/>
  <c r="BV175" i="23"/>
  <c r="BW175" i="23"/>
  <c r="BX175" i="23"/>
  <c r="BY175" i="23"/>
  <c r="BZ175" i="23"/>
  <c r="CA175" i="23"/>
  <c r="CB175" i="23"/>
  <c r="CC175" i="23"/>
  <c r="CD175" i="23"/>
  <c r="CE175" i="23"/>
  <c r="CF175" i="23"/>
  <c r="CG175" i="23"/>
  <c r="CH175" i="23"/>
  <c r="CI175" i="23"/>
  <c r="CJ175" i="23"/>
  <c r="CK175" i="23"/>
  <c r="CL175" i="23"/>
  <c r="CM175" i="23"/>
  <c r="CN175" i="23"/>
  <c r="CO175" i="23"/>
  <c r="CP175" i="23"/>
  <c r="CQ175" i="23"/>
  <c r="CR175" i="23"/>
  <c r="CS175" i="23"/>
  <c r="CT175" i="23"/>
  <c r="CU175" i="23"/>
  <c r="CV175" i="23"/>
  <c r="CW175" i="23"/>
  <c r="CX175" i="23"/>
  <c r="CY175" i="23"/>
  <c r="CZ175" i="23"/>
  <c r="DA175" i="23"/>
  <c r="DB175" i="23"/>
  <c r="DC175" i="23"/>
  <c r="DD175" i="23"/>
  <c r="DE175" i="23"/>
  <c r="DF175" i="23"/>
  <c r="DG175" i="23"/>
  <c r="DH175" i="23"/>
  <c r="DI175" i="23"/>
  <c r="DJ175" i="23"/>
  <c r="DK175" i="23"/>
  <c r="DL175" i="23"/>
  <c r="DM175" i="23"/>
  <c r="DN175" i="23"/>
  <c r="DO175" i="23"/>
  <c r="DP175" i="23"/>
  <c r="DQ175" i="23"/>
  <c r="DR175" i="23"/>
  <c r="DS175" i="23"/>
  <c r="DT175" i="23"/>
  <c r="DU175" i="23"/>
  <c r="DV175" i="23"/>
  <c r="DW175" i="23"/>
  <c r="DX175" i="23"/>
  <c r="DY175" i="23"/>
  <c r="DZ175" i="23"/>
  <c r="EA175" i="23"/>
  <c r="EB175" i="23"/>
  <c r="EC175" i="23"/>
  <c r="ED175" i="23"/>
  <c r="EE175" i="23"/>
  <c r="EF175" i="23"/>
  <c r="EG175" i="23"/>
  <c r="EH175" i="23"/>
  <c r="EI175" i="23"/>
  <c r="EJ175" i="23"/>
  <c r="EK175" i="23"/>
  <c r="EL175" i="23"/>
  <c r="EM175" i="23"/>
  <c r="EN175" i="23"/>
  <c r="EO175" i="23"/>
  <c r="EP175" i="23"/>
  <c r="EQ175" i="23"/>
  <c r="ER175" i="23"/>
  <c r="ES175" i="23"/>
  <c r="ET175" i="23"/>
  <c r="EU175" i="23"/>
  <c r="EV175" i="23"/>
  <c r="EW175" i="23"/>
  <c r="EX175" i="23"/>
  <c r="EY175" i="23"/>
  <c r="EZ175" i="23"/>
  <c r="FA175" i="23"/>
  <c r="FB175" i="23"/>
  <c r="FC175" i="23"/>
  <c r="FD175" i="23"/>
  <c r="FE175" i="23"/>
  <c r="FF175" i="23"/>
  <c r="FG175" i="23"/>
  <c r="FH175" i="23"/>
  <c r="FI175" i="23"/>
  <c r="FJ175" i="23"/>
  <c r="FK175" i="23"/>
  <c r="FL175" i="23"/>
  <c r="FM175" i="23"/>
  <c r="FN175" i="23"/>
  <c r="FO175" i="23"/>
  <c r="FP175" i="23"/>
  <c r="FQ175" i="23"/>
  <c r="FR175" i="23"/>
  <c r="FS175" i="23"/>
  <c r="FT175" i="23"/>
  <c r="FU175" i="23"/>
  <c r="FV175" i="23"/>
  <c r="FW175" i="23"/>
  <c r="FX175" i="23"/>
  <c r="FY175" i="23"/>
  <c r="FZ175" i="23"/>
  <c r="GA175" i="23"/>
  <c r="GB175" i="23"/>
  <c r="GC175" i="23"/>
  <c r="GD175" i="23"/>
  <c r="GE175" i="23"/>
  <c r="GF175" i="23"/>
  <c r="GG175" i="23"/>
  <c r="GH175" i="23"/>
  <c r="GI175" i="23"/>
  <c r="GJ175" i="23"/>
  <c r="GK175" i="23"/>
  <c r="GL175" i="23"/>
  <c r="GM175" i="23"/>
  <c r="GN175" i="23"/>
  <c r="GO175" i="23"/>
  <c r="GP175" i="23"/>
  <c r="GQ175" i="23"/>
  <c r="GR175" i="23"/>
  <c r="GS175" i="23"/>
  <c r="GT175" i="23"/>
  <c r="GU175" i="23"/>
  <c r="GV175" i="23"/>
  <c r="GW175" i="23"/>
  <c r="GX175" i="23"/>
  <c r="GY175" i="23"/>
  <c r="GZ175" i="23"/>
  <c r="HA175" i="23"/>
  <c r="HB175" i="23"/>
  <c r="HC175" i="23"/>
  <c r="HD175" i="23"/>
  <c r="HE175" i="23"/>
  <c r="HF175" i="23"/>
  <c r="HG175" i="23"/>
  <c r="HH175" i="23"/>
  <c r="HI175" i="23"/>
  <c r="HJ175" i="23"/>
  <c r="HK175" i="23"/>
  <c r="HL175" i="23"/>
  <c r="HM175" i="23"/>
  <c r="HN175" i="23"/>
  <c r="HO175" i="23"/>
  <c r="HP175" i="23"/>
  <c r="HQ175" i="23"/>
  <c r="HR175" i="23"/>
  <c r="HS175" i="23"/>
  <c r="HT175" i="23"/>
  <c r="HU175" i="23"/>
  <c r="HV175" i="23"/>
  <c r="HW175" i="23"/>
  <c r="HX175" i="23"/>
  <c r="HY175" i="23"/>
  <c r="HZ175" i="23"/>
  <c r="IA175" i="23"/>
  <c r="IB175" i="23"/>
  <c r="IC175" i="23"/>
  <c r="ID175" i="23"/>
  <c r="IE175" i="23"/>
  <c r="IF175" i="23"/>
  <c r="IG175" i="23"/>
  <c r="IH175" i="23"/>
  <c r="II175" i="23"/>
  <c r="IJ175" i="23"/>
  <c r="IK175" i="23"/>
  <c r="IL175" i="23"/>
  <c r="IM175" i="23"/>
  <c r="IN175" i="23"/>
  <c r="IO175" i="23"/>
  <c r="IP175" i="23"/>
  <c r="IQ175" i="23"/>
  <c r="IR175" i="23"/>
  <c r="IS175" i="23"/>
  <c r="IT175" i="23"/>
  <c r="IU175" i="23"/>
  <c r="IV175" i="23"/>
  <c r="A174" i="23"/>
  <c r="B174" i="23"/>
  <c r="C174" i="23"/>
  <c r="D174" i="23"/>
  <c r="E174" i="23"/>
  <c r="F174" i="23"/>
  <c r="G174" i="23"/>
  <c r="H174" i="23"/>
  <c r="I174" i="23"/>
  <c r="J174" i="23"/>
  <c r="K174" i="23"/>
  <c r="L174" i="23"/>
  <c r="M174" i="23"/>
  <c r="N174" i="23"/>
  <c r="O174" i="23"/>
  <c r="P174" i="23"/>
  <c r="Q174" i="23"/>
  <c r="R174" i="23"/>
  <c r="S174" i="23"/>
  <c r="T174" i="23"/>
  <c r="U174" i="23"/>
  <c r="V174" i="23"/>
  <c r="W174" i="23"/>
  <c r="X174" i="23"/>
  <c r="Y174" i="23"/>
  <c r="Z174" i="23"/>
  <c r="AA174" i="23"/>
  <c r="AB174" i="23"/>
  <c r="AC174" i="23"/>
  <c r="AD174" i="23"/>
  <c r="AE174" i="23"/>
  <c r="AF174" i="23"/>
  <c r="AG174" i="23"/>
  <c r="AH174" i="23"/>
  <c r="AI174" i="23"/>
  <c r="AJ174" i="23"/>
  <c r="AK174" i="23"/>
  <c r="AL174" i="23"/>
  <c r="AM174" i="23"/>
  <c r="AN174" i="23"/>
  <c r="AO174" i="23"/>
  <c r="AP174" i="23"/>
  <c r="AQ174" i="23"/>
  <c r="AR174" i="23"/>
  <c r="AS174" i="23"/>
  <c r="AT174" i="23"/>
  <c r="AU174" i="23"/>
  <c r="AV174" i="23"/>
  <c r="AW174" i="23"/>
  <c r="AX174" i="23"/>
  <c r="AY174" i="23"/>
  <c r="AZ174" i="23"/>
  <c r="BA174" i="23"/>
  <c r="BB174" i="23"/>
  <c r="BC174" i="23"/>
  <c r="BD174" i="23"/>
  <c r="BE174" i="23"/>
  <c r="BF174" i="23"/>
  <c r="BG174" i="23"/>
  <c r="BH174" i="23"/>
  <c r="BI174" i="23"/>
  <c r="BJ174" i="23"/>
  <c r="BK174" i="23"/>
  <c r="BL174" i="23"/>
  <c r="BM174" i="23"/>
  <c r="BN174" i="23"/>
  <c r="BO174" i="23"/>
  <c r="BP174" i="23"/>
  <c r="BQ174" i="23"/>
  <c r="BR174" i="23"/>
  <c r="BS174" i="23"/>
  <c r="BT174" i="23"/>
  <c r="BU174" i="23"/>
  <c r="BV174" i="23"/>
  <c r="BW174" i="23"/>
  <c r="BX174" i="23"/>
  <c r="BY174" i="23"/>
  <c r="BZ174" i="23"/>
  <c r="CA174" i="23"/>
  <c r="CB174" i="23"/>
  <c r="CC174" i="23"/>
  <c r="CD174" i="23"/>
  <c r="CE174" i="23"/>
  <c r="CF174" i="23"/>
  <c r="CG174" i="23"/>
  <c r="CH174" i="23"/>
  <c r="CI174" i="23"/>
  <c r="CJ174" i="23"/>
  <c r="CK174" i="23"/>
  <c r="CL174" i="23"/>
  <c r="CM174" i="23"/>
  <c r="CN174" i="23"/>
  <c r="CO174" i="23"/>
  <c r="CP174" i="23"/>
  <c r="CQ174" i="23"/>
  <c r="CR174" i="23"/>
  <c r="CS174" i="23"/>
  <c r="CT174" i="23"/>
  <c r="CU174" i="23"/>
  <c r="CV174" i="23"/>
  <c r="CW174" i="23"/>
  <c r="CX174" i="23"/>
  <c r="CY174" i="23"/>
  <c r="CZ174" i="23"/>
  <c r="DA174" i="23"/>
  <c r="DB174" i="23"/>
  <c r="DC174" i="23"/>
  <c r="DD174" i="23"/>
  <c r="DE174" i="23"/>
  <c r="DF174" i="23"/>
  <c r="DG174" i="23"/>
  <c r="DH174" i="23"/>
  <c r="DI174" i="23"/>
  <c r="DJ174" i="23"/>
  <c r="DK174" i="23"/>
  <c r="DL174" i="23"/>
  <c r="DM174" i="23"/>
  <c r="DN174" i="23"/>
  <c r="DO174" i="23"/>
  <c r="DP174" i="23"/>
  <c r="DQ174" i="23"/>
  <c r="DR174" i="23"/>
  <c r="DS174" i="23"/>
  <c r="DT174" i="23"/>
  <c r="DU174" i="23"/>
  <c r="DV174" i="23"/>
  <c r="DW174" i="23"/>
  <c r="DX174" i="23"/>
  <c r="DY174" i="23"/>
  <c r="DZ174" i="23"/>
  <c r="EA174" i="23"/>
  <c r="EB174" i="23"/>
  <c r="EC174" i="23"/>
  <c r="ED174" i="23"/>
  <c r="EE174" i="23"/>
  <c r="EF174" i="23"/>
  <c r="EG174" i="23"/>
  <c r="EH174" i="23"/>
  <c r="EI174" i="23"/>
  <c r="EJ174" i="23"/>
  <c r="EK174" i="23"/>
  <c r="EL174" i="23"/>
  <c r="EM174" i="23"/>
  <c r="EN174" i="23"/>
  <c r="EO174" i="23"/>
  <c r="EP174" i="23"/>
  <c r="EQ174" i="23"/>
  <c r="ER174" i="23"/>
  <c r="ES174" i="23"/>
  <c r="ET174" i="23"/>
  <c r="EU174" i="23"/>
  <c r="EV174" i="23"/>
  <c r="EW174" i="23"/>
  <c r="EX174" i="23"/>
  <c r="EY174" i="23"/>
  <c r="EZ174" i="23"/>
  <c r="FA174" i="23"/>
  <c r="FB174" i="23"/>
  <c r="FC174" i="23"/>
  <c r="FD174" i="23"/>
  <c r="FE174" i="23"/>
  <c r="FF174" i="23"/>
  <c r="FG174" i="23"/>
  <c r="FH174" i="23"/>
  <c r="FI174" i="23"/>
  <c r="FJ174" i="23"/>
  <c r="FK174" i="23"/>
  <c r="FL174" i="23"/>
  <c r="FM174" i="23"/>
  <c r="FN174" i="23"/>
  <c r="FO174" i="23"/>
  <c r="FP174" i="23"/>
  <c r="FQ174" i="23"/>
  <c r="FR174" i="23"/>
  <c r="FS174" i="23"/>
  <c r="FT174" i="23"/>
  <c r="FU174" i="23"/>
  <c r="FV174" i="23"/>
  <c r="FW174" i="23"/>
  <c r="FX174" i="23"/>
  <c r="FY174" i="23"/>
  <c r="FZ174" i="23"/>
  <c r="GA174" i="23"/>
  <c r="GB174" i="23"/>
  <c r="GC174" i="23"/>
  <c r="GD174" i="23"/>
  <c r="GE174" i="23"/>
  <c r="GF174" i="23"/>
  <c r="GG174" i="23"/>
  <c r="GH174" i="23"/>
  <c r="GI174" i="23"/>
  <c r="GJ174" i="23"/>
  <c r="GK174" i="23"/>
  <c r="GL174" i="23"/>
  <c r="GM174" i="23"/>
  <c r="GN174" i="23"/>
  <c r="GO174" i="23"/>
  <c r="GP174" i="23"/>
  <c r="GQ174" i="23"/>
  <c r="GR174" i="23"/>
  <c r="GS174" i="23"/>
  <c r="GT174" i="23"/>
  <c r="GU174" i="23"/>
  <c r="GV174" i="23"/>
  <c r="GW174" i="23"/>
  <c r="GX174" i="23"/>
  <c r="GY174" i="23"/>
  <c r="GZ174" i="23"/>
  <c r="HA174" i="23"/>
  <c r="HB174" i="23"/>
  <c r="HC174" i="23"/>
  <c r="HD174" i="23"/>
  <c r="HE174" i="23"/>
  <c r="HF174" i="23"/>
  <c r="HG174" i="23"/>
  <c r="HH174" i="23"/>
  <c r="HI174" i="23"/>
  <c r="HJ174" i="23"/>
  <c r="HK174" i="23"/>
  <c r="HL174" i="23"/>
  <c r="HM174" i="23"/>
  <c r="HN174" i="23"/>
  <c r="HO174" i="23"/>
  <c r="HP174" i="23"/>
  <c r="HQ174" i="23"/>
  <c r="HR174" i="23"/>
  <c r="HS174" i="23"/>
  <c r="HT174" i="23"/>
  <c r="HU174" i="23"/>
  <c r="HV174" i="23"/>
  <c r="HW174" i="23"/>
  <c r="HX174" i="23"/>
  <c r="HY174" i="23"/>
  <c r="HZ174" i="23"/>
  <c r="IA174" i="23"/>
  <c r="IB174" i="23"/>
  <c r="IC174" i="23"/>
  <c r="ID174" i="23"/>
  <c r="IE174" i="23"/>
  <c r="IF174" i="23"/>
  <c r="IG174" i="23"/>
  <c r="IH174" i="23"/>
  <c r="II174" i="23"/>
  <c r="IJ174" i="23"/>
  <c r="IK174" i="23"/>
  <c r="IL174" i="23"/>
  <c r="IM174" i="23"/>
  <c r="IN174" i="23"/>
  <c r="IO174" i="23"/>
  <c r="IP174" i="23"/>
  <c r="IQ174" i="23"/>
  <c r="IR174" i="23"/>
  <c r="IS174" i="23"/>
  <c r="IT174" i="23"/>
  <c r="IU174" i="23"/>
  <c r="IV174" i="23"/>
  <c r="A173" i="23"/>
  <c r="B173" i="23"/>
  <c r="C173" i="23"/>
  <c r="D173" i="23"/>
  <c r="E173" i="23"/>
  <c r="F173" i="23"/>
  <c r="G173" i="23"/>
  <c r="H173" i="23"/>
  <c r="I173" i="23"/>
  <c r="J173" i="23"/>
  <c r="K173" i="23"/>
  <c r="L173" i="23"/>
  <c r="M173" i="23"/>
  <c r="N173" i="23"/>
  <c r="O173" i="23"/>
  <c r="P173" i="23"/>
  <c r="Q173" i="23"/>
  <c r="R173" i="23"/>
  <c r="S173" i="23"/>
  <c r="T173" i="23"/>
  <c r="U173" i="23"/>
  <c r="V173" i="23"/>
  <c r="W173" i="23"/>
  <c r="X173" i="23"/>
  <c r="Y173" i="23"/>
  <c r="Z173" i="23"/>
  <c r="AA173" i="23"/>
  <c r="AB173" i="23"/>
  <c r="AC173" i="23"/>
  <c r="AD173" i="23"/>
  <c r="AE173" i="23"/>
  <c r="AF173" i="23"/>
  <c r="AG173" i="23"/>
  <c r="AH173" i="23"/>
  <c r="AI173" i="23"/>
  <c r="AJ173" i="23"/>
  <c r="AK173" i="23"/>
  <c r="AL173" i="23"/>
  <c r="AM173" i="23"/>
  <c r="AN173" i="23"/>
  <c r="AO173" i="23"/>
  <c r="AP173" i="23"/>
  <c r="AQ173" i="23"/>
  <c r="AR173" i="23"/>
  <c r="AS173" i="23"/>
  <c r="AT173" i="23"/>
  <c r="AU173" i="23"/>
  <c r="AV173" i="23"/>
  <c r="AW173" i="23"/>
  <c r="AX173" i="23"/>
  <c r="AY173" i="23"/>
  <c r="AZ173" i="23"/>
  <c r="BA173" i="23"/>
  <c r="BB173" i="23"/>
  <c r="BC173" i="23"/>
  <c r="BD173" i="23"/>
  <c r="BE173" i="23"/>
  <c r="BF173" i="23"/>
  <c r="BG173" i="23"/>
  <c r="BH173" i="23"/>
  <c r="BI173" i="23"/>
  <c r="BJ173" i="23"/>
  <c r="BK173" i="23"/>
  <c r="BL173" i="23"/>
  <c r="BM173" i="23"/>
  <c r="BN173" i="23"/>
  <c r="BO173" i="23"/>
  <c r="BP173" i="23"/>
  <c r="BQ173" i="23"/>
  <c r="BR173" i="23"/>
  <c r="BS173" i="23"/>
  <c r="BT173" i="23"/>
  <c r="BU173" i="23"/>
  <c r="BV173" i="23"/>
  <c r="BW173" i="23"/>
  <c r="BX173" i="23"/>
  <c r="BY173" i="23"/>
  <c r="BZ173" i="23"/>
  <c r="CA173" i="23"/>
  <c r="CB173" i="23"/>
  <c r="CC173" i="23"/>
  <c r="CD173" i="23"/>
  <c r="CE173" i="23"/>
  <c r="CF173" i="23"/>
  <c r="CG173" i="23"/>
  <c r="CH173" i="23"/>
  <c r="CI173" i="23"/>
  <c r="CJ173" i="23"/>
  <c r="CK173" i="23"/>
  <c r="CL173" i="23"/>
  <c r="CM173" i="23"/>
  <c r="CN173" i="23"/>
  <c r="CO173" i="23"/>
  <c r="CP173" i="23"/>
  <c r="CQ173" i="23"/>
  <c r="CR173" i="23"/>
  <c r="CS173" i="23"/>
  <c r="CT173" i="23"/>
  <c r="CU173" i="23"/>
  <c r="CV173" i="23"/>
  <c r="CW173" i="23"/>
  <c r="CX173" i="23"/>
  <c r="CY173" i="23"/>
  <c r="CZ173" i="23"/>
  <c r="DA173" i="23"/>
  <c r="DB173" i="23"/>
  <c r="DC173" i="23"/>
  <c r="DD173" i="23"/>
  <c r="DE173" i="23"/>
  <c r="DF173" i="23"/>
  <c r="DG173" i="23"/>
  <c r="DH173" i="23"/>
  <c r="DI173" i="23"/>
  <c r="DJ173" i="23"/>
  <c r="DK173" i="23"/>
  <c r="DL173" i="23"/>
  <c r="DM173" i="23"/>
  <c r="DN173" i="23"/>
  <c r="DO173" i="23"/>
  <c r="DP173" i="23"/>
  <c r="DQ173" i="23"/>
  <c r="DR173" i="23"/>
  <c r="DS173" i="23"/>
  <c r="DT173" i="23"/>
  <c r="DU173" i="23"/>
  <c r="DV173" i="23"/>
  <c r="DW173" i="23"/>
  <c r="DX173" i="23"/>
  <c r="DY173" i="23"/>
  <c r="DZ173" i="23"/>
  <c r="EA173" i="23"/>
  <c r="EB173" i="23"/>
  <c r="EC173" i="23"/>
  <c r="ED173" i="23"/>
  <c r="EE173" i="23"/>
  <c r="EF173" i="23"/>
  <c r="EG173" i="23"/>
  <c r="EH173" i="23"/>
  <c r="EI173" i="23"/>
  <c r="EJ173" i="23"/>
  <c r="EK173" i="23"/>
  <c r="EL173" i="23"/>
  <c r="EM173" i="23"/>
  <c r="EN173" i="23"/>
  <c r="EO173" i="23"/>
  <c r="EP173" i="23"/>
  <c r="EQ173" i="23"/>
  <c r="ER173" i="23"/>
  <c r="ES173" i="23"/>
  <c r="ET173" i="23"/>
  <c r="EU173" i="23"/>
  <c r="EV173" i="23"/>
  <c r="EW173" i="23"/>
  <c r="EX173" i="23"/>
  <c r="EY173" i="23"/>
  <c r="EZ173" i="23"/>
  <c r="FA173" i="23"/>
  <c r="FB173" i="23"/>
  <c r="FC173" i="23"/>
  <c r="FD173" i="23"/>
  <c r="FE173" i="23"/>
  <c r="FF173" i="23"/>
  <c r="FG173" i="23"/>
  <c r="FH173" i="23"/>
  <c r="FI173" i="23"/>
  <c r="FJ173" i="23"/>
  <c r="FK173" i="23"/>
  <c r="FL173" i="23"/>
  <c r="FM173" i="23"/>
  <c r="FN173" i="23"/>
  <c r="FO173" i="23"/>
  <c r="FP173" i="23"/>
  <c r="FQ173" i="23"/>
  <c r="FR173" i="23"/>
  <c r="FS173" i="23"/>
  <c r="FT173" i="23"/>
  <c r="FU173" i="23"/>
  <c r="FV173" i="23"/>
  <c r="FW173" i="23"/>
  <c r="FX173" i="23"/>
  <c r="FY173" i="23"/>
  <c r="FZ173" i="23"/>
  <c r="GA173" i="23"/>
  <c r="GB173" i="23"/>
  <c r="GC173" i="23"/>
  <c r="GD173" i="23"/>
  <c r="GE173" i="23"/>
  <c r="GF173" i="23"/>
  <c r="GG173" i="23"/>
  <c r="GH173" i="23"/>
  <c r="GI173" i="23"/>
  <c r="GJ173" i="23"/>
  <c r="GK173" i="23"/>
  <c r="GL173" i="23"/>
  <c r="GM173" i="23"/>
  <c r="GN173" i="23"/>
  <c r="GO173" i="23"/>
  <c r="GP173" i="23"/>
  <c r="GQ173" i="23"/>
  <c r="GR173" i="23"/>
  <c r="GS173" i="23"/>
  <c r="GT173" i="23"/>
  <c r="GU173" i="23"/>
  <c r="GV173" i="23"/>
  <c r="GW173" i="23"/>
  <c r="GX173" i="23"/>
  <c r="GY173" i="23"/>
  <c r="GZ173" i="23"/>
  <c r="HA173" i="23"/>
  <c r="HB173" i="23"/>
  <c r="HC173" i="23"/>
  <c r="HD173" i="23"/>
  <c r="HE173" i="23"/>
  <c r="HF173" i="23"/>
  <c r="HG173" i="23"/>
  <c r="HH173" i="23"/>
  <c r="HI173" i="23"/>
  <c r="HJ173" i="23"/>
  <c r="HK173" i="23"/>
  <c r="HL173" i="23"/>
  <c r="HM173" i="23"/>
  <c r="HN173" i="23"/>
  <c r="HO173" i="23"/>
  <c r="HP173" i="23"/>
  <c r="HQ173" i="23"/>
  <c r="HR173" i="23"/>
  <c r="HS173" i="23"/>
  <c r="HT173" i="23"/>
  <c r="HU173" i="23"/>
  <c r="HV173" i="23"/>
  <c r="HW173" i="23"/>
  <c r="HX173" i="23"/>
  <c r="HY173" i="23"/>
  <c r="HZ173" i="23"/>
  <c r="IA173" i="23"/>
  <c r="IB173" i="23"/>
  <c r="IC173" i="23"/>
  <c r="ID173" i="23"/>
  <c r="IE173" i="23"/>
  <c r="IF173" i="23"/>
  <c r="IG173" i="23"/>
  <c r="IH173" i="23"/>
  <c r="II173" i="23"/>
  <c r="IJ173" i="23"/>
  <c r="IK173" i="23"/>
  <c r="IL173" i="23"/>
  <c r="IM173" i="23"/>
  <c r="IN173" i="23"/>
  <c r="IO173" i="23"/>
  <c r="IP173" i="23"/>
  <c r="IQ173" i="23"/>
  <c r="IR173" i="23"/>
  <c r="IS173" i="23"/>
  <c r="IT173" i="23"/>
  <c r="IU173" i="23"/>
  <c r="IV173" i="23"/>
  <c r="A172" i="23"/>
  <c r="B172" i="23"/>
  <c r="C172" i="23"/>
  <c r="D172" i="23"/>
  <c r="E172" i="23"/>
  <c r="F172" i="23"/>
  <c r="G172" i="23"/>
  <c r="H172" i="23"/>
  <c r="I172" i="23"/>
  <c r="J172" i="23"/>
  <c r="K172" i="23"/>
  <c r="L172" i="23"/>
  <c r="M172" i="23"/>
  <c r="N172" i="23"/>
  <c r="O172" i="23"/>
  <c r="P172" i="23"/>
  <c r="Q172" i="23"/>
  <c r="R172" i="23"/>
  <c r="S172" i="23"/>
  <c r="T172" i="23"/>
  <c r="U172" i="23"/>
  <c r="V172" i="23"/>
  <c r="W172" i="23"/>
  <c r="X172" i="23"/>
  <c r="Y172" i="23"/>
  <c r="Z172" i="23"/>
  <c r="AA172" i="23"/>
  <c r="AB172" i="23"/>
  <c r="AC172" i="23"/>
  <c r="AD172" i="23"/>
  <c r="AE172" i="23"/>
  <c r="AF172" i="23"/>
  <c r="AG172" i="23"/>
  <c r="AH172" i="23"/>
  <c r="AI172" i="23"/>
  <c r="AJ172" i="23"/>
  <c r="AK172" i="23"/>
  <c r="AL172" i="23"/>
  <c r="AM172" i="23"/>
  <c r="AN172" i="23"/>
  <c r="AO172" i="23"/>
  <c r="AP172" i="23"/>
  <c r="AQ172" i="23"/>
  <c r="AR172" i="23"/>
  <c r="AS172" i="23"/>
  <c r="AT172" i="23"/>
  <c r="AU172" i="23"/>
  <c r="AV172" i="23"/>
  <c r="AW172" i="23"/>
  <c r="AX172" i="23"/>
  <c r="AY172" i="23"/>
  <c r="AZ172" i="23"/>
  <c r="BA172" i="23"/>
  <c r="BB172" i="23"/>
  <c r="BC172" i="23"/>
  <c r="BD172" i="23"/>
  <c r="BE172" i="23"/>
  <c r="BF172" i="23"/>
  <c r="BG172" i="23"/>
  <c r="BH172" i="23"/>
  <c r="BI172" i="23"/>
  <c r="BJ172" i="23"/>
  <c r="BK172" i="23"/>
  <c r="BL172" i="23"/>
  <c r="BM172" i="23"/>
  <c r="BN172" i="23"/>
  <c r="BO172" i="23"/>
  <c r="BP172" i="23"/>
  <c r="BQ172" i="23"/>
  <c r="BR172" i="23"/>
  <c r="BS172" i="23"/>
  <c r="BT172" i="23"/>
  <c r="BU172" i="23"/>
  <c r="BV172" i="23"/>
  <c r="BW172" i="23"/>
  <c r="BX172" i="23"/>
  <c r="BY172" i="23"/>
  <c r="BZ172" i="23"/>
  <c r="CA172" i="23"/>
  <c r="CB172" i="23"/>
  <c r="CC172" i="23"/>
  <c r="CD172" i="23"/>
  <c r="CE172" i="23"/>
  <c r="CF172" i="23"/>
  <c r="CG172" i="23"/>
  <c r="CH172" i="23"/>
  <c r="CI172" i="23"/>
  <c r="CJ172" i="23"/>
  <c r="CK172" i="23"/>
  <c r="CL172" i="23"/>
  <c r="CM172" i="23"/>
  <c r="CN172" i="23"/>
  <c r="CO172" i="23"/>
  <c r="CP172" i="23"/>
  <c r="CQ172" i="23"/>
  <c r="CR172" i="23"/>
  <c r="CS172" i="23"/>
  <c r="CT172" i="23"/>
  <c r="CU172" i="23"/>
  <c r="CV172" i="23"/>
  <c r="CW172" i="23"/>
  <c r="CX172" i="23"/>
  <c r="CY172" i="23"/>
  <c r="CZ172" i="23"/>
  <c r="DA172" i="23"/>
  <c r="DB172" i="23"/>
  <c r="DC172" i="23"/>
  <c r="DD172" i="23"/>
  <c r="DE172" i="23"/>
  <c r="DF172" i="23"/>
  <c r="DG172" i="23"/>
  <c r="DH172" i="23"/>
  <c r="DI172" i="23"/>
  <c r="DJ172" i="23"/>
  <c r="DK172" i="23"/>
  <c r="DL172" i="23"/>
  <c r="DM172" i="23"/>
  <c r="DN172" i="23"/>
  <c r="DO172" i="23"/>
  <c r="DP172" i="23"/>
  <c r="DQ172" i="23"/>
  <c r="DR172" i="23"/>
  <c r="DS172" i="23"/>
  <c r="DT172" i="23"/>
  <c r="DU172" i="23"/>
  <c r="DV172" i="23"/>
  <c r="DW172" i="23"/>
  <c r="DX172" i="23"/>
  <c r="DY172" i="23"/>
  <c r="DZ172" i="23"/>
  <c r="EA172" i="23"/>
  <c r="EB172" i="23"/>
  <c r="EC172" i="23"/>
  <c r="ED172" i="23"/>
  <c r="EE172" i="23"/>
  <c r="EF172" i="23"/>
  <c r="EG172" i="23"/>
  <c r="EH172" i="23"/>
  <c r="EI172" i="23"/>
  <c r="EJ172" i="23"/>
  <c r="EK172" i="23"/>
  <c r="EL172" i="23"/>
  <c r="EM172" i="23"/>
  <c r="EN172" i="23"/>
  <c r="EO172" i="23"/>
  <c r="EP172" i="23"/>
  <c r="EQ172" i="23"/>
  <c r="ER172" i="23"/>
  <c r="ES172" i="23"/>
  <c r="ET172" i="23"/>
  <c r="EU172" i="23"/>
  <c r="EV172" i="23"/>
  <c r="EW172" i="23"/>
  <c r="EX172" i="23"/>
  <c r="EY172" i="23"/>
  <c r="EZ172" i="23"/>
  <c r="FA172" i="23"/>
  <c r="FB172" i="23"/>
  <c r="FC172" i="23"/>
  <c r="FD172" i="23"/>
  <c r="FE172" i="23"/>
  <c r="FF172" i="23"/>
  <c r="FG172" i="23"/>
  <c r="FH172" i="23"/>
  <c r="FI172" i="23"/>
  <c r="FJ172" i="23"/>
  <c r="FK172" i="23"/>
  <c r="FL172" i="23"/>
  <c r="FM172" i="23"/>
  <c r="FN172" i="23"/>
  <c r="FO172" i="23"/>
  <c r="FP172" i="23"/>
  <c r="FQ172" i="23"/>
  <c r="FR172" i="23"/>
  <c r="FS172" i="23"/>
  <c r="FT172" i="23"/>
  <c r="FU172" i="23"/>
  <c r="FV172" i="23"/>
  <c r="FW172" i="23"/>
  <c r="FX172" i="23"/>
  <c r="FY172" i="23"/>
  <c r="FZ172" i="23"/>
  <c r="GA172" i="23"/>
  <c r="GB172" i="23"/>
  <c r="GC172" i="23"/>
  <c r="GD172" i="23"/>
  <c r="GE172" i="23"/>
  <c r="GF172" i="23"/>
  <c r="GG172" i="23"/>
  <c r="GH172" i="23"/>
  <c r="GI172" i="23"/>
  <c r="GJ172" i="23"/>
  <c r="GK172" i="23"/>
  <c r="GL172" i="23"/>
  <c r="GM172" i="23"/>
  <c r="GN172" i="23"/>
  <c r="GO172" i="23"/>
  <c r="GP172" i="23"/>
  <c r="GQ172" i="23"/>
  <c r="GR172" i="23"/>
  <c r="GS172" i="23"/>
  <c r="GT172" i="23"/>
  <c r="GU172" i="23"/>
  <c r="GV172" i="23"/>
  <c r="GW172" i="23"/>
  <c r="GX172" i="23"/>
  <c r="GY172" i="23"/>
  <c r="GZ172" i="23"/>
  <c r="HA172" i="23"/>
  <c r="HB172" i="23"/>
  <c r="HC172" i="23"/>
  <c r="HD172" i="23"/>
  <c r="HE172" i="23"/>
  <c r="HF172" i="23"/>
  <c r="HG172" i="23"/>
  <c r="HH172" i="23"/>
  <c r="HI172" i="23"/>
  <c r="HJ172" i="23"/>
  <c r="HK172" i="23"/>
  <c r="HL172" i="23"/>
  <c r="HM172" i="23"/>
  <c r="HN172" i="23"/>
  <c r="HO172" i="23"/>
  <c r="HP172" i="23"/>
  <c r="HQ172" i="23"/>
  <c r="HR172" i="23"/>
  <c r="HS172" i="23"/>
  <c r="HT172" i="23"/>
  <c r="HU172" i="23"/>
  <c r="HV172" i="23"/>
  <c r="HW172" i="23"/>
  <c r="HX172" i="23"/>
  <c r="HY172" i="23"/>
  <c r="HZ172" i="23"/>
  <c r="IA172" i="23"/>
  <c r="IB172" i="23"/>
  <c r="IC172" i="23"/>
  <c r="ID172" i="23"/>
  <c r="IE172" i="23"/>
  <c r="IF172" i="23"/>
  <c r="IG172" i="23"/>
  <c r="IH172" i="23"/>
  <c r="II172" i="23"/>
  <c r="IJ172" i="23"/>
  <c r="IK172" i="23"/>
  <c r="IL172" i="23"/>
  <c r="IM172" i="23"/>
  <c r="IN172" i="23"/>
  <c r="IO172" i="23"/>
  <c r="IP172" i="23"/>
  <c r="IQ172" i="23"/>
  <c r="IR172" i="23"/>
  <c r="IS172" i="23"/>
  <c r="IT172" i="23"/>
  <c r="IU172" i="23"/>
  <c r="IV172" i="23"/>
  <c r="A171" i="23"/>
  <c r="B171" i="23"/>
  <c r="C171" i="23"/>
  <c r="D171" i="23"/>
  <c r="E171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W171" i="23"/>
  <c r="X171" i="23"/>
  <c r="Y171" i="23"/>
  <c r="Z171" i="23"/>
  <c r="AA171" i="23"/>
  <c r="AB171" i="23"/>
  <c r="AC171" i="23"/>
  <c r="AD171" i="23"/>
  <c r="AE171" i="23"/>
  <c r="AF171" i="23"/>
  <c r="AG171" i="23"/>
  <c r="AH171" i="23"/>
  <c r="AI171" i="23"/>
  <c r="AJ171" i="23"/>
  <c r="AK171" i="23"/>
  <c r="AL171" i="23"/>
  <c r="AM171" i="23"/>
  <c r="AN171" i="23"/>
  <c r="AO171" i="23"/>
  <c r="AP171" i="23"/>
  <c r="AQ171" i="23"/>
  <c r="AR171" i="23"/>
  <c r="AS171" i="23"/>
  <c r="AT171" i="23"/>
  <c r="AU171" i="23"/>
  <c r="AV171" i="23"/>
  <c r="AW171" i="23"/>
  <c r="AX171" i="23"/>
  <c r="AY171" i="23"/>
  <c r="AZ171" i="23"/>
  <c r="BA171" i="23"/>
  <c r="BB171" i="23"/>
  <c r="BC171" i="23"/>
  <c r="BD171" i="23"/>
  <c r="BE171" i="23"/>
  <c r="BF171" i="23"/>
  <c r="BG171" i="23"/>
  <c r="BH171" i="23"/>
  <c r="BI171" i="23"/>
  <c r="BJ171" i="23"/>
  <c r="BK171" i="23"/>
  <c r="BL171" i="23"/>
  <c r="BM171" i="23"/>
  <c r="BN171" i="23"/>
  <c r="BO171" i="23"/>
  <c r="BP171" i="23"/>
  <c r="BQ171" i="23"/>
  <c r="BR171" i="23"/>
  <c r="BS171" i="23"/>
  <c r="BT171" i="23"/>
  <c r="BU171" i="23"/>
  <c r="BV171" i="23"/>
  <c r="BW171" i="23"/>
  <c r="BX171" i="23"/>
  <c r="BY171" i="23"/>
  <c r="BZ171" i="23"/>
  <c r="CA171" i="23"/>
  <c r="CB171" i="23"/>
  <c r="CC171" i="23"/>
  <c r="CD171" i="23"/>
  <c r="CE171" i="23"/>
  <c r="CF171" i="23"/>
  <c r="CG171" i="23"/>
  <c r="CH171" i="23"/>
  <c r="CI171" i="23"/>
  <c r="CJ171" i="23"/>
  <c r="CK171" i="23"/>
  <c r="CL171" i="23"/>
  <c r="CM171" i="23"/>
  <c r="CN171" i="23"/>
  <c r="CO171" i="23"/>
  <c r="CP171" i="23"/>
  <c r="CQ171" i="23"/>
  <c r="CR171" i="23"/>
  <c r="CS171" i="23"/>
  <c r="CT171" i="23"/>
  <c r="CU171" i="23"/>
  <c r="CV171" i="23"/>
  <c r="CW171" i="23"/>
  <c r="CX171" i="23"/>
  <c r="CY171" i="23"/>
  <c r="CZ171" i="23"/>
  <c r="DA171" i="23"/>
  <c r="DB171" i="23"/>
  <c r="DC171" i="23"/>
  <c r="DD171" i="23"/>
  <c r="DE171" i="23"/>
  <c r="DF171" i="23"/>
  <c r="DG171" i="23"/>
  <c r="DH171" i="23"/>
  <c r="DI171" i="23"/>
  <c r="DJ171" i="23"/>
  <c r="DK171" i="23"/>
  <c r="DL171" i="23"/>
  <c r="DM171" i="23"/>
  <c r="DN171" i="23"/>
  <c r="DO171" i="23"/>
  <c r="DP171" i="23"/>
  <c r="DQ171" i="23"/>
  <c r="DR171" i="23"/>
  <c r="DS171" i="23"/>
  <c r="DT171" i="23"/>
  <c r="DU171" i="23"/>
  <c r="DV171" i="23"/>
  <c r="DW171" i="23"/>
  <c r="DX171" i="23"/>
  <c r="DY171" i="23"/>
  <c r="DZ171" i="23"/>
  <c r="EA171" i="23"/>
  <c r="EB171" i="23"/>
  <c r="EC171" i="23"/>
  <c r="ED171" i="23"/>
  <c r="EE171" i="23"/>
  <c r="EF171" i="23"/>
  <c r="EG171" i="23"/>
  <c r="EH171" i="23"/>
  <c r="EI171" i="23"/>
  <c r="EJ171" i="23"/>
  <c r="EK171" i="23"/>
  <c r="EL171" i="23"/>
  <c r="EM171" i="23"/>
  <c r="EN171" i="23"/>
  <c r="EO171" i="23"/>
  <c r="EP171" i="23"/>
  <c r="EQ171" i="23"/>
  <c r="ER171" i="23"/>
  <c r="ES171" i="23"/>
  <c r="ET171" i="23"/>
  <c r="EU171" i="23"/>
  <c r="EV171" i="23"/>
  <c r="EW171" i="23"/>
  <c r="EX171" i="23"/>
  <c r="EY171" i="23"/>
  <c r="EZ171" i="23"/>
  <c r="FA171" i="23"/>
  <c r="FB171" i="23"/>
  <c r="FC171" i="23"/>
  <c r="FD171" i="23"/>
  <c r="FE171" i="23"/>
  <c r="FF171" i="23"/>
  <c r="FG171" i="23"/>
  <c r="FH171" i="23"/>
  <c r="FI171" i="23"/>
  <c r="FJ171" i="23"/>
  <c r="FK171" i="23"/>
  <c r="FL171" i="23"/>
  <c r="FM171" i="23"/>
  <c r="FN171" i="23"/>
  <c r="FO171" i="23"/>
  <c r="FP171" i="23"/>
  <c r="FQ171" i="23"/>
  <c r="FR171" i="23"/>
  <c r="FS171" i="23"/>
  <c r="FT171" i="23"/>
  <c r="FU171" i="23"/>
  <c r="FV171" i="23"/>
  <c r="FW171" i="23"/>
  <c r="FX171" i="23"/>
  <c r="FY171" i="23"/>
  <c r="FZ171" i="23"/>
  <c r="GA171" i="23"/>
  <c r="GB171" i="23"/>
  <c r="GC171" i="23"/>
  <c r="GD171" i="23"/>
  <c r="GE171" i="23"/>
  <c r="GF171" i="23"/>
  <c r="GG171" i="23"/>
  <c r="GH171" i="23"/>
  <c r="GI171" i="23"/>
  <c r="GJ171" i="23"/>
  <c r="GK171" i="23"/>
  <c r="GL171" i="23"/>
  <c r="GM171" i="23"/>
  <c r="GN171" i="23"/>
  <c r="GO171" i="23"/>
  <c r="GP171" i="23"/>
  <c r="GQ171" i="23"/>
  <c r="GR171" i="23"/>
  <c r="GS171" i="23"/>
  <c r="GT171" i="23"/>
  <c r="GU171" i="23"/>
  <c r="GV171" i="23"/>
  <c r="GW171" i="23"/>
  <c r="GX171" i="23"/>
  <c r="GY171" i="23"/>
  <c r="GZ171" i="23"/>
  <c r="HA171" i="23"/>
  <c r="HB171" i="23"/>
  <c r="HC171" i="23"/>
  <c r="HD171" i="23"/>
  <c r="HE171" i="23"/>
  <c r="HF171" i="23"/>
  <c r="HG171" i="23"/>
  <c r="HH171" i="23"/>
  <c r="HI171" i="23"/>
  <c r="HJ171" i="23"/>
  <c r="HK171" i="23"/>
  <c r="HL171" i="23"/>
  <c r="HM171" i="23"/>
  <c r="HN171" i="23"/>
  <c r="HO171" i="23"/>
  <c r="HP171" i="23"/>
  <c r="HQ171" i="23"/>
  <c r="HR171" i="23"/>
  <c r="HS171" i="23"/>
  <c r="HT171" i="23"/>
  <c r="HU171" i="23"/>
  <c r="HV171" i="23"/>
  <c r="HW171" i="23"/>
  <c r="HX171" i="23"/>
  <c r="HY171" i="23"/>
  <c r="HZ171" i="23"/>
  <c r="IA171" i="23"/>
  <c r="IB171" i="23"/>
  <c r="IC171" i="23"/>
  <c r="ID171" i="23"/>
  <c r="IE171" i="23"/>
  <c r="IF171" i="23"/>
  <c r="IG171" i="23"/>
  <c r="IH171" i="23"/>
  <c r="II171" i="23"/>
  <c r="IJ171" i="23"/>
  <c r="IK171" i="23"/>
  <c r="IL171" i="23"/>
  <c r="IM171" i="23"/>
  <c r="IN171" i="23"/>
  <c r="IO171" i="23"/>
  <c r="IP171" i="23"/>
  <c r="IQ171" i="23"/>
  <c r="IR171" i="23"/>
  <c r="IS171" i="23"/>
  <c r="IT171" i="23"/>
  <c r="IU171" i="23"/>
  <c r="IV171" i="23"/>
  <c r="A170" i="23"/>
  <c r="B170" i="23"/>
  <c r="C170" i="23"/>
  <c r="D170" i="23"/>
  <c r="E170" i="23"/>
  <c r="F170" i="23"/>
  <c r="G170" i="23"/>
  <c r="H170" i="23"/>
  <c r="I170" i="23"/>
  <c r="J170" i="23"/>
  <c r="K170" i="23"/>
  <c r="L170" i="23"/>
  <c r="M170" i="23"/>
  <c r="N170" i="23"/>
  <c r="O170" i="23"/>
  <c r="P170" i="23"/>
  <c r="Q170" i="23"/>
  <c r="R170" i="23"/>
  <c r="S170" i="23"/>
  <c r="T170" i="23"/>
  <c r="U170" i="23"/>
  <c r="V170" i="23"/>
  <c r="W170" i="23"/>
  <c r="X170" i="23"/>
  <c r="Y170" i="23"/>
  <c r="Z170" i="23"/>
  <c r="AA170" i="23"/>
  <c r="AB170" i="23"/>
  <c r="AC170" i="23"/>
  <c r="AD170" i="23"/>
  <c r="AE170" i="23"/>
  <c r="AF170" i="23"/>
  <c r="AG170" i="23"/>
  <c r="AH170" i="23"/>
  <c r="AI170" i="23"/>
  <c r="AJ170" i="23"/>
  <c r="AK170" i="23"/>
  <c r="AL170" i="23"/>
  <c r="AM170" i="23"/>
  <c r="AN170" i="23"/>
  <c r="AO170" i="23"/>
  <c r="AP170" i="23"/>
  <c r="AQ170" i="23"/>
  <c r="AR170" i="23"/>
  <c r="AS170" i="23"/>
  <c r="AT170" i="23"/>
  <c r="AU170" i="23"/>
  <c r="AV170" i="23"/>
  <c r="AW170" i="23"/>
  <c r="AX170" i="23"/>
  <c r="AY170" i="23"/>
  <c r="AZ170" i="23"/>
  <c r="BA170" i="23"/>
  <c r="BB170" i="23"/>
  <c r="BC170" i="23"/>
  <c r="BD170" i="23"/>
  <c r="BE170" i="23"/>
  <c r="BF170" i="23"/>
  <c r="BG170" i="23"/>
  <c r="BH170" i="23"/>
  <c r="BI170" i="23"/>
  <c r="BJ170" i="23"/>
  <c r="BK170" i="23"/>
  <c r="BL170" i="23"/>
  <c r="BM170" i="23"/>
  <c r="BN170" i="23"/>
  <c r="BO170" i="23"/>
  <c r="BP170" i="23"/>
  <c r="BQ170" i="23"/>
  <c r="BR170" i="23"/>
  <c r="BS170" i="23"/>
  <c r="BT170" i="23"/>
  <c r="BU170" i="23"/>
  <c r="BV170" i="23"/>
  <c r="BW170" i="23"/>
  <c r="BX170" i="23"/>
  <c r="BY170" i="23"/>
  <c r="BZ170" i="23"/>
  <c r="CA170" i="23"/>
  <c r="CB170" i="23"/>
  <c r="CC170" i="23"/>
  <c r="CD170" i="23"/>
  <c r="CE170" i="23"/>
  <c r="CF170" i="23"/>
  <c r="CG170" i="23"/>
  <c r="CH170" i="23"/>
  <c r="CI170" i="23"/>
  <c r="CJ170" i="23"/>
  <c r="CK170" i="23"/>
  <c r="CL170" i="23"/>
  <c r="CM170" i="23"/>
  <c r="CN170" i="23"/>
  <c r="CO170" i="23"/>
  <c r="CP170" i="23"/>
  <c r="CQ170" i="23"/>
  <c r="CR170" i="23"/>
  <c r="CS170" i="23"/>
  <c r="CT170" i="23"/>
  <c r="CU170" i="23"/>
  <c r="CV170" i="23"/>
  <c r="CW170" i="23"/>
  <c r="CX170" i="23"/>
  <c r="CY170" i="23"/>
  <c r="CZ170" i="23"/>
  <c r="DA170" i="23"/>
  <c r="DB170" i="23"/>
  <c r="DC170" i="23"/>
  <c r="DD170" i="23"/>
  <c r="DE170" i="23"/>
  <c r="DF170" i="23"/>
  <c r="DG170" i="23"/>
  <c r="DH170" i="23"/>
  <c r="DI170" i="23"/>
  <c r="DJ170" i="23"/>
  <c r="DK170" i="23"/>
  <c r="DL170" i="23"/>
  <c r="DM170" i="23"/>
  <c r="DN170" i="23"/>
  <c r="DO170" i="23"/>
  <c r="DP170" i="23"/>
  <c r="DQ170" i="23"/>
  <c r="DR170" i="23"/>
  <c r="DS170" i="23"/>
  <c r="DT170" i="23"/>
  <c r="DU170" i="23"/>
  <c r="DV170" i="23"/>
  <c r="DW170" i="23"/>
  <c r="DX170" i="23"/>
  <c r="DY170" i="23"/>
  <c r="DZ170" i="23"/>
  <c r="EA170" i="23"/>
  <c r="EB170" i="23"/>
  <c r="EC170" i="23"/>
  <c r="ED170" i="23"/>
  <c r="EE170" i="23"/>
  <c r="EF170" i="23"/>
  <c r="EG170" i="23"/>
  <c r="EH170" i="23"/>
  <c r="EI170" i="23"/>
  <c r="EJ170" i="23"/>
  <c r="EK170" i="23"/>
  <c r="EL170" i="23"/>
  <c r="EM170" i="23"/>
  <c r="EN170" i="23"/>
  <c r="EO170" i="23"/>
  <c r="EP170" i="23"/>
  <c r="EQ170" i="23"/>
  <c r="ER170" i="23"/>
  <c r="ES170" i="23"/>
  <c r="ET170" i="23"/>
  <c r="EU170" i="23"/>
  <c r="EV170" i="23"/>
  <c r="EW170" i="23"/>
  <c r="EX170" i="23"/>
  <c r="EY170" i="23"/>
  <c r="EZ170" i="23"/>
  <c r="FA170" i="23"/>
  <c r="FB170" i="23"/>
  <c r="FC170" i="23"/>
  <c r="FD170" i="23"/>
  <c r="FE170" i="23"/>
  <c r="FF170" i="23"/>
  <c r="FG170" i="23"/>
  <c r="FH170" i="23"/>
  <c r="FI170" i="23"/>
  <c r="FJ170" i="23"/>
  <c r="FK170" i="23"/>
  <c r="FL170" i="23"/>
  <c r="FM170" i="23"/>
  <c r="FN170" i="23"/>
  <c r="FO170" i="23"/>
  <c r="FP170" i="23"/>
  <c r="FQ170" i="23"/>
  <c r="FR170" i="23"/>
  <c r="FS170" i="23"/>
  <c r="FT170" i="23"/>
  <c r="FU170" i="23"/>
  <c r="FV170" i="23"/>
  <c r="FW170" i="23"/>
  <c r="FX170" i="23"/>
  <c r="FY170" i="23"/>
  <c r="FZ170" i="23"/>
  <c r="GA170" i="23"/>
  <c r="GB170" i="23"/>
  <c r="GC170" i="23"/>
  <c r="GD170" i="23"/>
  <c r="GE170" i="23"/>
  <c r="GF170" i="23"/>
  <c r="GG170" i="23"/>
  <c r="GH170" i="23"/>
  <c r="GI170" i="23"/>
  <c r="GJ170" i="23"/>
  <c r="GK170" i="23"/>
  <c r="GL170" i="23"/>
  <c r="GM170" i="23"/>
  <c r="GN170" i="23"/>
  <c r="GO170" i="23"/>
  <c r="GP170" i="23"/>
  <c r="GQ170" i="23"/>
  <c r="GR170" i="23"/>
  <c r="GS170" i="23"/>
  <c r="GT170" i="23"/>
  <c r="GU170" i="23"/>
  <c r="GV170" i="23"/>
  <c r="GW170" i="23"/>
  <c r="GX170" i="23"/>
  <c r="GY170" i="23"/>
  <c r="GZ170" i="23"/>
  <c r="HA170" i="23"/>
  <c r="HB170" i="23"/>
  <c r="HC170" i="23"/>
  <c r="HD170" i="23"/>
  <c r="HE170" i="23"/>
  <c r="HF170" i="23"/>
  <c r="HG170" i="23"/>
  <c r="HH170" i="23"/>
  <c r="HI170" i="23"/>
  <c r="HJ170" i="23"/>
  <c r="HK170" i="23"/>
  <c r="HL170" i="23"/>
  <c r="HM170" i="23"/>
  <c r="HN170" i="23"/>
  <c r="HO170" i="23"/>
  <c r="HP170" i="23"/>
  <c r="HQ170" i="23"/>
  <c r="HR170" i="23"/>
  <c r="HS170" i="23"/>
  <c r="HT170" i="23"/>
  <c r="HU170" i="23"/>
  <c r="HV170" i="23"/>
  <c r="HW170" i="23"/>
  <c r="HX170" i="23"/>
  <c r="HY170" i="23"/>
  <c r="HZ170" i="23"/>
  <c r="IA170" i="23"/>
  <c r="IB170" i="23"/>
  <c r="IC170" i="23"/>
  <c r="ID170" i="23"/>
  <c r="IE170" i="23"/>
  <c r="IF170" i="23"/>
  <c r="IG170" i="23"/>
  <c r="IH170" i="23"/>
  <c r="II170" i="23"/>
  <c r="IJ170" i="23"/>
  <c r="IK170" i="23"/>
  <c r="IL170" i="23"/>
  <c r="IM170" i="23"/>
  <c r="IN170" i="23"/>
  <c r="IO170" i="23"/>
  <c r="IP170" i="23"/>
  <c r="IQ170" i="23"/>
  <c r="IR170" i="23"/>
  <c r="IS170" i="23"/>
  <c r="IT170" i="23"/>
  <c r="IU170" i="23"/>
  <c r="IV170" i="23"/>
  <c r="A169" i="23"/>
  <c r="B169" i="23"/>
  <c r="C169" i="23"/>
  <c r="D169" i="23"/>
  <c r="E169" i="23"/>
  <c r="F169" i="23"/>
  <c r="G169" i="23"/>
  <c r="H169" i="23"/>
  <c r="I169" i="23"/>
  <c r="J169" i="23"/>
  <c r="K169" i="23"/>
  <c r="L169" i="23"/>
  <c r="M169" i="23"/>
  <c r="N169" i="23"/>
  <c r="O169" i="23"/>
  <c r="P169" i="23"/>
  <c r="Q169" i="23"/>
  <c r="R169" i="23"/>
  <c r="S169" i="23"/>
  <c r="T169" i="23"/>
  <c r="U169" i="23"/>
  <c r="V169" i="23"/>
  <c r="W169" i="23"/>
  <c r="X169" i="23"/>
  <c r="Y169" i="23"/>
  <c r="Z169" i="23"/>
  <c r="AA169" i="23"/>
  <c r="AB169" i="23"/>
  <c r="AC169" i="23"/>
  <c r="AD169" i="23"/>
  <c r="AE169" i="23"/>
  <c r="AF169" i="23"/>
  <c r="AG169" i="23"/>
  <c r="AH169" i="23"/>
  <c r="AI169" i="23"/>
  <c r="AJ169" i="23"/>
  <c r="AK169" i="23"/>
  <c r="AL169" i="23"/>
  <c r="AM169" i="23"/>
  <c r="AN169" i="23"/>
  <c r="AO169" i="23"/>
  <c r="AP169" i="23"/>
  <c r="AQ169" i="23"/>
  <c r="AR169" i="23"/>
  <c r="AS169" i="23"/>
  <c r="AT169" i="23"/>
  <c r="AU169" i="23"/>
  <c r="AV169" i="23"/>
  <c r="AW169" i="23"/>
  <c r="AX169" i="23"/>
  <c r="AY169" i="23"/>
  <c r="AZ169" i="23"/>
  <c r="BA169" i="23"/>
  <c r="BB169" i="23"/>
  <c r="BC169" i="23"/>
  <c r="BD169" i="23"/>
  <c r="BE169" i="23"/>
  <c r="BF169" i="23"/>
  <c r="BG169" i="23"/>
  <c r="BH169" i="23"/>
  <c r="BI169" i="23"/>
  <c r="BJ169" i="23"/>
  <c r="BK169" i="23"/>
  <c r="BL169" i="23"/>
  <c r="BM169" i="23"/>
  <c r="BN169" i="23"/>
  <c r="BO169" i="23"/>
  <c r="BP169" i="23"/>
  <c r="BQ169" i="23"/>
  <c r="BR169" i="23"/>
  <c r="BS169" i="23"/>
  <c r="BT169" i="23"/>
  <c r="BU169" i="23"/>
  <c r="BV169" i="23"/>
  <c r="BW169" i="23"/>
  <c r="BX169" i="23"/>
  <c r="BY169" i="23"/>
  <c r="BZ169" i="23"/>
  <c r="CA169" i="23"/>
  <c r="CB169" i="23"/>
  <c r="CC169" i="23"/>
  <c r="CD169" i="23"/>
  <c r="CE169" i="23"/>
  <c r="CF169" i="23"/>
  <c r="CG169" i="23"/>
  <c r="CH169" i="23"/>
  <c r="CI169" i="23"/>
  <c r="CJ169" i="23"/>
  <c r="CK169" i="23"/>
  <c r="CL169" i="23"/>
  <c r="CM169" i="23"/>
  <c r="CN169" i="23"/>
  <c r="CO169" i="23"/>
  <c r="CP169" i="23"/>
  <c r="CQ169" i="23"/>
  <c r="CR169" i="23"/>
  <c r="CS169" i="23"/>
  <c r="CT169" i="23"/>
  <c r="CU169" i="23"/>
  <c r="CV169" i="23"/>
  <c r="CW169" i="23"/>
  <c r="CX169" i="23"/>
  <c r="CY169" i="23"/>
  <c r="CZ169" i="23"/>
  <c r="DA169" i="23"/>
  <c r="DB169" i="23"/>
  <c r="DC169" i="23"/>
  <c r="DD169" i="23"/>
  <c r="DE169" i="23"/>
  <c r="DF169" i="23"/>
  <c r="DG169" i="23"/>
  <c r="DH169" i="23"/>
  <c r="DI169" i="23"/>
  <c r="DJ169" i="23"/>
  <c r="DK169" i="23"/>
  <c r="DL169" i="23"/>
  <c r="DM169" i="23"/>
  <c r="DN169" i="23"/>
  <c r="DO169" i="23"/>
  <c r="DP169" i="23"/>
  <c r="DQ169" i="23"/>
  <c r="DR169" i="23"/>
  <c r="DS169" i="23"/>
  <c r="DT169" i="23"/>
  <c r="DU169" i="23"/>
  <c r="DV169" i="23"/>
  <c r="DW169" i="23"/>
  <c r="DX169" i="23"/>
  <c r="DY169" i="23"/>
  <c r="DZ169" i="23"/>
  <c r="EA169" i="23"/>
  <c r="EB169" i="23"/>
  <c r="EC169" i="23"/>
  <c r="ED169" i="23"/>
  <c r="EE169" i="23"/>
  <c r="EF169" i="23"/>
  <c r="EG169" i="23"/>
  <c r="EH169" i="23"/>
  <c r="EI169" i="23"/>
  <c r="EJ169" i="23"/>
  <c r="EK169" i="23"/>
  <c r="EL169" i="23"/>
  <c r="EM169" i="23"/>
  <c r="EN169" i="23"/>
  <c r="EO169" i="23"/>
  <c r="EP169" i="23"/>
  <c r="EQ169" i="23"/>
  <c r="ER169" i="23"/>
  <c r="ES169" i="23"/>
  <c r="ET169" i="23"/>
  <c r="EU169" i="23"/>
  <c r="EV169" i="23"/>
  <c r="EW169" i="23"/>
  <c r="EX169" i="23"/>
  <c r="EY169" i="23"/>
  <c r="EZ169" i="23"/>
  <c r="FA169" i="23"/>
  <c r="FB169" i="23"/>
  <c r="FC169" i="23"/>
  <c r="FD169" i="23"/>
  <c r="FE169" i="23"/>
  <c r="FF169" i="23"/>
  <c r="FG169" i="23"/>
  <c r="FH169" i="23"/>
  <c r="FI169" i="23"/>
  <c r="FJ169" i="23"/>
  <c r="FK169" i="23"/>
  <c r="FL169" i="23"/>
  <c r="FM169" i="23"/>
  <c r="FN169" i="23"/>
  <c r="FO169" i="23"/>
  <c r="FP169" i="23"/>
  <c r="FQ169" i="23"/>
  <c r="FR169" i="23"/>
  <c r="FS169" i="23"/>
  <c r="FT169" i="23"/>
  <c r="FU169" i="23"/>
  <c r="FV169" i="23"/>
  <c r="FW169" i="23"/>
  <c r="FX169" i="23"/>
  <c r="FY169" i="23"/>
  <c r="FZ169" i="23"/>
  <c r="GA169" i="23"/>
  <c r="GB169" i="23"/>
  <c r="GC169" i="23"/>
  <c r="GD169" i="23"/>
  <c r="GE169" i="23"/>
  <c r="GF169" i="23"/>
  <c r="GG169" i="23"/>
  <c r="GH169" i="23"/>
  <c r="GI169" i="23"/>
  <c r="GJ169" i="23"/>
  <c r="GK169" i="23"/>
  <c r="GL169" i="23"/>
  <c r="GM169" i="23"/>
  <c r="GN169" i="23"/>
  <c r="GO169" i="23"/>
  <c r="GP169" i="23"/>
  <c r="GQ169" i="23"/>
  <c r="GR169" i="23"/>
  <c r="GS169" i="23"/>
  <c r="GT169" i="23"/>
  <c r="GU169" i="23"/>
  <c r="GV169" i="23"/>
  <c r="GW169" i="23"/>
  <c r="GX169" i="23"/>
  <c r="GY169" i="23"/>
  <c r="GZ169" i="23"/>
  <c r="HA169" i="23"/>
  <c r="HB169" i="23"/>
  <c r="HC169" i="23"/>
  <c r="HD169" i="23"/>
  <c r="HE169" i="23"/>
  <c r="HF169" i="23"/>
  <c r="HG169" i="23"/>
  <c r="HH169" i="23"/>
  <c r="HI169" i="23"/>
  <c r="HJ169" i="23"/>
  <c r="HK169" i="23"/>
  <c r="HL169" i="23"/>
  <c r="HM169" i="23"/>
  <c r="HN169" i="23"/>
  <c r="HO169" i="23"/>
  <c r="HP169" i="23"/>
  <c r="HQ169" i="23"/>
  <c r="HR169" i="23"/>
  <c r="HS169" i="23"/>
  <c r="HT169" i="23"/>
  <c r="HU169" i="23"/>
  <c r="HV169" i="23"/>
  <c r="HW169" i="23"/>
  <c r="HX169" i="23"/>
  <c r="HY169" i="23"/>
  <c r="HZ169" i="23"/>
  <c r="IA169" i="23"/>
  <c r="IB169" i="23"/>
  <c r="IC169" i="23"/>
  <c r="ID169" i="23"/>
  <c r="IE169" i="23"/>
  <c r="IF169" i="23"/>
  <c r="IG169" i="23"/>
  <c r="IH169" i="23"/>
  <c r="II169" i="23"/>
  <c r="IJ169" i="23"/>
  <c r="IK169" i="23"/>
  <c r="IL169" i="23"/>
  <c r="IM169" i="23"/>
  <c r="IN169" i="23"/>
  <c r="IO169" i="23"/>
  <c r="IP169" i="23"/>
  <c r="IQ169" i="23"/>
  <c r="IR169" i="23"/>
  <c r="IS169" i="23"/>
  <c r="IT169" i="23"/>
  <c r="IU169" i="23"/>
  <c r="IV169" i="23"/>
  <c r="A168" i="23"/>
  <c r="B168" i="23"/>
  <c r="C168" i="23"/>
  <c r="D168" i="23"/>
  <c r="E168" i="23"/>
  <c r="F168" i="23"/>
  <c r="G168" i="23"/>
  <c r="H168" i="23"/>
  <c r="I168" i="23"/>
  <c r="J168" i="23"/>
  <c r="K168" i="23"/>
  <c r="L168" i="23"/>
  <c r="M168" i="23"/>
  <c r="N168" i="23"/>
  <c r="O168" i="23"/>
  <c r="P168" i="23"/>
  <c r="Q168" i="23"/>
  <c r="R168" i="23"/>
  <c r="S168" i="23"/>
  <c r="T168" i="23"/>
  <c r="U168" i="23"/>
  <c r="V168" i="23"/>
  <c r="W168" i="23"/>
  <c r="X168" i="23"/>
  <c r="Y168" i="23"/>
  <c r="Z168" i="23"/>
  <c r="AA168" i="23"/>
  <c r="AB168" i="23"/>
  <c r="AC168" i="23"/>
  <c r="AD168" i="23"/>
  <c r="AE168" i="23"/>
  <c r="AF168" i="23"/>
  <c r="AG168" i="23"/>
  <c r="AH168" i="23"/>
  <c r="AI168" i="23"/>
  <c r="AJ168" i="23"/>
  <c r="AK168" i="23"/>
  <c r="AL168" i="23"/>
  <c r="AM168" i="23"/>
  <c r="AN168" i="23"/>
  <c r="AO168" i="23"/>
  <c r="AP168" i="23"/>
  <c r="AQ168" i="23"/>
  <c r="AR168" i="23"/>
  <c r="AS168" i="23"/>
  <c r="AT168" i="23"/>
  <c r="AU168" i="23"/>
  <c r="AV168" i="23"/>
  <c r="AW168" i="23"/>
  <c r="AX168" i="23"/>
  <c r="AY168" i="23"/>
  <c r="AZ168" i="23"/>
  <c r="BA168" i="23"/>
  <c r="BB168" i="23"/>
  <c r="BC168" i="23"/>
  <c r="BD168" i="23"/>
  <c r="BE168" i="23"/>
  <c r="BF168" i="23"/>
  <c r="BG168" i="23"/>
  <c r="BH168" i="23"/>
  <c r="BI168" i="23"/>
  <c r="BJ168" i="23"/>
  <c r="BK168" i="23"/>
  <c r="BL168" i="23"/>
  <c r="BM168" i="23"/>
  <c r="BN168" i="23"/>
  <c r="BO168" i="23"/>
  <c r="BP168" i="23"/>
  <c r="BQ168" i="23"/>
  <c r="BR168" i="23"/>
  <c r="BS168" i="23"/>
  <c r="BT168" i="23"/>
  <c r="BU168" i="23"/>
  <c r="BV168" i="23"/>
  <c r="BW168" i="23"/>
  <c r="BX168" i="23"/>
  <c r="BY168" i="23"/>
  <c r="BZ168" i="23"/>
  <c r="CA168" i="23"/>
  <c r="CB168" i="23"/>
  <c r="CC168" i="23"/>
  <c r="CD168" i="23"/>
  <c r="CE168" i="23"/>
  <c r="CF168" i="23"/>
  <c r="CG168" i="23"/>
  <c r="CH168" i="23"/>
  <c r="CI168" i="23"/>
  <c r="CJ168" i="23"/>
  <c r="CK168" i="23"/>
  <c r="CL168" i="23"/>
  <c r="CM168" i="23"/>
  <c r="CN168" i="23"/>
  <c r="CO168" i="23"/>
  <c r="CP168" i="23"/>
  <c r="CQ168" i="23"/>
  <c r="CR168" i="23"/>
  <c r="CS168" i="23"/>
  <c r="CT168" i="23"/>
  <c r="CU168" i="23"/>
  <c r="CV168" i="23"/>
  <c r="CW168" i="23"/>
  <c r="CX168" i="23"/>
  <c r="CY168" i="23"/>
  <c r="CZ168" i="23"/>
  <c r="DA168" i="23"/>
  <c r="DB168" i="23"/>
  <c r="DC168" i="23"/>
  <c r="DD168" i="23"/>
  <c r="DE168" i="23"/>
  <c r="DF168" i="23"/>
  <c r="DG168" i="23"/>
  <c r="DH168" i="23"/>
  <c r="DI168" i="23"/>
  <c r="DJ168" i="23"/>
  <c r="DK168" i="23"/>
  <c r="DL168" i="23"/>
  <c r="DM168" i="23"/>
  <c r="DN168" i="23"/>
  <c r="DO168" i="23"/>
  <c r="DP168" i="23"/>
  <c r="DQ168" i="23"/>
  <c r="DR168" i="23"/>
  <c r="DS168" i="23"/>
  <c r="DT168" i="23"/>
  <c r="DU168" i="23"/>
  <c r="DV168" i="23"/>
  <c r="DW168" i="23"/>
  <c r="DX168" i="23"/>
  <c r="DY168" i="23"/>
  <c r="DZ168" i="23"/>
  <c r="EA168" i="23"/>
  <c r="EB168" i="23"/>
  <c r="EC168" i="23"/>
  <c r="ED168" i="23"/>
  <c r="EE168" i="23"/>
  <c r="EF168" i="23"/>
  <c r="EG168" i="23"/>
  <c r="EH168" i="23"/>
  <c r="EI168" i="23"/>
  <c r="EJ168" i="23"/>
  <c r="EK168" i="23"/>
  <c r="EL168" i="23"/>
  <c r="EM168" i="23"/>
  <c r="EN168" i="23"/>
  <c r="EO168" i="23"/>
  <c r="EP168" i="23"/>
  <c r="EQ168" i="23"/>
  <c r="ER168" i="23"/>
  <c r="ES168" i="23"/>
  <c r="ET168" i="23"/>
  <c r="EU168" i="23"/>
  <c r="EV168" i="23"/>
  <c r="EW168" i="23"/>
  <c r="EX168" i="23"/>
  <c r="EY168" i="23"/>
  <c r="EZ168" i="23"/>
  <c r="FA168" i="23"/>
  <c r="FB168" i="23"/>
  <c r="FC168" i="23"/>
  <c r="FD168" i="23"/>
  <c r="FE168" i="23"/>
  <c r="FF168" i="23"/>
  <c r="FG168" i="23"/>
  <c r="FH168" i="23"/>
  <c r="FI168" i="23"/>
  <c r="FJ168" i="23"/>
  <c r="FK168" i="23"/>
  <c r="FL168" i="23"/>
  <c r="FM168" i="23"/>
  <c r="FN168" i="23"/>
  <c r="FO168" i="23"/>
  <c r="FP168" i="23"/>
  <c r="FQ168" i="23"/>
  <c r="FR168" i="23"/>
  <c r="FS168" i="23"/>
  <c r="FT168" i="23"/>
  <c r="FU168" i="23"/>
  <c r="FV168" i="23"/>
  <c r="FW168" i="23"/>
  <c r="FX168" i="23"/>
  <c r="FY168" i="23"/>
  <c r="FZ168" i="23"/>
  <c r="GA168" i="23"/>
  <c r="GB168" i="23"/>
  <c r="GC168" i="23"/>
  <c r="GD168" i="23"/>
  <c r="GE168" i="23"/>
  <c r="GF168" i="23"/>
  <c r="GG168" i="23"/>
  <c r="GH168" i="23"/>
  <c r="GI168" i="23"/>
  <c r="GJ168" i="23"/>
  <c r="GK168" i="23"/>
  <c r="GL168" i="23"/>
  <c r="GM168" i="23"/>
  <c r="GN168" i="23"/>
  <c r="GO168" i="23"/>
  <c r="GP168" i="23"/>
  <c r="GQ168" i="23"/>
  <c r="GR168" i="23"/>
  <c r="GS168" i="23"/>
  <c r="GT168" i="23"/>
  <c r="GU168" i="23"/>
  <c r="GV168" i="23"/>
  <c r="GW168" i="23"/>
  <c r="GX168" i="23"/>
  <c r="GY168" i="23"/>
  <c r="GZ168" i="23"/>
  <c r="HA168" i="23"/>
  <c r="HB168" i="23"/>
  <c r="HC168" i="23"/>
  <c r="HD168" i="23"/>
  <c r="HE168" i="23"/>
  <c r="HF168" i="23"/>
  <c r="HG168" i="23"/>
  <c r="HH168" i="23"/>
  <c r="HI168" i="23"/>
  <c r="HJ168" i="23"/>
  <c r="HK168" i="23"/>
  <c r="HL168" i="23"/>
  <c r="HM168" i="23"/>
  <c r="HN168" i="23"/>
  <c r="HO168" i="23"/>
  <c r="HP168" i="23"/>
  <c r="HQ168" i="23"/>
  <c r="HR168" i="23"/>
  <c r="HS168" i="23"/>
  <c r="HT168" i="23"/>
  <c r="HU168" i="23"/>
  <c r="HV168" i="23"/>
  <c r="HW168" i="23"/>
  <c r="HX168" i="23"/>
  <c r="HY168" i="23"/>
  <c r="HZ168" i="23"/>
  <c r="IA168" i="23"/>
  <c r="IB168" i="23"/>
  <c r="IC168" i="23"/>
  <c r="ID168" i="23"/>
  <c r="IE168" i="23"/>
  <c r="IF168" i="23"/>
  <c r="IG168" i="23"/>
  <c r="IH168" i="23"/>
  <c r="II168" i="23"/>
  <c r="IJ168" i="23"/>
  <c r="IK168" i="23"/>
  <c r="IL168" i="23"/>
  <c r="IM168" i="23"/>
  <c r="IN168" i="23"/>
  <c r="IO168" i="23"/>
  <c r="IP168" i="23"/>
  <c r="IQ168" i="23"/>
  <c r="IR168" i="23"/>
  <c r="IS168" i="23"/>
  <c r="IT168" i="23"/>
  <c r="IU168" i="23"/>
  <c r="IV168" i="23"/>
  <c r="A167" i="23"/>
  <c r="B167" i="23"/>
  <c r="C167" i="23"/>
  <c r="D167" i="23"/>
  <c r="E167" i="23"/>
  <c r="F167" i="23"/>
  <c r="G167" i="23"/>
  <c r="H167" i="23"/>
  <c r="I167" i="23"/>
  <c r="J167" i="23"/>
  <c r="K167" i="23"/>
  <c r="L167" i="23"/>
  <c r="M167" i="23"/>
  <c r="N167" i="23"/>
  <c r="O167" i="23"/>
  <c r="P167" i="23"/>
  <c r="Q167" i="23"/>
  <c r="R167" i="23"/>
  <c r="S167" i="23"/>
  <c r="T167" i="23"/>
  <c r="U167" i="23"/>
  <c r="V167" i="23"/>
  <c r="W167" i="23"/>
  <c r="X167" i="23"/>
  <c r="Y167" i="23"/>
  <c r="Z167" i="23"/>
  <c r="AA167" i="23"/>
  <c r="AB167" i="23"/>
  <c r="AC167" i="23"/>
  <c r="AD167" i="23"/>
  <c r="AE167" i="23"/>
  <c r="AF167" i="23"/>
  <c r="AG167" i="23"/>
  <c r="AH167" i="23"/>
  <c r="AI167" i="23"/>
  <c r="AJ167" i="23"/>
  <c r="AK167" i="23"/>
  <c r="AL167" i="23"/>
  <c r="AM167" i="23"/>
  <c r="AN167" i="23"/>
  <c r="AO167" i="23"/>
  <c r="AP167" i="23"/>
  <c r="AQ167" i="23"/>
  <c r="AR167" i="23"/>
  <c r="AS167" i="23"/>
  <c r="AT167" i="23"/>
  <c r="AU167" i="23"/>
  <c r="AV167" i="23"/>
  <c r="AW167" i="23"/>
  <c r="AX167" i="23"/>
  <c r="AY167" i="23"/>
  <c r="AZ167" i="23"/>
  <c r="BA167" i="23"/>
  <c r="BB167" i="23"/>
  <c r="BC167" i="23"/>
  <c r="BD167" i="23"/>
  <c r="BE167" i="23"/>
  <c r="BF167" i="23"/>
  <c r="BG167" i="23"/>
  <c r="BH167" i="23"/>
  <c r="BI167" i="23"/>
  <c r="BJ167" i="23"/>
  <c r="BK167" i="23"/>
  <c r="BL167" i="23"/>
  <c r="BM167" i="23"/>
  <c r="BN167" i="23"/>
  <c r="BO167" i="23"/>
  <c r="BP167" i="23"/>
  <c r="BQ167" i="23"/>
  <c r="BR167" i="23"/>
  <c r="BS167" i="23"/>
  <c r="BT167" i="23"/>
  <c r="BU167" i="23"/>
  <c r="BV167" i="23"/>
  <c r="BW167" i="23"/>
  <c r="BX167" i="23"/>
  <c r="BY167" i="23"/>
  <c r="BZ167" i="23"/>
  <c r="CA167" i="23"/>
  <c r="CB167" i="23"/>
  <c r="CC167" i="23"/>
  <c r="CD167" i="23"/>
  <c r="CE167" i="23"/>
  <c r="CF167" i="23"/>
  <c r="CG167" i="23"/>
  <c r="CH167" i="23"/>
  <c r="CI167" i="23"/>
  <c r="CJ167" i="23"/>
  <c r="CK167" i="23"/>
  <c r="CL167" i="23"/>
  <c r="CM167" i="23"/>
  <c r="CN167" i="23"/>
  <c r="CO167" i="23"/>
  <c r="CP167" i="23"/>
  <c r="CQ167" i="23"/>
  <c r="CR167" i="23"/>
  <c r="CS167" i="23"/>
  <c r="CT167" i="23"/>
  <c r="CU167" i="23"/>
  <c r="CV167" i="23"/>
  <c r="CW167" i="23"/>
  <c r="CX167" i="23"/>
  <c r="CY167" i="23"/>
  <c r="CZ167" i="23"/>
  <c r="DA167" i="23"/>
  <c r="DB167" i="23"/>
  <c r="DC167" i="23"/>
  <c r="DD167" i="23"/>
  <c r="DE167" i="23"/>
  <c r="DF167" i="23"/>
  <c r="DG167" i="23"/>
  <c r="DH167" i="23"/>
  <c r="DI167" i="23"/>
  <c r="DJ167" i="23"/>
  <c r="DK167" i="23"/>
  <c r="DL167" i="23"/>
  <c r="DM167" i="23"/>
  <c r="DN167" i="23"/>
  <c r="DO167" i="23"/>
  <c r="DP167" i="23"/>
  <c r="DQ167" i="23"/>
  <c r="DR167" i="23"/>
  <c r="DS167" i="23"/>
  <c r="DT167" i="23"/>
  <c r="DU167" i="23"/>
  <c r="DV167" i="23"/>
  <c r="DW167" i="23"/>
  <c r="DX167" i="23"/>
  <c r="DY167" i="23"/>
  <c r="DZ167" i="23"/>
  <c r="EA167" i="23"/>
  <c r="EB167" i="23"/>
  <c r="EC167" i="23"/>
  <c r="ED167" i="23"/>
  <c r="EE167" i="23"/>
  <c r="EF167" i="23"/>
  <c r="EG167" i="23"/>
  <c r="EH167" i="23"/>
  <c r="EI167" i="23"/>
  <c r="EJ167" i="23"/>
  <c r="EK167" i="23"/>
  <c r="EL167" i="23"/>
  <c r="EM167" i="23"/>
  <c r="EN167" i="23"/>
  <c r="EO167" i="23"/>
  <c r="EP167" i="23"/>
  <c r="EQ167" i="23"/>
  <c r="ER167" i="23"/>
  <c r="ES167" i="23"/>
  <c r="ET167" i="23"/>
  <c r="EU167" i="23"/>
  <c r="EV167" i="23"/>
  <c r="EW167" i="23"/>
  <c r="EX167" i="23"/>
  <c r="EY167" i="23"/>
  <c r="EZ167" i="23"/>
  <c r="FA167" i="23"/>
  <c r="FB167" i="23"/>
  <c r="FC167" i="23"/>
  <c r="FD167" i="23"/>
  <c r="FE167" i="23"/>
  <c r="FF167" i="23"/>
  <c r="FG167" i="23"/>
  <c r="FH167" i="23"/>
  <c r="FI167" i="23"/>
  <c r="FJ167" i="23"/>
  <c r="FK167" i="23"/>
  <c r="FL167" i="23"/>
  <c r="FM167" i="23"/>
  <c r="FN167" i="23"/>
  <c r="FO167" i="23"/>
  <c r="FP167" i="23"/>
  <c r="FQ167" i="23"/>
  <c r="FR167" i="23"/>
  <c r="FS167" i="23"/>
  <c r="FT167" i="23"/>
  <c r="FU167" i="23"/>
  <c r="FV167" i="23"/>
  <c r="FW167" i="23"/>
  <c r="FX167" i="23"/>
  <c r="FY167" i="23"/>
  <c r="FZ167" i="23"/>
  <c r="GA167" i="23"/>
  <c r="GB167" i="23"/>
  <c r="GC167" i="23"/>
  <c r="GD167" i="23"/>
  <c r="GE167" i="23"/>
  <c r="GF167" i="23"/>
  <c r="GG167" i="23"/>
  <c r="GH167" i="23"/>
  <c r="GI167" i="23"/>
  <c r="GJ167" i="23"/>
  <c r="GK167" i="23"/>
  <c r="GL167" i="23"/>
  <c r="GM167" i="23"/>
  <c r="GN167" i="23"/>
  <c r="GO167" i="23"/>
  <c r="GP167" i="23"/>
  <c r="GQ167" i="23"/>
  <c r="GR167" i="23"/>
  <c r="GS167" i="23"/>
  <c r="GT167" i="23"/>
  <c r="GU167" i="23"/>
  <c r="GV167" i="23"/>
  <c r="GW167" i="23"/>
  <c r="GX167" i="23"/>
  <c r="GY167" i="23"/>
  <c r="GZ167" i="23"/>
  <c r="HA167" i="23"/>
  <c r="HB167" i="23"/>
  <c r="HC167" i="23"/>
  <c r="HD167" i="23"/>
  <c r="HE167" i="23"/>
  <c r="HF167" i="23"/>
  <c r="HG167" i="23"/>
  <c r="HH167" i="23"/>
  <c r="HI167" i="23"/>
  <c r="HJ167" i="23"/>
  <c r="HK167" i="23"/>
  <c r="HL167" i="23"/>
  <c r="HM167" i="23"/>
  <c r="HN167" i="23"/>
  <c r="HO167" i="23"/>
  <c r="HP167" i="23"/>
  <c r="HQ167" i="23"/>
  <c r="HR167" i="23"/>
  <c r="HS167" i="23"/>
  <c r="HT167" i="23"/>
  <c r="HU167" i="23"/>
  <c r="HV167" i="23"/>
  <c r="HW167" i="23"/>
  <c r="HX167" i="23"/>
  <c r="HY167" i="23"/>
  <c r="HZ167" i="23"/>
  <c r="IA167" i="23"/>
  <c r="IB167" i="23"/>
  <c r="IC167" i="23"/>
  <c r="ID167" i="23"/>
  <c r="IE167" i="23"/>
  <c r="IF167" i="23"/>
  <c r="IG167" i="23"/>
  <c r="IH167" i="23"/>
  <c r="II167" i="23"/>
  <c r="IJ167" i="23"/>
  <c r="IK167" i="23"/>
  <c r="IL167" i="23"/>
  <c r="IM167" i="23"/>
  <c r="IN167" i="23"/>
  <c r="IO167" i="23"/>
  <c r="IP167" i="23"/>
  <c r="IQ167" i="23"/>
  <c r="IR167" i="23"/>
  <c r="IS167" i="23"/>
  <c r="IT167" i="23"/>
  <c r="IU167" i="23"/>
  <c r="IV167" i="23"/>
  <c r="A166" i="23"/>
  <c r="B166" i="23"/>
  <c r="C166" i="23"/>
  <c r="D166" i="23"/>
  <c r="E166" i="23"/>
  <c r="F166" i="23"/>
  <c r="G166" i="23"/>
  <c r="H166" i="23"/>
  <c r="I166" i="23"/>
  <c r="J166" i="23"/>
  <c r="K166" i="23"/>
  <c r="L166" i="23"/>
  <c r="M166" i="23"/>
  <c r="N166" i="23"/>
  <c r="O166" i="23"/>
  <c r="P166" i="23"/>
  <c r="Q166" i="23"/>
  <c r="R166" i="23"/>
  <c r="S166" i="23"/>
  <c r="T166" i="23"/>
  <c r="U166" i="23"/>
  <c r="V166" i="23"/>
  <c r="W166" i="23"/>
  <c r="X166" i="23"/>
  <c r="Y166" i="23"/>
  <c r="Z166" i="23"/>
  <c r="AA166" i="23"/>
  <c r="AB166" i="23"/>
  <c r="AC166" i="23"/>
  <c r="AD166" i="23"/>
  <c r="AE166" i="23"/>
  <c r="AF166" i="23"/>
  <c r="AG166" i="23"/>
  <c r="AH166" i="23"/>
  <c r="AI166" i="23"/>
  <c r="AJ166" i="23"/>
  <c r="AK166" i="23"/>
  <c r="AL166" i="23"/>
  <c r="AM166" i="23"/>
  <c r="AN166" i="23"/>
  <c r="AO166" i="23"/>
  <c r="AP166" i="23"/>
  <c r="AQ166" i="23"/>
  <c r="AR166" i="23"/>
  <c r="AS166" i="23"/>
  <c r="AT166" i="23"/>
  <c r="AU166" i="23"/>
  <c r="AV166" i="23"/>
  <c r="AW166" i="23"/>
  <c r="AX166" i="23"/>
  <c r="AY166" i="23"/>
  <c r="AZ166" i="23"/>
  <c r="BA166" i="23"/>
  <c r="BB166" i="23"/>
  <c r="BC166" i="23"/>
  <c r="BD166" i="23"/>
  <c r="BE166" i="23"/>
  <c r="BF166" i="23"/>
  <c r="BG166" i="23"/>
  <c r="BH166" i="23"/>
  <c r="BI166" i="23"/>
  <c r="BJ166" i="23"/>
  <c r="BK166" i="23"/>
  <c r="BL166" i="23"/>
  <c r="BM166" i="23"/>
  <c r="BN166" i="23"/>
  <c r="BO166" i="23"/>
  <c r="BP166" i="23"/>
  <c r="BQ166" i="23"/>
  <c r="BR166" i="23"/>
  <c r="BS166" i="23"/>
  <c r="BT166" i="23"/>
  <c r="BU166" i="23"/>
  <c r="BV166" i="23"/>
  <c r="BW166" i="23"/>
  <c r="BX166" i="23"/>
  <c r="BY166" i="23"/>
  <c r="BZ166" i="23"/>
  <c r="CA166" i="23"/>
  <c r="CB166" i="23"/>
  <c r="CC166" i="23"/>
  <c r="CD166" i="23"/>
  <c r="CE166" i="23"/>
  <c r="CF166" i="23"/>
  <c r="CG166" i="23"/>
  <c r="CH166" i="23"/>
  <c r="CI166" i="23"/>
  <c r="CJ166" i="23"/>
  <c r="CK166" i="23"/>
  <c r="CL166" i="23"/>
  <c r="CM166" i="23"/>
  <c r="CN166" i="23"/>
  <c r="CO166" i="23"/>
  <c r="CP166" i="23"/>
  <c r="CQ166" i="23"/>
  <c r="CR166" i="23"/>
  <c r="CS166" i="23"/>
  <c r="CT166" i="23"/>
  <c r="CU166" i="23"/>
  <c r="CV166" i="23"/>
  <c r="CW166" i="23"/>
  <c r="CX166" i="23"/>
  <c r="CY166" i="23"/>
  <c r="CZ166" i="23"/>
  <c r="DA166" i="23"/>
  <c r="DB166" i="23"/>
  <c r="DC166" i="23"/>
  <c r="DD166" i="23"/>
  <c r="DE166" i="23"/>
  <c r="DF166" i="23"/>
  <c r="DG166" i="23"/>
  <c r="DH166" i="23"/>
  <c r="DI166" i="23"/>
  <c r="DJ166" i="23"/>
  <c r="DK166" i="23"/>
  <c r="DL166" i="23"/>
  <c r="DM166" i="23"/>
  <c r="DN166" i="23"/>
  <c r="DO166" i="23"/>
  <c r="DP166" i="23"/>
  <c r="DQ166" i="23"/>
  <c r="DR166" i="23"/>
  <c r="DS166" i="23"/>
  <c r="DT166" i="23"/>
  <c r="DU166" i="23"/>
  <c r="DV166" i="23"/>
  <c r="DW166" i="23"/>
  <c r="DX166" i="23"/>
  <c r="DY166" i="23"/>
  <c r="DZ166" i="23"/>
  <c r="EA166" i="23"/>
  <c r="EB166" i="23"/>
  <c r="EC166" i="23"/>
  <c r="ED166" i="23"/>
  <c r="EE166" i="23"/>
  <c r="EF166" i="23"/>
  <c r="EG166" i="23"/>
  <c r="EH166" i="23"/>
  <c r="EI166" i="23"/>
  <c r="EJ166" i="23"/>
  <c r="EK166" i="23"/>
  <c r="EL166" i="23"/>
  <c r="EM166" i="23"/>
  <c r="EN166" i="23"/>
  <c r="EO166" i="23"/>
  <c r="EP166" i="23"/>
  <c r="EQ166" i="23"/>
  <c r="ER166" i="23"/>
  <c r="ES166" i="23"/>
  <c r="ET166" i="23"/>
  <c r="EU166" i="23"/>
  <c r="EV166" i="23"/>
  <c r="EW166" i="23"/>
  <c r="EX166" i="23"/>
  <c r="EY166" i="23"/>
  <c r="EZ166" i="23"/>
  <c r="FA166" i="23"/>
  <c r="FB166" i="23"/>
  <c r="FC166" i="23"/>
  <c r="FD166" i="23"/>
  <c r="FE166" i="23"/>
  <c r="FF166" i="23"/>
  <c r="FG166" i="23"/>
  <c r="FH166" i="23"/>
  <c r="FI166" i="23"/>
  <c r="FJ166" i="23"/>
  <c r="FK166" i="23"/>
  <c r="FL166" i="23"/>
  <c r="FM166" i="23"/>
  <c r="FN166" i="23"/>
  <c r="FO166" i="23"/>
  <c r="FP166" i="23"/>
  <c r="FQ166" i="23"/>
  <c r="FR166" i="23"/>
  <c r="FS166" i="23"/>
  <c r="FT166" i="23"/>
  <c r="FU166" i="23"/>
  <c r="FV166" i="23"/>
  <c r="FW166" i="23"/>
  <c r="FX166" i="23"/>
  <c r="FY166" i="23"/>
  <c r="FZ166" i="23"/>
  <c r="GA166" i="23"/>
  <c r="GB166" i="23"/>
  <c r="GC166" i="23"/>
  <c r="GD166" i="23"/>
  <c r="GE166" i="23"/>
  <c r="GF166" i="23"/>
  <c r="GG166" i="23"/>
  <c r="GH166" i="23"/>
  <c r="GI166" i="23"/>
  <c r="GJ166" i="23"/>
  <c r="GK166" i="23"/>
  <c r="GL166" i="23"/>
  <c r="GM166" i="23"/>
  <c r="GN166" i="23"/>
  <c r="GO166" i="23"/>
  <c r="GP166" i="23"/>
  <c r="GQ166" i="23"/>
  <c r="GR166" i="23"/>
  <c r="GS166" i="23"/>
  <c r="GT166" i="23"/>
  <c r="GU166" i="23"/>
  <c r="GV166" i="23"/>
  <c r="GW166" i="23"/>
  <c r="GX166" i="23"/>
  <c r="GY166" i="23"/>
  <c r="GZ166" i="23"/>
  <c r="HA166" i="23"/>
  <c r="HB166" i="23"/>
  <c r="HC166" i="23"/>
  <c r="HD166" i="23"/>
  <c r="HE166" i="23"/>
  <c r="HF166" i="23"/>
  <c r="HG166" i="23"/>
  <c r="HH166" i="23"/>
  <c r="HI166" i="23"/>
  <c r="HJ166" i="23"/>
  <c r="HK166" i="23"/>
  <c r="HL166" i="23"/>
  <c r="HM166" i="23"/>
  <c r="HN166" i="23"/>
  <c r="HO166" i="23"/>
  <c r="HP166" i="23"/>
  <c r="HQ166" i="23"/>
  <c r="HR166" i="23"/>
  <c r="HS166" i="23"/>
  <c r="HT166" i="23"/>
  <c r="HU166" i="23"/>
  <c r="HV166" i="23"/>
  <c r="HW166" i="23"/>
  <c r="HX166" i="23"/>
  <c r="HY166" i="23"/>
  <c r="HZ166" i="23"/>
  <c r="IA166" i="23"/>
  <c r="IB166" i="23"/>
  <c r="IC166" i="23"/>
  <c r="ID166" i="23"/>
  <c r="IE166" i="23"/>
  <c r="IF166" i="23"/>
  <c r="IG166" i="23"/>
  <c r="IH166" i="23"/>
  <c r="II166" i="23"/>
  <c r="IJ166" i="23"/>
  <c r="IK166" i="23"/>
  <c r="IL166" i="23"/>
  <c r="IM166" i="23"/>
  <c r="IN166" i="23"/>
  <c r="IO166" i="23"/>
  <c r="IP166" i="23"/>
  <c r="IQ166" i="23"/>
  <c r="IR166" i="23"/>
  <c r="IS166" i="23"/>
  <c r="IT166" i="23"/>
  <c r="IU166" i="23"/>
  <c r="IV166" i="23"/>
  <c r="A165" i="23"/>
  <c r="B165" i="23"/>
  <c r="C165" i="23"/>
  <c r="D165" i="23"/>
  <c r="E165" i="23"/>
  <c r="F165" i="23"/>
  <c r="G165" i="23"/>
  <c r="H165" i="23"/>
  <c r="I165" i="23"/>
  <c r="J165" i="23"/>
  <c r="K165" i="23"/>
  <c r="L165" i="23"/>
  <c r="M165" i="23"/>
  <c r="N165" i="23"/>
  <c r="O165" i="23"/>
  <c r="P165" i="23"/>
  <c r="Q165" i="23"/>
  <c r="R165" i="23"/>
  <c r="S165" i="23"/>
  <c r="T165" i="23"/>
  <c r="U165" i="23"/>
  <c r="V165" i="23"/>
  <c r="W165" i="23"/>
  <c r="X165" i="23"/>
  <c r="Y165" i="23"/>
  <c r="Z165" i="23"/>
  <c r="AA165" i="23"/>
  <c r="AB165" i="23"/>
  <c r="AC165" i="23"/>
  <c r="AD165" i="23"/>
  <c r="AE165" i="23"/>
  <c r="AF165" i="23"/>
  <c r="AG165" i="23"/>
  <c r="AH165" i="23"/>
  <c r="AI165" i="23"/>
  <c r="AJ165" i="23"/>
  <c r="AK165" i="23"/>
  <c r="AL165" i="23"/>
  <c r="AM165" i="23"/>
  <c r="AN165" i="23"/>
  <c r="AO165" i="23"/>
  <c r="AP165" i="23"/>
  <c r="AQ165" i="23"/>
  <c r="AR165" i="23"/>
  <c r="AS165" i="23"/>
  <c r="AT165" i="23"/>
  <c r="AU165" i="23"/>
  <c r="AV165" i="23"/>
  <c r="AW165" i="23"/>
  <c r="AX165" i="23"/>
  <c r="AY165" i="23"/>
  <c r="AZ165" i="23"/>
  <c r="BA165" i="23"/>
  <c r="BB165" i="23"/>
  <c r="BC165" i="23"/>
  <c r="BD165" i="23"/>
  <c r="BE165" i="23"/>
  <c r="BF165" i="23"/>
  <c r="BG165" i="23"/>
  <c r="BH165" i="23"/>
  <c r="BI165" i="23"/>
  <c r="BJ165" i="23"/>
  <c r="BK165" i="23"/>
  <c r="BL165" i="23"/>
  <c r="BM165" i="23"/>
  <c r="BN165" i="23"/>
  <c r="BO165" i="23"/>
  <c r="BP165" i="23"/>
  <c r="BQ165" i="23"/>
  <c r="BR165" i="23"/>
  <c r="BS165" i="23"/>
  <c r="BT165" i="23"/>
  <c r="BU165" i="23"/>
  <c r="BV165" i="23"/>
  <c r="BW165" i="23"/>
  <c r="BX165" i="23"/>
  <c r="BY165" i="23"/>
  <c r="BZ165" i="23"/>
  <c r="CA165" i="23"/>
  <c r="CB165" i="23"/>
  <c r="CC165" i="23"/>
  <c r="CD165" i="23"/>
  <c r="CE165" i="23"/>
  <c r="CF165" i="23"/>
  <c r="CG165" i="23"/>
  <c r="CH165" i="23"/>
  <c r="CI165" i="23"/>
  <c r="CJ165" i="23"/>
  <c r="CK165" i="23"/>
  <c r="CL165" i="23"/>
  <c r="CM165" i="23"/>
  <c r="CN165" i="23"/>
  <c r="CO165" i="23"/>
  <c r="CP165" i="23"/>
  <c r="CQ165" i="23"/>
  <c r="CR165" i="23"/>
  <c r="CS165" i="23"/>
  <c r="CT165" i="23"/>
  <c r="CU165" i="23"/>
  <c r="CV165" i="23"/>
  <c r="CW165" i="23"/>
  <c r="CX165" i="23"/>
  <c r="CY165" i="23"/>
  <c r="CZ165" i="23"/>
  <c r="DA165" i="23"/>
  <c r="DB165" i="23"/>
  <c r="DC165" i="23"/>
  <c r="DD165" i="23"/>
  <c r="DE165" i="23"/>
  <c r="DF165" i="23"/>
  <c r="DG165" i="23"/>
  <c r="DH165" i="23"/>
  <c r="DI165" i="23"/>
  <c r="DJ165" i="23"/>
  <c r="DK165" i="23"/>
  <c r="DL165" i="23"/>
  <c r="DM165" i="23"/>
  <c r="DN165" i="23"/>
  <c r="DO165" i="23"/>
  <c r="DP165" i="23"/>
  <c r="DQ165" i="23"/>
  <c r="DR165" i="23"/>
  <c r="DS165" i="23"/>
  <c r="DT165" i="23"/>
  <c r="DU165" i="23"/>
  <c r="DV165" i="23"/>
  <c r="DW165" i="23"/>
  <c r="DX165" i="23"/>
  <c r="DY165" i="23"/>
  <c r="DZ165" i="23"/>
  <c r="EA165" i="23"/>
  <c r="EB165" i="23"/>
  <c r="EC165" i="23"/>
  <c r="ED165" i="23"/>
  <c r="EE165" i="23"/>
  <c r="EF165" i="23"/>
  <c r="EG165" i="23"/>
  <c r="EH165" i="23"/>
  <c r="EI165" i="23"/>
  <c r="EJ165" i="23"/>
  <c r="EK165" i="23"/>
  <c r="EL165" i="23"/>
  <c r="EM165" i="23"/>
  <c r="EN165" i="23"/>
  <c r="EO165" i="23"/>
  <c r="EP165" i="23"/>
  <c r="EQ165" i="23"/>
  <c r="ER165" i="23"/>
  <c r="ES165" i="23"/>
  <c r="ET165" i="23"/>
  <c r="EU165" i="23"/>
  <c r="EV165" i="23"/>
  <c r="EW165" i="23"/>
  <c r="EX165" i="23"/>
  <c r="EY165" i="23"/>
  <c r="EZ165" i="23"/>
  <c r="FA165" i="23"/>
  <c r="FB165" i="23"/>
  <c r="FC165" i="23"/>
  <c r="FD165" i="23"/>
  <c r="FE165" i="23"/>
  <c r="FF165" i="23"/>
  <c r="FG165" i="23"/>
  <c r="FH165" i="23"/>
  <c r="FI165" i="23"/>
  <c r="FJ165" i="23"/>
  <c r="FK165" i="23"/>
  <c r="FL165" i="23"/>
  <c r="FM165" i="23"/>
  <c r="FN165" i="23"/>
  <c r="FO165" i="23"/>
  <c r="FP165" i="23"/>
  <c r="FQ165" i="23"/>
  <c r="FR165" i="23"/>
  <c r="FS165" i="23"/>
  <c r="FT165" i="23"/>
  <c r="FU165" i="23"/>
  <c r="FV165" i="23"/>
  <c r="FW165" i="23"/>
  <c r="FX165" i="23"/>
  <c r="FY165" i="23"/>
  <c r="FZ165" i="23"/>
  <c r="GA165" i="23"/>
  <c r="GB165" i="23"/>
  <c r="GC165" i="23"/>
  <c r="GD165" i="23"/>
  <c r="GE165" i="23"/>
  <c r="GF165" i="23"/>
  <c r="GG165" i="23"/>
  <c r="GH165" i="23"/>
  <c r="GI165" i="23"/>
  <c r="GJ165" i="23"/>
  <c r="GK165" i="23"/>
  <c r="GL165" i="23"/>
  <c r="GM165" i="23"/>
  <c r="GN165" i="23"/>
  <c r="GO165" i="23"/>
  <c r="GP165" i="23"/>
  <c r="GQ165" i="23"/>
  <c r="GR165" i="23"/>
  <c r="GS165" i="23"/>
  <c r="GT165" i="23"/>
  <c r="GU165" i="23"/>
  <c r="GV165" i="23"/>
  <c r="GW165" i="23"/>
  <c r="GX165" i="23"/>
  <c r="GY165" i="23"/>
  <c r="GZ165" i="23"/>
  <c r="HA165" i="23"/>
  <c r="HB165" i="23"/>
  <c r="HC165" i="23"/>
  <c r="HD165" i="23"/>
  <c r="HE165" i="23"/>
  <c r="HF165" i="23"/>
  <c r="HG165" i="23"/>
  <c r="HH165" i="23"/>
  <c r="HI165" i="23"/>
  <c r="HJ165" i="23"/>
  <c r="HK165" i="23"/>
  <c r="HL165" i="23"/>
  <c r="HM165" i="23"/>
  <c r="HN165" i="23"/>
  <c r="HO165" i="23"/>
  <c r="HP165" i="23"/>
  <c r="HQ165" i="23"/>
  <c r="HR165" i="23"/>
  <c r="HS165" i="23"/>
  <c r="HT165" i="23"/>
  <c r="HU165" i="23"/>
  <c r="HV165" i="23"/>
  <c r="HW165" i="23"/>
  <c r="HX165" i="23"/>
  <c r="HY165" i="23"/>
  <c r="HZ165" i="23"/>
  <c r="IA165" i="23"/>
  <c r="IB165" i="23"/>
  <c r="IC165" i="23"/>
  <c r="ID165" i="23"/>
  <c r="IE165" i="23"/>
  <c r="IF165" i="23"/>
  <c r="IG165" i="23"/>
  <c r="IH165" i="23"/>
  <c r="II165" i="23"/>
  <c r="IJ165" i="23"/>
  <c r="IK165" i="23"/>
  <c r="IL165" i="23"/>
  <c r="IM165" i="23"/>
  <c r="IN165" i="23"/>
  <c r="IO165" i="23"/>
  <c r="IP165" i="23"/>
  <c r="IQ165" i="23"/>
  <c r="IR165" i="23"/>
  <c r="IS165" i="23"/>
  <c r="IT165" i="23"/>
  <c r="IU165" i="23"/>
  <c r="IV165" i="23"/>
  <c r="A164" i="23"/>
  <c r="B164" i="23"/>
  <c r="C164" i="23"/>
  <c r="D164" i="23"/>
  <c r="E164" i="23"/>
  <c r="F164" i="23"/>
  <c r="G164" i="23"/>
  <c r="H164" i="23"/>
  <c r="I164" i="23"/>
  <c r="J164" i="23"/>
  <c r="K164" i="23"/>
  <c r="L164" i="23"/>
  <c r="M164" i="23"/>
  <c r="N164" i="23"/>
  <c r="O164" i="23"/>
  <c r="P164" i="23"/>
  <c r="Q164" i="23"/>
  <c r="R164" i="23"/>
  <c r="S164" i="23"/>
  <c r="T164" i="23"/>
  <c r="U164" i="23"/>
  <c r="V164" i="23"/>
  <c r="W164" i="23"/>
  <c r="X164" i="23"/>
  <c r="Y164" i="23"/>
  <c r="Z164" i="23"/>
  <c r="AA164" i="23"/>
  <c r="AB164" i="23"/>
  <c r="AC164" i="23"/>
  <c r="AD164" i="23"/>
  <c r="AE164" i="23"/>
  <c r="AF164" i="23"/>
  <c r="AG164" i="23"/>
  <c r="AH164" i="23"/>
  <c r="AI164" i="23"/>
  <c r="AJ164" i="23"/>
  <c r="AK164" i="23"/>
  <c r="AL164" i="23"/>
  <c r="AM164" i="23"/>
  <c r="AN164" i="23"/>
  <c r="AO164" i="23"/>
  <c r="AP164" i="23"/>
  <c r="AQ164" i="23"/>
  <c r="AR164" i="23"/>
  <c r="AS164" i="23"/>
  <c r="AT164" i="23"/>
  <c r="AU164" i="23"/>
  <c r="AV164" i="23"/>
  <c r="AW164" i="23"/>
  <c r="AX164" i="23"/>
  <c r="AY164" i="23"/>
  <c r="AZ164" i="23"/>
  <c r="BA164" i="23"/>
  <c r="BB164" i="23"/>
  <c r="BC164" i="23"/>
  <c r="BD164" i="23"/>
  <c r="BE164" i="23"/>
  <c r="BF164" i="23"/>
  <c r="BG164" i="23"/>
  <c r="BH164" i="23"/>
  <c r="BI164" i="23"/>
  <c r="BJ164" i="23"/>
  <c r="BK164" i="23"/>
  <c r="BL164" i="23"/>
  <c r="BM164" i="23"/>
  <c r="BN164" i="23"/>
  <c r="BO164" i="23"/>
  <c r="BP164" i="23"/>
  <c r="BQ164" i="23"/>
  <c r="BR164" i="23"/>
  <c r="BS164" i="23"/>
  <c r="BT164" i="23"/>
  <c r="BU164" i="23"/>
  <c r="BV164" i="23"/>
  <c r="BW164" i="23"/>
  <c r="BX164" i="23"/>
  <c r="BY164" i="23"/>
  <c r="BZ164" i="23"/>
  <c r="CA164" i="23"/>
  <c r="CB164" i="23"/>
  <c r="CC164" i="23"/>
  <c r="CD164" i="23"/>
  <c r="CE164" i="23"/>
  <c r="CF164" i="23"/>
  <c r="CG164" i="23"/>
  <c r="CH164" i="23"/>
  <c r="CI164" i="23"/>
  <c r="CJ164" i="23"/>
  <c r="CK164" i="23"/>
  <c r="CL164" i="23"/>
  <c r="CM164" i="23"/>
  <c r="CN164" i="23"/>
  <c r="CO164" i="23"/>
  <c r="CP164" i="23"/>
  <c r="CQ164" i="23"/>
  <c r="CR164" i="23"/>
  <c r="CS164" i="23"/>
  <c r="CT164" i="23"/>
  <c r="CU164" i="23"/>
  <c r="CV164" i="23"/>
  <c r="CW164" i="23"/>
  <c r="CX164" i="23"/>
  <c r="CY164" i="23"/>
  <c r="CZ164" i="23"/>
  <c r="DA164" i="23"/>
  <c r="DB164" i="23"/>
  <c r="DC164" i="23"/>
  <c r="DD164" i="23"/>
  <c r="DE164" i="23"/>
  <c r="DF164" i="23"/>
  <c r="DG164" i="23"/>
  <c r="DH164" i="23"/>
  <c r="DI164" i="23"/>
  <c r="DJ164" i="23"/>
  <c r="DK164" i="23"/>
  <c r="DL164" i="23"/>
  <c r="DM164" i="23"/>
  <c r="DN164" i="23"/>
  <c r="DO164" i="23"/>
  <c r="DP164" i="23"/>
  <c r="DQ164" i="23"/>
  <c r="DR164" i="23"/>
  <c r="DS164" i="23"/>
  <c r="DT164" i="23"/>
  <c r="DU164" i="23"/>
  <c r="DV164" i="23"/>
  <c r="DW164" i="23"/>
  <c r="DX164" i="23"/>
  <c r="DY164" i="23"/>
  <c r="DZ164" i="23"/>
  <c r="EA164" i="23"/>
  <c r="EB164" i="23"/>
  <c r="EC164" i="23"/>
  <c r="ED164" i="23"/>
  <c r="EE164" i="23"/>
  <c r="EF164" i="23"/>
  <c r="EG164" i="23"/>
  <c r="EH164" i="23"/>
  <c r="EI164" i="23"/>
  <c r="EJ164" i="23"/>
  <c r="EK164" i="23"/>
  <c r="EL164" i="23"/>
  <c r="EM164" i="23"/>
  <c r="EN164" i="23"/>
  <c r="EO164" i="23"/>
  <c r="EP164" i="23"/>
  <c r="EQ164" i="23"/>
  <c r="ER164" i="23"/>
  <c r="ES164" i="23"/>
  <c r="ET164" i="23"/>
  <c r="EU164" i="23"/>
  <c r="EV164" i="23"/>
  <c r="EW164" i="23"/>
  <c r="EX164" i="23"/>
  <c r="EY164" i="23"/>
  <c r="EZ164" i="23"/>
  <c r="FA164" i="23"/>
  <c r="FB164" i="23"/>
  <c r="FC164" i="23"/>
  <c r="FD164" i="23"/>
  <c r="FE164" i="23"/>
  <c r="FF164" i="23"/>
  <c r="FG164" i="23"/>
  <c r="FH164" i="23"/>
  <c r="FI164" i="23"/>
  <c r="FJ164" i="23"/>
  <c r="FK164" i="23"/>
  <c r="FL164" i="23"/>
  <c r="FM164" i="23"/>
  <c r="FN164" i="23"/>
  <c r="FO164" i="23"/>
  <c r="FP164" i="23"/>
  <c r="FQ164" i="23"/>
  <c r="FR164" i="23"/>
  <c r="FS164" i="23"/>
  <c r="FT164" i="23"/>
  <c r="FU164" i="23"/>
  <c r="FV164" i="23"/>
  <c r="FW164" i="23"/>
  <c r="FX164" i="23"/>
  <c r="FY164" i="23"/>
  <c r="FZ164" i="23"/>
  <c r="GA164" i="23"/>
  <c r="GB164" i="23"/>
  <c r="GC164" i="23"/>
  <c r="GD164" i="23"/>
  <c r="GE164" i="23"/>
  <c r="GF164" i="23"/>
  <c r="GG164" i="23"/>
  <c r="GH164" i="23"/>
  <c r="GI164" i="23"/>
  <c r="GJ164" i="23"/>
  <c r="GK164" i="23"/>
  <c r="GL164" i="23"/>
  <c r="GM164" i="23"/>
  <c r="GN164" i="23"/>
  <c r="GO164" i="23"/>
  <c r="GP164" i="23"/>
  <c r="GQ164" i="23"/>
  <c r="GR164" i="23"/>
  <c r="GS164" i="23"/>
  <c r="GT164" i="23"/>
  <c r="GU164" i="23"/>
  <c r="GV164" i="23"/>
  <c r="GW164" i="23"/>
  <c r="GX164" i="23"/>
  <c r="GY164" i="23"/>
  <c r="GZ164" i="23"/>
  <c r="HA164" i="23"/>
  <c r="HB164" i="23"/>
  <c r="HC164" i="23"/>
  <c r="HD164" i="23"/>
  <c r="HE164" i="23"/>
  <c r="HF164" i="23"/>
  <c r="HG164" i="23"/>
  <c r="HH164" i="23"/>
  <c r="HI164" i="23"/>
  <c r="HJ164" i="23"/>
  <c r="HK164" i="23"/>
  <c r="HL164" i="23"/>
  <c r="HM164" i="23"/>
  <c r="HN164" i="23"/>
  <c r="HO164" i="23"/>
  <c r="HP164" i="23"/>
  <c r="HQ164" i="23"/>
  <c r="HR164" i="23"/>
  <c r="HS164" i="23"/>
  <c r="HT164" i="23"/>
  <c r="HU164" i="23"/>
  <c r="HV164" i="23"/>
  <c r="HW164" i="23"/>
  <c r="HX164" i="23"/>
  <c r="HY164" i="23"/>
  <c r="HZ164" i="23"/>
  <c r="IA164" i="23"/>
  <c r="IB164" i="23"/>
  <c r="IC164" i="23"/>
  <c r="ID164" i="23"/>
  <c r="IE164" i="23"/>
  <c r="IF164" i="23"/>
  <c r="IG164" i="23"/>
  <c r="IH164" i="23"/>
  <c r="II164" i="23"/>
  <c r="IJ164" i="23"/>
  <c r="IK164" i="23"/>
  <c r="IL164" i="23"/>
  <c r="IM164" i="23"/>
  <c r="IN164" i="23"/>
  <c r="IO164" i="23"/>
  <c r="IP164" i="23"/>
  <c r="IQ164" i="23"/>
  <c r="IR164" i="23"/>
  <c r="IS164" i="23"/>
  <c r="IT164" i="23"/>
  <c r="IU164" i="23"/>
  <c r="IV164" i="23"/>
  <c r="A163" i="23"/>
  <c r="B163" i="23"/>
  <c r="C163" i="23"/>
  <c r="D163" i="23"/>
  <c r="E163" i="23"/>
  <c r="F163" i="23"/>
  <c r="G163" i="23"/>
  <c r="H163" i="23"/>
  <c r="I163" i="23"/>
  <c r="J163" i="23"/>
  <c r="K163" i="23"/>
  <c r="L163" i="23"/>
  <c r="M163" i="23"/>
  <c r="N163" i="23"/>
  <c r="O163" i="23"/>
  <c r="P163" i="23"/>
  <c r="Q163" i="23"/>
  <c r="R163" i="23"/>
  <c r="S163" i="23"/>
  <c r="T163" i="23"/>
  <c r="U163" i="23"/>
  <c r="V163" i="23"/>
  <c r="W163" i="23"/>
  <c r="X163" i="23"/>
  <c r="Y163" i="23"/>
  <c r="Z163" i="23"/>
  <c r="AA163" i="23"/>
  <c r="AB163" i="23"/>
  <c r="AC163" i="23"/>
  <c r="AD163" i="23"/>
  <c r="AE163" i="23"/>
  <c r="AF163" i="23"/>
  <c r="AG163" i="23"/>
  <c r="AH163" i="23"/>
  <c r="AI163" i="23"/>
  <c r="AJ163" i="23"/>
  <c r="AK163" i="23"/>
  <c r="AL163" i="23"/>
  <c r="AM163" i="23"/>
  <c r="AN163" i="23"/>
  <c r="AO163" i="23"/>
  <c r="AP163" i="23"/>
  <c r="AQ163" i="23"/>
  <c r="AR163" i="23"/>
  <c r="AS163" i="23"/>
  <c r="AT163" i="23"/>
  <c r="AU163" i="23"/>
  <c r="AV163" i="23"/>
  <c r="AW163" i="23"/>
  <c r="AX163" i="23"/>
  <c r="AY163" i="23"/>
  <c r="AZ163" i="23"/>
  <c r="BA163" i="23"/>
  <c r="BB163" i="23"/>
  <c r="BC163" i="23"/>
  <c r="BD163" i="23"/>
  <c r="BE163" i="23"/>
  <c r="BF163" i="23"/>
  <c r="BG163" i="23"/>
  <c r="BH163" i="23"/>
  <c r="BI163" i="23"/>
  <c r="BJ163" i="23"/>
  <c r="BK163" i="23"/>
  <c r="BL163" i="23"/>
  <c r="BM163" i="23"/>
  <c r="BN163" i="23"/>
  <c r="BO163" i="23"/>
  <c r="BP163" i="23"/>
  <c r="BQ163" i="23"/>
  <c r="BR163" i="23"/>
  <c r="BS163" i="23"/>
  <c r="BT163" i="23"/>
  <c r="BU163" i="23"/>
  <c r="BV163" i="23"/>
  <c r="BW163" i="23"/>
  <c r="BX163" i="23"/>
  <c r="BY163" i="23"/>
  <c r="BZ163" i="23"/>
  <c r="CA163" i="23"/>
  <c r="CB163" i="23"/>
  <c r="CC163" i="23"/>
  <c r="CD163" i="23"/>
  <c r="CE163" i="23"/>
  <c r="CF163" i="23"/>
  <c r="CG163" i="23"/>
  <c r="CH163" i="23"/>
  <c r="CI163" i="23"/>
  <c r="CJ163" i="23"/>
  <c r="CK163" i="23"/>
  <c r="CL163" i="23"/>
  <c r="CM163" i="23"/>
  <c r="CN163" i="23"/>
  <c r="CO163" i="23"/>
  <c r="CP163" i="23"/>
  <c r="CQ163" i="23"/>
  <c r="CR163" i="23"/>
  <c r="CS163" i="23"/>
  <c r="CT163" i="23"/>
  <c r="CU163" i="23"/>
  <c r="CV163" i="23"/>
  <c r="CW163" i="23"/>
  <c r="CX163" i="23"/>
  <c r="CY163" i="23"/>
  <c r="CZ163" i="23"/>
  <c r="DA163" i="23"/>
  <c r="DB163" i="23"/>
  <c r="DC163" i="23"/>
  <c r="DD163" i="23"/>
  <c r="DE163" i="23"/>
  <c r="DF163" i="23"/>
  <c r="DG163" i="23"/>
  <c r="DH163" i="23"/>
  <c r="DI163" i="23"/>
  <c r="DJ163" i="23"/>
  <c r="DK163" i="23"/>
  <c r="DL163" i="23"/>
  <c r="DM163" i="23"/>
  <c r="DN163" i="23"/>
  <c r="DO163" i="23"/>
  <c r="DP163" i="23"/>
  <c r="DQ163" i="23"/>
  <c r="DR163" i="23"/>
  <c r="DS163" i="23"/>
  <c r="DT163" i="23"/>
  <c r="DU163" i="23"/>
  <c r="DV163" i="23"/>
  <c r="DW163" i="23"/>
  <c r="DX163" i="23"/>
  <c r="DY163" i="23"/>
  <c r="DZ163" i="23"/>
  <c r="EA163" i="23"/>
  <c r="EB163" i="23"/>
  <c r="EC163" i="23"/>
  <c r="ED163" i="23"/>
  <c r="EE163" i="23"/>
  <c r="EF163" i="23"/>
  <c r="EG163" i="23"/>
  <c r="EH163" i="23"/>
  <c r="EI163" i="23"/>
  <c r="EJ163" i="23"/>
  <c r="EK163" i="23"/>
  <c r="EL163" i="23"/>
  <c r="EM163" i="23"/>
  <c r="EN163" i="23"/>
  <c r="EO163" i="23"/>
  <c r="EP163" i="23"/>
  <c r="EQ163" i="23"/>
  <c r="ER163" i="23"/>
  <c r="ES163" i="23"/>
  <c r="ET163" i="23"/>
  <c r="EU163" i="23"/>
  <c r="EV163" i="23"/>
  <c r="EW163" i="23"/>
  <c r="EX163" i="23"/>
  <c r="EY163" i="23"/>
  <c r="EZ163" i="23"/>
  <c r="FA163" i="23"/>
  <c r="FB163" i="23"/>
  <c r="FC163" i="23"/>
  <c r="FD163" i="23"/>
  <c r="FE163" i="23"/>
  <c r="FF163" i="23"/>
  <c r="FG163" i="23"/>
  <c r="FH163" i="23"/>
  <c r="FI163" i="23"/>
  <c r="FJ163" i="23"/>
  <c r="FK163" i="23"/>
  <c r="FL163" i="23"/>
  <c r="FM163" i="23"/>
  <c r="FN163" i="23"/>
  <c r="FO163" i="23"/>
  <c r="FP163" i="23"/>
  <c r="FQ163" i="23"/>
  <c r="FR163" i="23"/>
  <c r="FS163" i="23"/>
  <c r="FT163" i="23"/>
  <c r="FU163" i="23"/>
  <c r="FV163" i="23"/>
  <c r="FW163" i="23"/>
  <c r="FX163" i="23"/>
  <c r="FY163" i="23"/>
  <c r="FZ163" i="23"/>
  <c r="GA163" i="23"/>
  <c r="GB163" i="23"/>
  <c r="GC163" i="23"/>
  <c r="GD163" i="23"/>
  <c r="GE163" i="23"/>
  <c r="GF163" i="23"/>
  <c r="GG163" i="23"/>
  <c r="GH163" i="23"/>
  <c r="GI163" i="23"/>
  <c r="GJ163" i="23"/>
  <c r="GK163" i="23"/>
  <c r="GL163" i="23"/>
  <c r="GM163" i="23"/>
  <c r="GN163" i="23"/>
  <c r="GO163" i="23"/>
  <c r="GP163" i="23"/>
  <c r="GQ163" i="23"/>
  <c r="GR163" i="23"/>
  <c r="GS163" i="23"/>
  <c r="GT163" i="23"/>
  <c r="GU163" i="23"/>
  <c r="GV163" i="23"/>
  <c r="GW163" i="23"/>
  <c r="GX163" i="23"/>
  <c r="GY163" i="23"/>
  <c r="GZ163" i="23"/>
  <c r="HA163" i="23"/>
  <c r="HB163" i="23"/>
  <c r="HC163" i="23"/>
  <c r="HD163" i="23"/>
  <c r="HE163" i="23"/>
  <c r="HF163" i="23"/>
  <c r="HG163" i="23"/>
  <c r="HH163" i="23"/>
  <c r="HI163" i="23"/>
  <c r="HJ163" i="23"/>
  <c r="HK163" i="23"/>
  <c r="HL163" i="23"/>
  <c r="HM163" i="23"/>
  <c r="HN163" i="23"/>
  <c r="HO163" i="23"/>
  <c r="HP163" i="23"/>
  <c r="HQ163" i="23"/>
  <c r="HR163" i="23"/>
  <c r="HS163" i="23"/>
  <c r="HT163" i="23"/>
  <c r="HU163" i="23"/>
  <c r="HV163" i="23"/>
  <c r="HW163" i="23"/>
  <c r="HX163" i="23"/>
  <c r="HY163" i="23"/>
  <c r="HZ163" i="23"/>
  <c r="IA163" i="23"/>
  <c r="IB163" i="23"/>
  <c r="IC163" i="23"/>
  <c r="ID163" i="23"/>
  <c r="IE163" i="23"/>
  <c r="IF163" i="23"/>
  <c r="IG163" i="23"/>
  <c r="IH163" i="23"/>
  <c r="II163" i="23"/>
  <c r="IJ163" i="23"/>
  <c r="IK163" i="23"/>
  <c r="IL163" i="23"/>
  <c r="IM163" i="23"/>
  <c r="IN163" i="23"/>
  <c r="IO163" i="23"/>
  <c r="IP163" i="23"/>
  <c r="IQ163" i="23"/>
  <c r="IR163" i="23"/>
  <c r="IS163" i="23"/>
  <c r="IT163" i="23"/>
  <c r="IU163" i="23"/>
  <c r="IV163" i="23"/>
  <c r="A162" i="23"/>
  <c r="B162" i="23"/>
  <c r="C162" i="23"/>
  <c r="D162" i="23"/>
  <c r="E162" i="23"/>
  <c r="F162" i="23"/>
  <c r="G162" i="23"/>
  <c r="H162" i="23"/>
  <c r="I162" i="23"/>
  <c r="J162" i="23"/>
  <c r="K162" i="23"/>
  <c r="L162" i="23"/>
  <c r="M162" i="23"/>
  <c r="N162" i="23"/>
  <c r="O162" i="23"/>
  <c r="P162" i="23"/>
  <c r="Q162" i="23"/>
  <c r="R162" i="23"/>
  <c r="S162" i="23"/>
  <c r="T162" i="23"/>
  <c r="U162" i="23"/>
  <c r="V162" i="23"/>
  <c r="W162" i="23"/>
  <c r="X162" i="23"/>
  <c r="Y162" i="23"/>
  <c r="Z162" i="23"/>
  <c r="AA162" i="23"/>
  <c r="AB162" i="23"/>
  <c r="AC162" i="23"/>
  <c r="AD162" i="23"/>
  <c r="AE162" i="23"/>
  <c r="AF162" i="23"/>
  <c r="AG162" i="23"/>
  <c r="AH162" i="23"/>
  <c r="AI162" i="23"/>
  <c r="AJ162" i="23"/>
  <c r="AK162" i="23"/>
  <c r="AL162" i="23"/>
  <c r="AM162" i="23"/>
  <c r="AN162" i="23"/>
  <c r="AO162" i="23"/>
  <c r="AP162" i="23"/>
  <c r="AQ162" i="23"/>
  <c r="AR162" i="23"/>
  <c r="AS162" i="23"/>
  <c r="AT162" i="23"/>
  <c r="AU162" i="23"/>
  <c r="AV162" i="23"/>
  <c r="AW162" i="23"/>
  <c r="AX162" i="23"/>
  <c r="AY162" i="23"/>
  <c r="AZ162" i="23"/>
  <c r="BA162" i="23"/>
  <c r="BB162" i="23"/>
  <c r="BC162" i="23"/>
  <c r="BD162" i="23"/>
  <c r="BE162" i="23"/>
  <c r="BF162" i="23"/>
  <c r="BG162" i="23"/>
  <c r="BH162" i="23"/>
  <c r="BI162" i="23"/>
  <c r="BJ162" i="23"/>
  <c r="BK162" i="23"/>
  <c r="BL162" i="23"/>
  <c r="BM162" i="23"/>
  <c r="BN162" i="23"/>
  <c r="BO162" i="23"/>
  <c r="BP162" i="23"/>
  <c r="BQ162" i="23"/>
  <c r="BR162" i="23"/>
  <c r="BS162" i="23"/>
  <c r="BT162" i="23"/>
  <c r="BU162" i="23"/>
  <c r="BV162" i="23"/>
  <c r="BW162" i="23"/>
  <c r="BX162" i="23"/>
  <c r="BY162" i="23"/>
  <c r="BZ162" i="23"/>
  <c r="CA162" i="23"/>
  <c r="CB162" i="23"/>
  <c r="CC162" i="23"/>
  <c r="CD162" i="23"/>
  <c r="CE162" i="23"/>
  <c r="CF162" i="23"/>
  <c r="CG162" i="23"/>
  <c r="CH162" i="23"/>
  <c r="CI162" i="23"/>
  <c r="CJ162" i="23"/>
  <c r="CK162" i="23"/>
  <c r="CL162" i="23"/>
  <c r="CM162" i="23"/>
  <c r="CN162" i="23"/>
  <c r="CO162" i="23"/>
  <c r="CP162" i="23"/>
  <c r="CQ162" i="23"/>
  <c r="CR162" i="23"/>
  <c r="CS162" i="23"/>
  <c r="CT162" i="23"/>
  <c r="CU162" i="23"/>
  <c r="CV162" i="23"/>
  <c r="CW162" i="23"/>
  <c r="CX162" i="23"/>
  <c r="CY162" i="23"/>
  <c r="CZ162" i="23"/>
  <c r="DA162" i="23"/>
  <c r="DB162" i="23"/>
  <c r="DC162" i="23"/>
  <c r="DD162" i="23"/>
  <c r="DE162" i="23"/>
  <c r="DF162" i="23"/>
  <c r="DG162" i="23"/>
  <c r="DH162" i="23"/>
  <c r="DI162" i="23"/>
  <c r="DJ162" i="23"/>
  <c r="DK162" i="23"/>
  <c r="DL162" i="23"/>
  <c r="DM162" i="23"/>
  <c r="DN162" i="23"/>
  <c r="DO162" i="23"/>
  <c r="DP162" i="23"/>
  <c r="DQ162" i="23"/>
  <c r="DR162" i="23"/>
  <c r="DS162" i="23"/>
  <c r="DT162" i="23"/>
  <c r="DU162" i="23"/>
  <c r="DV162" i="23"/>
  <c r="DW162" i="23"/>
  <c r="DX162" i="23"/>
  <c r="DY162" i="23"/>
  <c r="DZ162" i="23"/>
  <c r="EA162" i="23"/>
  <c r="EB162" i="23"/>
  <c r="EC162" i="23"/>
  <c r="ED162" i="23"/>
  <c r="EE162" i="23"/>
  <c r="EF162" i="23"/>
  <c r="EG162" i="23"/>
  <c r="EH162" i="23"/>
  <c r="EI162" i="23"/>
  <c r="EJ162" i="23"/>
  <c r="EK162" i="23"/>
  <c r="EL162" i="23"/>
  <c r="EM162" i="23"/>
  <c r="EN162" i="23"/>
  <c r="EO162" i="23"/>
  <c r="EP162" i="23"/>
  <c r="EQ162" i="23"/>
  <c r="ER162" i="23"/>
  <c r="ES162" i="23"/>
  <c r="ET162" i="23"/>
  <c r="EU162" i="23"/>
  <c r="EV162" i="23"/>
  <c r="EW162" i="23"/>
  <c r="EX162" i="23"/>
  <c r="EY162" i="23"/>
  <c r="EZ162" i="23"/>
  <c r="FA162" i="23"/>
  <c r="FB162" i="23"/>
  <c r="FC162" i="23"/>
  <c r="FD162" i="23"/>
  <c r="FE162" i="23"/>
  <c r="FF162" i="23"/>
  <c r="FG162" i="23"/>
  <c r="FH162" i="23"/>
  <c r="FI162" i="23"/>
  <c r="FJ162" i="23"/>
  <c r="FK162" i="23"/>
  <c r="FL162" i="23"/>
  <c r="FM162" i="23"/>
  <c r="FN162" i="23"/>
  <c r="FO162" i="23"/>
  <c r="FP162" i="23"/>
  <c r="FQ162" i="23"/>
  <c r="FR162" i="23"/>
  <c r="FS162" i="23"/>
  <c r="FT162" i="23"/>
  <c r="FU162" i="23"/>
  <c r="FV162" i="23"/>
  <c r="FW162" i="23"/>
  <c r="FX162" i="23"/>
  <c r="FY162" i="23"/>
  <c r="FZ162" i="23"/>
  <c r="GA162" i="23"/>
  <c r="GB162" i="23"/>
  <c r="GC162" i="23"/>
  <c r="GD162" i="23"/>
  <c r="GE162" i="23"/>
  <c r="GF162" i="23"/>
  <c r="GG162" i="23"/>
  <c r="GH162" i="23"/>
  <c r="GI162" i="23"/>
  <c r="GJ162" i="23"/>
  <c r="GK162" i="23"/>
  <c r="GL162" i="23"/>
  <c r="GM162" i="23"/>
  <c r="GN162" i="23"/>
  <c r="GO162" i="23"/>
  <c r="GP162" i="23"/>
  <c r="GQ162" i="23"/>
  <c r="GR162" i="23"/>
  <c r="GS162" i="23"/>
  <c r="GT162" i="23"/>
  <c r="GU162" i="23"/>
  <c r="GV162" i="23"/>
  <c r="GW162" i="23"/>
  <c r="GX162" i="23"/>
  <c r="GY162" i="23"/>
  <c r="GZ162" i="23"/>
  <c r="HA162" i="23"/>
  <c r="HB162" i="23"/>
  <c r="HC162" i="23"/>
  <c r="HD162" i="23"/>
  <c r="HE162" i="23"/>
  <c r="HF162" i="23"/>
  <c r="HG162" i="23"/>
  <c r="HH162" i="23"/>
  <c r="HI162" i="23"/>
  <c r="HJ162" i="23"/>
  <c r="HK162" i="23"/>
  <c r="HL162" i="23"/>
  <c r="HM162" i="23"/>
  <c r="HN162" i="23"/>
  <c r="HO162" i="23"/>
  <c r="HP162" i="23"/>
  <c r="HQ162" i="23"/>
  <c r="HR162" i="23"/>
  <c r="HS162" i="23"/>
  <c r="HT162" i="23"/>
  <c r="HU162" i="23"/>
  <c r="HV162" i="23"/>
  <c r="HW162" i="23"/>
  <c r="HX162" i="23"/>
  <c r="HY162" i="23"/>
  <c r="HZ162" i="23"/>
  <c r="IA162" i="23"/>
  <c r="IB162" i="23"/>
  <c r="IC162" i="23"/>
  <c r="ID162" i="23"/>
  <c r="IE162" i="23"/>
  <c r="IF162" i="23"/>
  <c r="IG162" i="23"/>
  <c r="IH162" i="23"/>
  <c r="II162" i="23"/>
  <c r="IJ162" i="23"/>
  <c r="IK162" i="23"/>
  <c r="IL162" i="23"/>
  <c r="IM162" i="23"/>
  <c r="IN162" i="23"/>
  <c r="IO162" i="23"/>
  <c r="IP162" i="23"/>
  <c r="IQ162" i="23"/>
  <c r="IR162" i="23"/>
  <c r="IS162" i="23"/>
  <c r="IT162" i="23"/>
  <c r="IU162" i="23"/>
  <c r="IV162" i="23"/>
  <c r="A161" i="23"/>
  <c r="B161" i="23"/>
  <c r="C161" i="23"/>
  <c r="D161" i="23"/>
  <c r="E161" i="23"/>
  <c r="F161" i="23"/>
  <c r="G161" i="23"/>
  <c r="H161" i="23"/>
  <c r="I161" i="23"/>
  <c r="J161" i="23"/>
  <c r="K161" i="23"/>
  <c r="L161" i="23"/>
  <c r="M161" i="23"/>
  <c r="N161" i="23"/>
  <c r="O161" i="23"/>
  <c r="P161" i="23"/>
  <c r="Q161" i="23"/>
  <c r="R161" i="23"/>
  <c r="S161" i="23"/>
  <c r="T161" i="23"/>
  <c r="U161" i="23"/>
  <c r="V161" i="23"/>
  <c r="W161" i="23"/>
  <c r="X161" i="23"/>
  <c r="Y161" i="23"/>
  <c r="Z161" i="23"/>
  <c r="AA161" i="23"/>
  <c r="AB161" i="23"/>
  <c r="AC161" i="23"/>
  <c r="AD161" i="23"/>
  <c r="AE161" i="23"/>
  <c r="AF161" i="23"/>
  <c r="AG161" i="23"/>
  <c r="AH161" i="23"/>
  <c r="AI161" i="23"/>
  <c r="AJ161" i="23"/>
  <c r="AK161" i="23"/>
  <c r="AL161" i="23"/>
  <c r="AM161" i="23"/>
  <c r="AN161" i="23"/>
  <c r="AO161" i="23"/>
  <c r="AP161" i="23"/>
  <c r="AQ161" i="23"/>
  <c r="AR161" i="23"/>
  <c r="AS161" i="23"/>
  <c r="AT161" i="23"/>
  <c r="AU161" i="23"/>
  <c r="AV161" i="23"/>
  <c r="AW161" i="23"/>
  <c r="AX161" i="23"/>
  <c r="AY161" i="23"/>
  <c r="AZ161" i="23"/>
  <c r="BA161" i="23"/>
  <c r="BB161" i="23"/>
  <c r="BC161" i="23"/>
  <c r="BD161" i="23"/>
  <c r="BE161" i="23"/>
  <c r="BF161" i="23"/>
  <c r="BG161" i="23"/>
  <c r="BH161" i="23"/>
  <c r="BI161" i="23"/>
  <c r="BJ161" i="23"/>
  <c r="BK161" i="23"/>
  <c r="BL161" i="23"/>
  <c r="BM161" i="23"/>
  <c r="BN161" i="23"/>
  <c r="BO161" i="23"/>
  <c r="BP161" i="23"/>
  <c r="BQ161" i="23"/>
  <c r="BR161" i="23"/>
  <c r="BS161" i="23"/>
  <c r="BT161" i="23"/>
  <c r="BU161" i="23"/>
  <c r="BV161" i="23"/>
  <c r="BW161" i="23"/>
  <c r="BX161" i="23"/>
  <c r="BY161" i="23"/>
  <c r="BZ161" i="23"/>
  <c r="CA161" i="23"/>
  <c r="CB161" i="23"/>
  <c r="CC161" i="23"/>
  <c r="CD161" i="23"/>
  <c r="CE161" i="23"/>
  <c r="CF161" i="23"/>
  <c r="CG161" i="23"/>
  <c r="CH161" i="23"/>
  <c r="CI161" i="23"/>
  <c r="CJ161" i="23"/>
  <c r="CK161" i="23"/>
  <c r="CL161" i="23"/>
  <c r="CM161" i="23"/>
  <c r="CN161" i="23"/>
  <c r="CO161" i="23"/>
  <c r="CP161" i="23"/>
  <c r="CQ161" i="23"/>
  <c r="CR161" i="23"/>
  <c r="CS161" i="23"/>
  <c r="CT161" i="23"/>
  <c r="CU161" i="23"/>
  <c r="CV161" i="23"/>
  <c r="CW161" i="23"/>
  <c r="CX161" i="23"/>
  <c r="CY161" i="23"/>
  <c r="CZ161" i="23"/>
  <c r="DA161" i="23"/>
  <c r="DB161" i="23"/>
  <c r="DC161" i="23"/>
  <c r="DD161" i="23"/>
  <c r="DE161" i="23"/>
  <c r="DF161" i="23"/>
  <c r="DG161" i="23"/>
  <c r="DH161" i="23"/>
  <c r="DI161" i="23"/>
  <c r="DJ161" i="23"/>
  <c r="DK161" i="23"/>
  <c r="DL161" i="23"/>
  <c r="DM161" i="23"/>
  <c r="DN161" i="23"/>
  <c r="DO161" i="23"/>
  <c r="DP161" i="23"/>
  <c r="DQ161" i="23"/>
  <c r="DR161" i="23"/>
  <c r="DS161" i="23"/>
  <c r="DT161" i="23"/>
  <c r="DU161" i="23"/>
  <c r="DV161" i="23"/>
  <c r="DW161" i="23"/>
  <c r="DX161" i="23"/>
  <c r="DY161" i="23"/>
  <c r="DZ161" i="23"/>
  <c r="EA161" i="23"/>
  <c r="EB161" i="23"/>
  <c r="EC161" i="23"/>
  <c r="ED161" i="23"/>
  <c r="EE161" i="23"/>
  <c r="EF161" i="23"/>
  <c r="EG161" i="23"/>
  <c r="EH161" i="23"/>
  <c r="EI161" i="23"/>
  <c r="EJ161" i="23"/>
  <c r="EK161" i="23"/>
  <c r="EL161" i="23"/>
  <c r="EM161" i="23"/>
  <c r="EN161" i="23"/>
  <c r="EO161" i="23"/>
  <c r="EP161" i="23"/>
  <c r="EQ161" i="23"/>
  <c r="ER161" i="23"/>
  <c r="ES161" i="23"/>
  <c r="ET161" i="23"/>
  <c r="EU161" i="23"/>
  <c r="EV161" i="23"/>
  <c r="EW161" i="23"/>
  <c r="EX161" i="23"/>
  <c r="EY161" i="23"/>
  <c r="EZ161" i="23"/>
  <c r="FA161" i="23"/>
  <c r="FB161" i="23"/>
  <c r="FC161" i="23"/>
  <c r="FD161" i="23"/>
  <c r="FE161" i="23"/>
  <c r="FF161" i="23"/>
  <c r="FG161" i="23"/>
  <c r="FH161" i="23"/>
  <c r="FI161" i="23"/>
  <c r="FJ161" i="23"/>
  <c r="FK161" i="23"/>
  <c r="FL161" i="23"/>
  <c r="FM161" i="23"/>
  <c r="FN161" i="23"/>
  <c r="FO161" i="23"/>
  <c r="FP161" i="23"/>
  <c r="FQ161" i="23"/>
  <c r="FR161" i="23"/>
  <c r="FS161" i="23"/>
  <c r="FT161" i="23"/>
  <c r="FU161" i="23"/>
  <c r="FV161" i="23"/>
  <c r="FW161" i="23"/>
  <c r="FX161" i="23"/>
  <c r="FY161" i="23"/>
  <c r="FZ161" i="23"/>
  <c r="GA161" i="23"/>
  <c r="GB161" i="23"/>
  <c r="GC161" i="23"/>
  <c r="GD161" i="23"/>
  <c r="GE161" i="23"/>
  <c r="GF161" i="23"/>
  <c r="GG161" i="23"/>
  <c r="GH161" i="23"/>
  <c r="GI161" i="23"/>
  <c r="GJ161" i="23"/>
  <c r="GK161" i="23"/>
  <c r="GL161" i="23"/>
  <c r="GM161" i="23"/>
  <c r="GN161" i="23"/>
  <c r="GO161" i="23"/>
  <c r="GP161" i="23"/>
  <c r="GQ161" i="23"/>
  <c r="GR161" i="23"/>
  <c r="GS161" i="23"/>
  <c r="GT161" i="23"/>
  <c r="GU161" i="23"/>
  <c r="GV161" i="23"/>
  <c r="GW161" i="23"/>
  <c r="GX161" i="23"/>
  <c r="GY161" i="23"/>
  <c r="GZ161" i="23"/>
  <c r="HA161" i="23"/>
  <c r="HB161" i="23"/>
  <c r="HC161" i="23"/>
  <c r="HD161" i="23"/>
  <c r="HE161" i="23"/>
  <c r="HF161" i="23"/>
  <c r="HG161" i="23"/>
  <c r="HH161" i="23"/>
  <c r="HI161" i="23"/>
  <c r="HJ161" i="23"/>
  <c r="HK161" i="23"/>
  <c r="HL161" i="23"/>
  <c r="HM161" i="23"/>
  <c r="HN161" i="23"/>
  <c r="HO161" i="23"/>
  <c r="HP161" i="23"/>
  <c r="HQ161" i="23"/>
  <c r="HR161" i="23"/>
  <c r="HS161" i="23"/>
  <c r="HT161" i="23"/>
  <c r="HU161" i="23"/>
  <c r="HV161" i="23"/>
  <c r="HW161" i="23"/>
  <c r="HX161" i="23"/>
  <c r="HY161" i="23"/>
  <c r="HZ161" i="23"/>
  <c r="IA161" i="23"/>
  <c r="IB161" i="23"/>
  <c r="IC161" i="23"/>
  <c r="ID161" i="23"/>
  <c r="IE161" i="23"/>
  <c r="IF161" i="23"/>
  <c r="IG161" i="23"/>
  <c r="IH161" i="23"/>
  <c r="II161" i="23"/>
  <c r="IJ161" i="23"/>
  <c r="IK161" i="23"/>
  <c r="IL161" i="23"/>
  <c r="IM161" i="23"/>
  <c r="IN161" i="23"/>
  <c r="IO161" i="23"/>
  <c r="IP161" i="23"/>
  <c r="IQ161" i="23"/>
  <c r="IR161" i="23"/>
  <c r="IS161" i="23"/>
  <c r="IT161" i="23"/>
  <c r="IU161" i="23"/>
  <c r="IV161" i="23"/>
  <c r="A160" i="23"/>
  <c r="B160" i="23"/>
  <c r="C160" i="23"/>
  <c r="D160" i="23"/>
  <c r="E160" i="23"/>
  <c r="F160" i="23"/>
  <c r="G160" i="23"/>
  <c r="H160" i="23"/>
  <c r="I160" i="23"/>
  <c r="J160" i="23"/>
  <c r="K160" i="23"/>
  <c r="L160" i="23"/>
  <c r="M160" i="23"/>
  <c r="N160" i="23"/>
  <c r="O160" i="23"/>
  <c r="P160" i="23"/>
  <c r="Q160" i="23"/>
  <c r="R160" i="23"/>
  <c r="S160" i="23"/>
  <c r="T160" i="23"/>
  <c r="U160" i="23"/>
  <c r="V160" i="23"/>
  <c r="W160" i="23"/>
  <c r="X160" i="23"/>
  <c r="Y160" i="23"/>
  <c r="Z160" i="23"/>
  <c r="AA160" i="23"/>
  <c r="AB160" i="23"/>
  <c r="AC160" i="23"/>
  <c r="AD160" i="23"/>
  <c r="AE160" i="23"/>
  <c r="AF160" i="23"/>
  <c r="AG160" i="23"/>
  <c r="AH160" i="23"/>
  <c r="AI160" i="23"/>
  <c r="AJ160" i="23"/>
  <c r="AK160" i="23"/>
  <c r="AL160" i="23"/>
  <c r="AM160" i="23"/>
  <c r="AN160" i="23"/>
  <c r="AO160" i="23"/>
  <c r="AP160" i="23"/>
  <c r="AQ160" i="23"/>
  <c r="AR160" i="23"/>
  <c r="AS160" i="23"/>
  <c r="AT160" i="23"/>
  <c r="AU160" i="23"/>
  <c r="AV160" i="23"/>
  <c r="AW160" i="23"/>
  <c r="AX160" i="23"/>
  <c r="AY160" i="23"/>
  <c r="AZ160" i="23"/>
  <c r="BA160" i="23"/>
  <c r="BB160" i="23"/>
  <c r="BC160" i="23"/>
  <c r="BD160" i="23"/>
  <c r="BE160" i="23"/>
  <c r="BF160" i="23"/>
  <c r="BG160" i="23"/>
  <c r="BH160" i="23"/>
  <c r="BI160" i="23"/>
  <c r="BJ160" i="23"/>
  <c r="BK160" i="23"/>
  <c r="BL160" i="23"/>
  <c r="BM160" i="23"/>
  <c r="BN160" i="23"/>
  <c r="BO160" i="23"/>
  <c r="BP160" i="23"/>
  <c r="BQ160" i="23"/>
  <c r="BR160" i="23"/>
  <c r="BS160" i="23"/>
  <c r="BT160" i="23"/>
  <c r="BU160" i="23"/>
  <c r="BV160" i="23"/>
  <c r="BW160" i="23"/>
  <c r="BX160" i="23"/>
  <c r="BY160" i="23"/>
  <c r="BZ160" i="23"/>
  <c r="CA160" i="23"/>
  <c r="CB160" i="23"/>
  <c r="CC160" i="23"/>
  <c r="CD160" i="23"/>
  <c r="CE160" i="23"/>
  <c r="CF160" i="23"/>
  <c r="CG160" i="23"/>
  <c r="CH160" i="23"/>
  <c r="CI160" i="23"/>
  <c r="CJ160" i="23"/>
  <c r="CK160" i="23"/>
  <c r="CL160" i="23"/>
  <c r="CM160" i="23"/>
  <c r="CN160" i="23"/>
  <c r="CO160" i="23"/>
  <c r="CP160" i="23"/>
  <c r="CQ160" i="23"/>
  <c r="CR160" i="23"/>
  <c r="CS160" i="23"/>
  <c r="CT160" i="23"/>
  <c r="CU160" i="23"/>
  <c r="CV160" i="23"/>
  <c r="CW160" i="23"/>
  <c r="CX160" i="23"/>
  <c r="CY160" i="23"/>
  <c r="CZ160" i="23"/>
  <c r="DA160" i="23"/>
  <c r="DB160" i="23"/>
  <c r="DC160" i="23"/>
  <c r="DD160" i="23"/>
  <c r="DE160" i="23"/>
  <c r="DF160" i="23"/>
  <c r="DG160" i="23"/>
  <c r="DH160" i="23"/>
  <c r="DI160" i="23"/>
  <c r="DJ160" i="23"/>
  <c r="DK160" i="23"/>
  <c r="DL160" i="23"/>
  <c r="DM160" i="23"/>
  <c r="DN160" i="23"/>
  <c r="DO160" i="23"/>
  <c r="DP160" i="23"/>
  <c r="DQ160" i="23"/>
  <c r="DR160" i="23"/>
  <c r="DS160" i="23"/>
  <c r="DT160" i="23"/>
  <c r="DU160" i="23"/>
  <c r="DV160" i="23"/>
  <c r="DW160" i="23"/>
  <c r="DX160" i="23"/>
  <c r="DY160" i="23"/>
  <c r="DZ160" i="23"/>
  <c r="EA160" i="23"/>
  <c r="EB160" i="23"/>
  <c r="EC160" i="23"/>
  <c r="ED160" i="23"/>
  <c r="EE160" i="23"/>
  <c r="EF160" i="23"/>
  <c r="EG160" i="23"/>
  <c r="EH160" i="23"/>
  <c r="EI160" i="23"/>
  <c r="EJ160" i="23"/>
  <c r="EK160" i="23"/>
  <c r="EL160" i="23"/>
  <c r="EM160" i="23"/>
  <c r="EN160" i="23"/>
  <c r="EO160" i="23"/>
  <c r="EP160" i="23"/>
  <c r="EQ160" i="23"/>
  <c r="ER160" i="23"/>
  <c r="ES160" i="23"/>
  <c r="ET160" i="23"/>
  <c r="EU160" i="23"/>
  <c r="EV160" i="23"/>
  <c r="EW160" i="23"/>
  <c r="EX160" i="23"/>
  <c r="EY160" i="23"/>
  <c r="EZ160" i="23"/>
  <c r="FA160" i="23"/>
  <c r="FB160" i="23"/>
  <c r="FC160" i="23"/>
  <c r="FD160" i="23"/>
  <c r="FE160" i="23"/>
  <c r="FF160" i="23"/>
  <c r="FG160" i="23"/>
  <c r="FH160" i="23"/>
  <c r="FI160" i="23"/>
  <c r="FJ160" i="23"/>
  <c r="FK160" i="23"/>
  <c r="FL160" i="23"/>
  <c r="FM160" i="23"/>
  <c r="FN160" i="23"/>
  <c r="FO160" i="23"/>
  <c r="FP160" i="23"/>
  <c r="FQ160" i="23"/>
  <c r="FR160" i="23"/>
  <c r="FS160" i="23"/>
  <c r="FT160" i="23"/>
  <c r="FU160" i="23"/>
  <c r="FV160" i="23"/>
  <c r="FW160" i="23"/>
  <c r="FX160" i="23"/>
  <c r="FY160" i="23"/>
  <c r="FZ160" i="23"/>
  <c r="GA160" i="23"/>
  <c r="GB160" i="23"/>
  <c r="GC160" i="23"/>
  <c r="GD160" i="23"/>
  <c r="GE160" i="23"/>
  <c r="GF160" i="23"/>
  <c r="GG160" i="23"/>
  <c r="GH160" i="23"/>
  <c r="GI160" i="23"/>
  <c r="GJ160" i="23"/>
  <c r="GK160" i="23"/>
  <c r="GL160" i="23"/>
  <c r="GM160" i="23"/>
  <c r="GN160" i="23"/>
  <c r="GO160" i="23"/>
  <c r="GP160" i="23"/>
  <c r="GQ160" i="23"/>
  <c r="GR160" i="23"/>
  <c r="GS160" i="23"/>
  <c r="GT160" i="23"/>
  <c r="GU160" i="23"/>
  <c r="GV160" i="23"/>
  <c r="GW160" i="23"/>
  <c r="GX160" i="23"/>
  <c r="GY160" i="23"/>
  <c r="GZ160" i="23"/>
  <c r="HA160" i="23"/>
  <c r="HB160" i="23"/>
  <c r="HC160" i="23"/>
  <c r="HD160" i="23"/>
  <c r="HE160" i="23"/>
  <c r="HF160" i="23"/>
  <c r="HG160" i="23"/>
  <c r="HH160" i="23"/>
  <c r="HI160" i="23"/>
  <c r="HJ160" i="23"/>
  <c r="HK160" i="23"/>
  <c r="HL160" i="23"/>
  <c r="HM160" i="23"/>
  <c r="HN160" i="23"/>
  <c r="HO160" i="23"/>
  <c r="HP160" i="23"/>
  <c r="HQ160" i="23"/>
  <c r="HR160" i="23"/>
  <c r="HS160" i="23"/>
  <c r="HT160" i="23"/>
  <c r="HU160" i="23"/>
  <c r="HV160" i="23"/>
  <c r="HW160" i="23"/>
  <c r="HX160" i="23"/>
  <c r="HY160" i="23"/>
  <c r="HZ160" i="23"/>
  <c r="IA160" i="23"/>
  <c r="IB160" i="23"/>
  <c r="IC160" i="23"/>
  <c r="ID160" i="23"/>
  <c r="IE160" i="23"/>
  <c r="IF160" i="23"/>
  <c r="IG160" i="23"/>
  <c r="IH160" i="23"/>
  <c r="II160" i="23"/>
  <c r="IJ160" i="23"/>
  <c r="IK160" i="23"/>
  <c r="IL160" i="23"/>
  <c r="IM160" i="23"/>
  <c r="IN160" i="23"/>
  <c r="IO160" i="23"/>
  <c r="IP160" i="23"/>
  <c r="IQ160" i="23"/>
  <c r="IR160" i="23"/>
  <c r="IS160" i="23"/>
  <c r="IT160" i="23"/>
  <c r="IU160" i="23"/>
  <c r="IV160" i="23"/>
  <c r="A159" i="23"/>
  <c r="B159" i="23"/>
  <c r="C159" i="23"/>
  <c r="D159" i="23"/>
  <c r="E159" i="23"/>
  <c r="F159" i="23"/>
  <c r="G159" i="23"/>
  <c r="H159" i="23"/>
  <c r="I159" i="23"/>
  <c r="J159" i="23"/>
  <c r="K159" i="23"/>
  <c r="L159" i="23"/>
  <c r="M159" i="23"/>
  <c r="N159" i="23"/>
  <c r="O159" i="23"/>
  <c r="P159" i="23"/>
  <c r="Q159" i="23"/>
  <c r="R159" i="23"/>
  <c r="S159" i="23"/>
  <c r="T159" i="23"/>
  <c r="U159" i="23"/>
  <c r="V159" i="23"/>
  <c r="W159" i="23"/>
  <c r="X159" i="23"/>
  <c r="Y159" i="23"/>
  <c r="Z159" i="23"/>
  <c r="AA159" i="23"/>
  <c r="AB159" i="23"/>
  <c r="AC159" i="23"/>
  <c r="AD159" i="23"/>
  <c r="AE159" i="23"/>
  <c r="AF159" i="23"/>
  <c r="AG159" i="23"/>
  <c r="AH159" i="23"/>
  <c r="AI159" i="23"/>
  <c r="AJ159" i="23"/>
  <c r="AK159" i="23"/>
  <c r="AL159" i="23"/>
  <c r="AM159" i="23"/>
  <c r="AN159" i="23"/>
  <c r="AO159" i="23"/>
  <c r="AP159" i="23"/>
  <c r="AQ159" i="23"/>
  <c r="AR159" i="23"/>
  <c r="AS159" i="23"/>
  <c r="AT159" i="23"/>
  <c r="AU159" i="23"/>
  <c r="AV159" i="23"/>
  <c r="AW159" i="23"/>
  <c r="AX159" i="23"/>
  <c r="AY159" i="23"/>
  <c r="AZ159" i="23"/>
  <c r="BA159" i="23"/>
  <c r="BB159" i="23"/>
  <c r="BC159" i="23"/>
  <c r="BD159" i="23"/>
  <c r="BE159" i="23"/>
  <c r="BF159" i="23"/>
  <c r="BG159" i="23"/>
  <c r="BH159" i="23"/>
  <c r="BI159" i="23"/>
  <c r="BJ159" i="23"/>
  <c r="BK159" i="23"/>
  <c r="BL159" i="23"/>
  <c r="BM159" i="23"/>
  <c r="BN159" i="23"/>
  <c r="BO159" i="23"/>
  <c r="BP159" i="23"/>
  <c r="BQ159" i="23"/>
  <c r="BR159" i="23"/>
  <c r="BS159" i="23"/>
  <c r="BT159" i="23"/>
  <c r="BU159" i="23"/>
  <c r="BV159" i="23"/>
  <c r="BW159" i="23"/>
  <c r="BX159" i="23"/>
  <c r="BY159" i="23"/>
  <c r="BZ159" i="23"/>
  <c r="CA159" i="23"/>
  <c r="CB159" i="23"/>
  <c r="CC159" i="23"/>
  <c r="CD159" i="23"/>
  <c r="CE159" i="23"/>
  <c r="CF159" i="23"/>
  <c r="CG159" i="23"/>
  <c r="CH159" i="23"/>
  <c r="CI159" i="23"/>
  <c r="CJ159" i="23"/>
  <c r="CK159" i="23"/>
  <c r="CL159" i="23"/>
  <c r="CM159" i="23"/>
  <c r="CN159" i="23"/>
  <c r="CO159" i="23"/>
  <c r="CP159" i="23"/>
  <c r="CQ159" i="23"/>
  <c r="CR159" i="23"/>
  <c r="CS159" i="23"/>
  <c r="CT159" i="23"/>
  <c r="CU159" i="23"/>
  <c r="CV159" i="23"/>
  <c r="CW159" i="23"/>
  <c r="CX159" i="23"/>
  <c r="CY159" i="23"/>
  <c r="CZ159" i="23"/>
  <c r="DA159" i="23"/>
  <c r="DB159" i="23"/>
  <c r="DC159" i="23"/>
  <c r="DD159" i="23"/>
  <c r="DE159" i="23"/>
  <c r="DF159" i="23"/>
  <c r="DG159" i="23"/>
  <c r="DH159" i="23"/>
  <c r="DI159" i="23"/>
  <c r="DJ159" i="23"/>
  <c r="DK159" i="23"/>
  <c r="DL159" i="23"/>
  <c r="DM159" i="23"/>
  <c r="DN159" i="23"/>
  <c r="DO159" i="23"/>
  <c r="DP159" i="23"/>
  <c r="DQ159" i="23"/>
  <c r="DR159" i="23"/>
  <c r="DS159" i="23"/>
  <c r="DT159" i="23"/>
  <c r="DU159" i="23"/>
  <c r="DV159" i="23"/>
  <c r="DW159" i="23"/>
  <c r="DX159" i="23"/>
  <c r="DY159" i="23"/>
  <c r="DZ159" i="23"/>
  <c r="EA159" i="23"/>
  <c r="EB159" i="23"/>
  <c r="EC159" i="23"/>
  <c r="ED159" i="23"/>
  <c r="EE159" i="23"/>
  <c r="EF159" i="23"/>
  <c r="EG159" i="23"/>
  <c r="EH159" i="23"/>
  <c r="EI159" i="23"/>
  <c r="EJ159" i="23"/>
  <c r="EK159" i="23"/>
  <c r="EL159" i="23"/>
  <c r="EM159" i="23"/>
  <c r="EN159" i="23"/>
  <c r="EO159" i="23"/>
  <c r="EP159" i="23"/>
  <c r="EQ159" i="23"/>
  <c r="ER159" i="23"/>
  <c r="ES159" i="23"/>
  <c r="ET159" i="23"/>
  <c r="EU159" i="23"/>
  <c r="EV159" i="23"/>
  <c r="EW159" i="23"/>
  <c r="EX159" i="23"/>
  <c r="EY159" i="23"/>
  <c r="EZ159" i="23"/>
  <c r="FA159" i="23"/>
  <c r="FB159" i="23"/>
  <c r="FC159" i="23"/>
  <c r="FD159" i="23"/>
  <c r="FE159" i="23"/>
  <c r="FF159" i="23"/>
  <c r="FG159" i="23"/>
  <c r="FH159" i="23"/>
  <c r="FI159" i="23"/>
  <c r="FJ159" i="23"/>
  <c r="FK159" i="23"/>
  <c r="FL159" i="23"/>
  <c r="FM159" i="23"/>
  <c r="FN159" i="23"/>
  <c r="FO159" i="23"/>
  <c r="FP159" i="23"/>
  <c r="FQ159" i="23"/>
  <c r="FR159" i="23"/>
  <c r="FS159" i="23"/>
  <c r="FT159" i="23"/>
  <c r="FU159" i="23"/>
  <c r="FV159" i="23"/>
  <c r="FW159" i="23"/>
  <c r="FX159" i="23"/>
  <c r="FY159" i="23"/>
  <c r="FZ159" i="23"/>
  <c r="GA159" i="23"/>
  <c r="GB159" i="23"/>
  <c r="GC159" i="23"/>
  <c r="GD159" i="23"/>
  <c r="GE159" i="23"/>
  <c r="GF159" i="23"/>
  <c r="GG159" i="23"/>
  <c r="GH159" i="23"/>
  <c r="GI159" i="23"/>
  <c r="GJ159" i="23"/>
  <c r="GK159" i="23"/>
  <c r="GL159" i="23"/>
  <c r="GM159" i="23"/>
  <c r="GN159" i="23"/>
  <c r="GO159" i="23"/>
  <c r="GP159" i="23"/>
  <c r="GQ159" i="23"/>
  <c r="GR159" i="23"/>
  <c r="GS159" i="23"/>
  <c r="GT159" i="23"/>
  <c r="GU159" i="23"/>
  <c r="GV159" i="23"/>
  <c r="GW159" i="23"/>
  <c r="GX159" i="23"/>
  <c r="GY159" i="23"/>
  <c r="GZ159" i="23"/>
  <c r="HA159" i="23"/>
  <c r="HB159" i="23"/>
  <c r="HC159" i="23"/>
  <c r="HD159" i="23"/>
  <c r="HE159" i="23"/>
  <c r="HF159" i="23"/>
  <c r="HG159" i="23"/>
  <c r="HH159" i="23"/>
  <c r="HI159" i="23"/>
  <c r="HJ159" i="23"/>
  <c r="HK159" i="23"/>
  <c r="HL159" i="23"/>
  <c r="HM159" i="23"/>
  <c r="HN159" i="23"/>
  <c r="HO159" i="23"/>
  <c r="HP159" i="23"/>
  <c r="HQ159" i="23"/>
  <c r="HR159" i="23"/>
  <c r="HS159" i="23"/>
  <c r="HT159" i="23"/>
  <c r="HU159" i="23"/>
  <c r="HV159" i="23"/>
  <c r="HW159" i="23"/>
  <c r="HX159" i="23"/>
  <c r="HY159" i="23"/>
  <c r="HZ159" i="23"/>
  <c r="IA159" i="23"/>
  <c r="IB159" i="23"/>
  <c r="IC159" i="23"/>
  <c r="ID159" i="23"/>
  <c r="IE159" i="23"/>
  <c r="IF159" i="23"/>
  <c r="IG159" i="23"/>
  <c r="IH159" i="23"/>
  <c r="II159" i="23"/>
  <c r="IJ159" i="23"/>
  <c r="IK159" i="23"/>
  <c r="IL159" i="23"/>
  <c r="IM159" i="23"/>
  <c r="IN159" i="23"/>
  <c r="IO159" i="23"/>
  <c r="IP159" i="23"/>
  <c r="IQ159" i="23"/>
  <c r="IR159" i="23"/>
  <c r="IS159" i="23"/>
  <c r="IT159" i="23"/>
  <c r="IU159" i="23"/>
  <c r="IV159" i="23"/>
  <c r="A158" i="23"/>
  <c r="B158" i="23"/>
  <c r="C158" i="23"/>
  <c r="D158" i="23"/>
  <c r="E158" i="23"/>
  <c r="F158" i="23"/>
  <c r="G158" i="23"/>
  <c r="H158" i="23"/>
  <c r="I158" i="23"/>
  <c r="J158" i="23"/>
  <c r="K158" i="23"/>
  <c r="L158" i="23"/>
  <c r="M158" i="23"/>
  <c r="N158" i="23"/>
  <c r="O158" i="23"/>
  <c r="P158" i="23"/>
  <c r="Q158" i="23"/>
  <c r="R158" i="23"/>
  <c r="S158" i="23"/>
  <c r="T158" i="23"/>
  <c r="U158" i="23"/>
  <c r="V158" i="23"/>
  <c r="W158" i="23"/>
  <c r="X158" i="23"/>
  <c r="Y158" i="23"/>
  <c r="Z158" i="23"/>
  <c r="AA158" i="23"/>
  <c r="AB158" i="23"/>
  <c r="AC158" i="23"/>
  <c r="AD158" i="23"/>
  <c r="AE158" i="23"/>
  <c r="AF158" i="23"/>
  <c r="AG158" i="23"/>
  <c r="AH158" i="23"/>
  <c r="AI158" i="23"/>
  <c r="AJ158" i="23"/>
  <c r="AK158" i="23"/>
  <c r="AL158" i="23"/>
  <c r="AM158" i="23"/>
  <c r="AN158" i="23"/>
  <c r="AO158" i="23"/>
  <c r="AP158" i="23"/>
  <c r="AQ158" i="23"/>
  <c r="AR158" i="23"/>
  <c r="AS158" i="23"/>
  <c r="AT158" i="23"/>
  <c r="AU158" i="23"/>
  <c r="AV158" i="23"/>
  <c r="AW158" i="23"/>
  <c r="AX158" i="23"/>
  <c r="AY158" i="23"/>
  <c r="AZ158" i="23"/>
  <c r="BA158" i="23"/>
  <c r="BB158" i="23"/>
  <c r="BC158" i="23"/>
  <c r="BD158" i="23"/>
  <c r="BE158" i="23"/>
  <c r="BF158" i="23"/>
  <c r="BG158" i="23"/>
  <c r="BH158" i="23"/>
  <c r="BI158" i="23"/>
  <c r="BJ158" i="23"/>
  <c r="BK158" i="23"/>
  <c r="BL158" i="23"/>
  <c r="BM158" i="23"/>
  <c r="BN158" i="23"/>
  <c r="BO158" i="23"/>
  <c r="BP158" i="23"/>
  <c r="BQ158" i="23"/>
  <c r="BR158" i="23"/>
  <c r="BS158" i="23"/>
  <c r="BT158" i="23"/>
  <c r="BU158" i="23"/>
  <c r="BV158" i="23"/>
  <c r="BW158" i="23"/>
  <c r="BX158" i="23"/>
  <c r="BY158" i="23"/>
  <c r="BZ158" i="23"/>
  <c r="CA158" i="23"/>
  <c r="CB158" i="23"/>
  <c r="CC158" i="23"/>
  <c r="CD158" i="23"/>
  <c r="CE158" i="23"/>
  <c r="CF158" i="23"/>
  <c r="CG158" i="23"/>
  <c r="CH158" i="23"/>
  <c r="CI158" i="23"/>
  <c r="CJ158" i="23"/>
  <c r="CK158" i="23"/>
  <c r="CL158" i="23"/>
  <c r="CM158" i="23"/>
  <c r="CN158" i="23"/>
  <c r="CO158" i="23"/>
  <c r="CP158" i="23"/>
  <c r="CQ158" i="23"/>
  <c r="CR158" i="23"/>
  <c r="CS158" i="23"/>
  <c r="CT158" i="23"/>
  <c r="CU158" i="23"/>
  <c r="CV158" i="23"/>
  <c r="CW158" i="23"/>
  <c r="CX158" i="23"/>
  <c r="CY158" i="23"/>
  <c r="CZ158" i="23"/>
  <c r="DA158" i="23"/>
  <c r="DB158" i="23"/>
  <c r="DC158" i="23"/>
  <c r="DD158" i="23"/>
  <c r="DE158" i="23"/>
  <c r="DF158" i="23"/>
  <c r="DG158" i="23"/>
  <c r="DH158" i="23"/>
  <c r="DI158" i="23"/>
  <c r="DJ158" i="23"/>
  <c r="DK158" i="23"/>
  <c r="DL158" i="23"/>
  <c r="DM158" i="23"/>
  <c r="DN158" i="23"/>
  <c r="DO158" i="23"/>
  <c r="DP158" i="23"/>
  <c r="DQ158" i="23"/>
  <c r="DR158" i="23"/>
  <c r="DS158" i="23"/>
  <c r="DT158" i="23"/>
  <c r="DU158" i="23"/>
  <c r="DV158" i="23"/>
  <c r="DW158" i="23"/>
  <c r="DX158" i="23"/>
  <c r="DY158" i="23"/>
  <c r="DZ158" i="23"/>
  <c r="EA158" i="23"/>
  <c r="EB158" i="23"/>
  <c r="EC158" i="23"/>
  <c r="ED158" i="23"/>
  <c r="EE158" i="23"/>
  <c r="EF158" i="23"/>
  <c r="EG158" i="23"/>
  <c r="EH158" i="23"/>
  <c r="EI158" i="23"/>
  <c r="EJ158" i="23"/>
  <c r="EK158" i="23"/>
  <c r="EL158" i="23"/>
  <c r="EM158" i="23"/>
  <c r="EN158" i="23"/>
  <c r="EO158" i="23"/>
  <c r="EP158" i="23"/>
  <c r="EQ158" i="23"/>
  <c r="ER158" i="23"/>
  <c r="ES158" i="23"/>
  <c r="ET158" i="23"/>
  <c r="EU158" i="23"/>
  <c r="EV158" i="23"/>
  <c r="EW158" i="23"/>
  <c r="EX158" i="23"/>
  <c r="EY158" i="23"/>
  <c r="EZ158" i="23"/>
  <c r="FA158" i="23"/>
  <c r="FB158" i="23"/>
  <c r="FC158" i="23"/>
  <c r="FD158" i="23"/>
  <c r="FE158" i="23"/>
  <c r="FF158" i="23"/>
  <c r="FG158" i="23"/>
  <c r="FH158" i="23"/>
  <c r="FI158" i="23"/>
  <c r="FJ158" i="23"/>
  <c r="FK158" i="23"/>
  <c r="FL158" i="23"/>
  <c r="FM158" i="23"/>
  <c r="FN158" i="23"/>
  <c r="FO158" i="23"/>
  <c r="FP158" i="23"/>
  <c r="FQ158" i="23"/>
  <c r="FR158" i="23"/>
  <c r="FS158" i="23"/>
  <c r="FT158" i="23"/>
  <c r="FU158" i="23"/>
  <c r="FV158" i="23"/>
  <c r="FW158" i="23"/>
  <c r="FX158" i="23"/>
  <c r="FY158" i="23"/>
  <c r="FZ158" i="23"/>
  <c r="GA158" i="23"/>
  <c r="GB158" i="23"/>
  <c r="GC158" i="23"/>
  <c r="GD158" i="23"/>
  <c r="GE158" i="23"/>
  <c r="GF158" i="23"/>
  <c r="GG158" i="23"/>
  <c r="GH158" i="23"/>
  <c r="GI158" i="23"/>
  <c r="GJ158" i="23"/>
  <c r="GK158" i="23"/>
  <c r="GL158" i="23"/>
  <c r="GM158" i="23"/>
  <c r="GN158" i="23"/>
  <c r="GO158" i="23"/>
  <c r="GP158" i="23"/>
  <c r="GQ158" i="23"/>
  <c r="GR158" i="23"/>
  <c r="GS158" i="23"/>
  <c r="GT158" i="23"/>
  <c r="GU158" i="23"/>
  <c r="GV158" i="23"/>
  <c r="GW158" i="23"/>
  <c r="GX158" i="23"/>
  <c r="GY158" i="23"/>
  <c r="GZ158" i="23"/>
  <c r="HA158" i="23"/>
  <c r="HB158" i="23"/>
  <c r="HC158" i="23"/>
  <c r="HD158" i="23"/>
  <c r="HE158" i="23"/>
  <c r="HF158" i="23"/>
  <c r="HG158" i="23"/>
  <c r="HH158" i="23"/>
  <c r="HI158" i="23"/>
  <c r="HJ158" i="23"/>
  <c r="HK158" i="23"/>
  <c r="HL158" i="23"/>
  <c r="HM158" i="23"/>
  <c r="HN158" i="23"/>
  <c r="HO158" i="23"/>
  <c r="HP158" i="23"/>
  <c r="HQ158" i="23"/>
  <c r="HR158" i="23"/>
  <c r="HS158" i="23"/>
  <c r="HT158" i="23"/>
  <c r="HU158" i="23"/>
  <c r="HV158" i="23"/>
  <c r="HW158" i="23"/>
  <c r="HX158" i="23"/>
  <c r="HY158" i="23"/>
  <c r="HZ158" i="23"/>
  <c r="IA158" i="23"/>
  <c r="IB158" i="23"/>
  <c r="IC158" i="23"/>
  <c r="ID158" i="23"/>
  <c r="IE158" i="23"/>
  <c r="IF158" i="23"/>
  <c r="IG158" i="23"/>
  <c r="IH158" i="23"/>
  <c r="II158" i="23"/>
  <c r="IJ158" i="23"/>
  <c r="IK158" i="23"/>
  <c r="IL158" i="23"/>
  <c r="IM158" i="23"/>
  <c r="IN158" i="23"/>
  <c r="IO158" i="23"/>
  <c r="IP158" i="23"/>
  <c r="IQ158" i="23"/>
  <c r="IR158" i="23"/>
  <c r="IS158" i="23"/>
  <c r="IT158" i="23"/>
  <c r="IU158" i="23"/>
  <c r="IV158" i="23"/>
  <c r="A157" i="23"/>
  <c r="B157" i="23"/>
  <c r="C157" i="23"/>
  <c r="D157" i="23"/>
  <c r="E157" i="23"/>
  <c r="F157" i="23"/>
  <c r="G157" i="23"/>
  <c r="H157" i="23"/>
  <c r="I157" i="23"/>
  <c r="J157" i="23"/>
  <c r="K157" i="23"/>
  <c r="L157" i="23"/>
  <c r="M157" i="23"/>
  <c r="N157" i="23"/>
  <c r="O157" i="23"/>
  <c r="P157" i="23"/>
  <c r="Q157" i="23"/>
  <c r="R157" i="23"/>
  <c r="S157" i="23"/>
  <c r="T157" i="23"/>
  <c r="U157" i="23"/>
  <c r="V157" i="23"/>
  <c r="W157" i="23"/>
  <c r="X157" i="23"/>
  <c r="Y157" i="23"/>
  <c r="Z157" i="23"/>
  <c r="AA157" i="23"/>
  <c r="AB157" i="23"/>
  <c r="AC157" i="23"/>
  <c r="AD157" i="23"/>
  <c r="AE157" i="23"/>
  <c r="AF157" i="23"/>
  <c r="AG157" i="23"/>
  <c r="AH157" i="23"/>
  <c r="AI157" i="23"/>
  <c r="AJ157" i="23"/>
  <c r="AK157" i="23"/>
  <c r="AL157" i="23"/>
  <c r="AM157" i="23"/>
  <c r="AN157" i="23"/>
  <c r="AO157" i="23"/>
  <c r="AP157" i="23"/>
  <c r="AQ157" i="23"/>
  <c r="AR157" i="23"/>
  <c r="AS157" i="23"/>
  <c r="AT157" i="23"/>
  <c r="AU157" i="23"/>
  <c r="AV157" i="23"/>
  <c r="AW157" i="23"/>
  <c r="AX157" i="23"/>
  <c r="AY157" i="23"/>
  <c r="AZ157" i="23"/>
  <c r="BA157" i="23"/>
  <c r="BB157" i="23"/>
  <c r="BC157" i="23"/>
  <c r="BD157" i="23"/>
  <c r="BE157" i="23"/>
  <c r="BF157" i="23"/>
  <c r="BG157" i="23"/>
  <c r="BH157" i="23"/>
  <c r="BI157" i="23"/>
  <c r="BJ157" i="23"/>
  <c r="BK157" i="23"/>
  <c r="BL157" i="23"/>
  <c r="BM157" i="23"/>
  <c r="BN157" i="23"/>
  <c r="BO157" i="23"/>
  <c r="BP157" i="23"/>
  <c r="BQ157" i="23"/>
  <c r="BR157" i="23"/>
  <c r="BS157" i="23"/>
  <c r="BT157" i="23"/>
  <c r="BU157" i="23"/>
  <c r="BV157" i="23"/>
  <c r="BW157" i="23"/>
  <c r="BX157" i="23"/>
  <c r="BY157" i="23"/>
  <c r="BZ157" i="23"/>
  <c r="CA157" i="23"/>
  <c r="CB157" i="23"/>
  <c r="CC157" i="23"/>
  <c r="CD157" i="23"/>
  <c r="CE157" i="23"/>
  <c r="CF157" i="23"/>
  <c r="CG157" i="23"/>
  <c r="CH157" i="23"/>
  <c r="CI157" i="23"/>
  <c r="CJ157" i="23"/>
  <c r="CK157" i="23"/>
  <c r="CL157" i="23"/>
  <c r="CM157" i="23"/>
  <c r="CN157" i="23"/>
  <c r="CO157" i="23"/>
  <c r="CP157" i="23"/>
  <c r="CQ157" i="23"/>
  <c r="CR157" i="23"/>
  <c r="CS157" i="23"/>
  <c r="CT157" i="23"/>
  <c r="CU157" i="23"/>
  <c r="CV157" i="23"/>
  <c r="CW157" i="23"/>
  <c r="CX157" i="23"/>
  <c r="CY157" i="23"/>
  <c r="CZ157" i="23"/>
  <c r="DA157" i="23"/>
  <c r="DB157" i="23"/>
  <c r="DC157" i="23"/>
  <c r="DD157" i="23"/>
  <c r="DE157" i="23"/>
  <c r="DF157" i="23"/>
  <c r="DG157" i="23"/>
  <c r="DH157" i="23"/>
  <c r="DI157" i="23"/>
  <c r="DJ157" i="23"/>
  <c r="DK157" i="23"/>
  <c r="DL157" i="23"/>
  <c r="DM157" i="23"/>
  <c r="DN157" i="23"/>
  <c r="DO157" i="23"/>
  <c r="DP157" i="23"/>
  <c r="DQ157" i="23"/>
  <c r="DR157" i="23"/>
  <c r="DS157" i="23"/>
  <c r="DT157" i="23"/>
  <c r="DU157" i="23"/>
  <c r="DV157" i="23"/>
  <c r="DW157" i="23"/>
  <c r="DX157" i="23"/>
  <c r="DY157" i="23"/>
  <c r="DZ157" i="23"/>
  <c r="EA157" i="23"/>
  <c r="EB157" i="23"/>
  <c r="EC157" i="23"/>
  <c r="ED157" i="23"/>
  <c r="EE157" i="23"/>
  <c r="EF157" i="23"/>
  <c r="EG157" i="23"/>
  <c r="EH157" i="23"/>
  <c r="EI157" i="23"/>
  <c r="EJ157" i="23"/>
  <c r="EK157" i="23"/>
  <c r="EL157" i="23"/>
  <c r="EM157" i="23"/>
  <c r="EN157" i="23"/>
  <c r="EO157" i="23"/>
  <c r="EP157" i="23"/>
  <c r="EQ157" i="23"/>
  <c r="ER157" i="23"/>
  <c r="ES157" i="23"/>
  <c r="ET157" i="23"/>
  <c r="EU157" i="23"/>
  <c r="EV157" i="23"/>
  <c r="EW157" i="23"/>
  <c r="EX157" i="23"/>
  <c r="EY157" i="23"/>
  <c r="EZ157" i="23"/>
  <c r="FA157" i="23"/>
  <c r="FB157" i="23"/>
  <c r="FC157" i="23"/>
  <c r="FD157" i="23"/>
  <c r="FE157" i="23"/>
  <c r="FF157" i="23"/>
  <c r="FG157" i="23"/>
  <c r="FH157" i="23"/>
  <c r="FI157" i="23"/>
  <c r="FJ157" i="23"/>
  <c r="FK157" i="23"/>
  <c r="FL157" i="23"/>
  <c r="FM157" i="23"/>
  <c r="FN157" i="23"/>
  <c r="FO157" i="23"/>
  <c r="FP157" i="23"/>
  <c r="FQ157" i="23"/>
  <c r="FR157" i="23"/>
  <c r="FS157" i="23"/>
  <c r="FT157" i="23"/>
  <c r="FU157" i="23"/>
  <c r="FV157" i="23"/>
  <c r="FW157" i="23"/>
  <c r="FX157" i="23"/>
  <c r="FY157" i="23"/>
  <c r="FZ157" i="23"/>
  <c r="GA157" i="23"/>
  <c r="GB157" i="23"/>
  <c r="GC157" i="23"/>
  <c r="GD157" i="23"/>
  <c r="GE157" i="23"/>
  <c r="GF157" i="23"/>
  <c r="GG157" i="23"/>
  <c r="GH157" i="23"/>
  <c r="GI157" i="23"/>
  <c r="GJ157" i="23"/>
  <c r="GK157" i="23"/>
  <c r="GL157" i="23"/>
  <c r="GM157" i="23"/>
  <c r="GN157" i="23"/>
  <c r="GO157" i="23"/>
  <c r="GP157" i="23"/>
  <c r="GQ157" i="23"/>
  <c r="GR157" i="23"/>
  <c r="GS157" i="23"/>
  <c r="GT157" i="23"/>
  <c r="GU157" i="23"/>
  <c r="GV157" i="23"/>
  <c r="GW157" i="23"/>
  <c r="GX157" i="23"/>
  <c r="GY157" i="23"/>
  <c r="GZ157" i="23"/>
  <c r="HA157" i="23"/>
  <c r="HB157" i="23"/>
  <c r="HC157" i="23"/>
  <c r="HD157" i="23"/>
  <c r="HE157" i="23"/>
  <c r="HF157" i="23"/>
  <c r="HG157" i="23"/>
  <c r="HH157" i="23"/>
  <c r="HI157" i="23"/>
  <c r="HJ157" i="23"/>
  <c r="HK157" i="23"/>
  <c r="HL157" i="23"/>
  <c r="HM157" i="23"/>
  <c r="HN157" i="23"/>
  <c r="HO157" i="23"/>
  <c r="HP157" i="23"/>
  <c r="HQ157" i="23"/>
  <c r="HR157" i="23"/>
  <c r="HS157" i="23"/>
  <c r="HT157" i="23"/>
  <c r="HU157" i="23"/>
  <c r="HV157" i="23"/>
  <c r="HW157" i="23"/>
  <c r="HX157" i="23"/>
  <c r="HY157" i="23"/>
  <c r="HZ157" i="23"/>
  <c r="IA157" i="23"/>
  <c r="IB157" i="23"/>
  <c r="IC157" i="23"/>
  <c r="ID157" i="23"/>
  <c r="IE157" i="23"/>
  <c r="IF157" i="23"/>
  <c r="IG157" i="23"/>
  <c r="IH157" i="23"/>
  <c r="II157" i="23"/>
  <c r="IJ157" i="23"/>
  <c r="IK157" i="23"/>
  <c r="IL157" i="23"/>
  <c r="IM157" i="23"/>
  <c r="IN157" i="23"/>
  <c r="IO157" i="23"/>
  <c r="IP157" i="23"/>
  <c r="IQ157" i="23"/>
  <c r="IR157" i="23"/>
  <c r="IS157" i="23"/>
  <c r="IT157" i="23"/>
  <c r="IU157" i="23"/>
  <c r="IV157" i="23"/>
  <c r="A156" i="23"/>
  <c r="B156" i="23"/>
  <c r="C156" i="23"/>
  <c r="D156" i="23"/>
  <c r="E156" i="23"/>
  <c r="F156" i="23"/>
  <c r="G156" i="23"/>
  <c r="H156" i="23"/>
  <c r="I156" i="23"/>
  <c r="J156" i="23"/>
  <c r="K156" i="23"/>
  <c r="L156" i="23"/>
  <c r="M156" i="23"/>
  <c r="N156" i="23"/>
  <c r="O156" i="23"/>
  <c r="P156" i="23"/>
  <c r="Q156" i="23"/>
  <c r="R156" i="23"/>
  <c r="S156" i="23"/>
  <c r="T156" i="23"/>
  <c r="U156" i="23"/>
  <c r="V156" i="23"/>
  <c r="W156" i="23"/>
  <c r="X156" i="23"/>
  <c r="Y156" i="23"/>
  <c r="Z156" i="23"/>
  <c r="AA156" i="23"/>
  <c r="AB156" i="23"/>
  <c r="AC156" i="23"/>
  <c r="AD156" i="23"/>
  <c r="AE156" i="23"/>
  <c r="AF156" i="23"/>
  <c r="AG156" i="23"/>
  <c r="AH156" i="23"/>
  <c r="AI156" i="23"/>
  <c r="AJ156" i="23"/>
  <c r="AK156" i="23"/>
  <c r="AL156" i="23"/>
  <c r="AM156" i="23"/>
  <c r="AN156" i="23"/>
  <c r="AO156" i="23"/>
  <c r="AP156" i="23"/>
  <c r="AQ156" i="23"/>
  <c r="AR156" i="23"/>
  <c r="AS156" i="23"/>
  <c r="AT156" i="23"/>
  <c r="AU156" i="23"/>
  <c r="AV156" i="23"/>
  <c r="AW156" i="23"/>
  <c r="AX156" i="23"/>
  <c r="AY156" i="23"/>
  <c r="AZ156" i="23"/>
  <c r="BA156" i="23"/>
  <c r="BB156" i="23"/>
  <c r="BC156" i="23"/>
  <c r="BD156" i="23"/>
  <c r="BE156" i="23"/>
  <c r="BF156" i="23"/>
  <c r="BG156" i="23"/>
  <c r="BH156" i="23"/>
  <c r="BI156" i="23"/>
  <c r="BJ156" i="23"/>
  <c r="BK156" i="23"/>
  <c r="BL156" i="23"/>
  <c r="BM156" i="23"/>
  <c r="BN156" i="23"/>
  <c r="BO156" i="23"/>
  <c r="BP156" i="23"/>
  <c r="BQ156" i="23"/>
  <c r="BR156" i="23"/>
  <c r="BS156" i="23"/>
  <c r="BT156" i="23"/>
  <c r="BU156" i="23"/>
  <c r="BV156" i="23"/>
  <c r="BW156" i="23"/>
  <c r="BX156" i="23"/>
  <c r="BY156" i="23"/>
  <c r="BZ156" i="23"/>
  <c r="CA156" i="23"/>
  <c r="CB156" i="23"/>
  <c r="CC156" i="23"/>
  <c r="CD156" i="23"/>
  <c r="CE156" i="23"/>
  <c r="CF156" i="23"/>
  <c r="CG156" i="23"/>
  <c r="CH156" i="23"/>
  <c r="CI156" i="23"/>
  <c r="CJ156" i="23"/>
  <c r="CK156" i="23"/>
  <c r="CL156" i="23"/>
  <c r="CM156" i="23"/>
  <c r="CN156" i="23"/>
  <c r="CO156" i="23"/>
  <c r="CP156" i="23"/>
  <c r="CQ156" i="23"/>
  <c r="CR156" i="23"/>
  <c r="CS156" i="23"/>
  <c r="CT156" i="23"/>
  <c r="CU156" i="23"/>
  <c r="CV156" i="23"/>
  <c r="CW156" i="23"/>
  <c r="CX156" i="23"/>
  <c r="CY156" i="23"/>
  <c r="CZ156" i="23"/>
  <c r="DA156" i="23"/>
  <c r="DB156" i="23"/>
  <c r="DC156" i="23"/>
  <c r="DD156" i="23"/>
  <c r="DE156" i="23"/>
  <c r="DF156" i="23"/>
  <c r="DG156" i="23"/>
  <c r="DH156" i="23"/>
  <c r="DI156" i="23"/>
  <c r="DJ156" i="23"/>
  <c r="DK156" i="23"/>
  <c r="DL156" i="23"/>
  <c r="DM156" i="23"/>
  <c r="DN156" i="23"/>
  <c r="DO156" i="23"/>
  <c r="DP156" i="23"/>
  <c r="DQ156" i="23"/>
  <c r="DR156" i="23"/>
  <c r="DS156" i="23"/>
  <c r="DT156" i="23"/>
  <c r="DU156" i="23"/>
  <c r="DV156" i="23"/>
  <c r="DW156" i="23"/>
  <c r="DX156" i="23"/>
  <c r="DY156" i="23"/>
  <c r="DZ156" i="23"/>
  <c r="EA156" i="23"/>
  <c r="EB156" i="23"/>
  <c r="EC156" i="23"/>
  <c r="ED156" i="23"/>
  <c r="EE156" i="23"/>
  <c r="EF156" i="23"/>
  <c r="EG156" i="23"/>
  <c r="EH156" i="23"/>
  <c r="EI156" i="23"/>
  <c r="EJ156" i="23"/>
  <c r="EK156" i="23"/>
  <c r="EL156" i="23"/>
  <c r="EM156" i="23"/>
  <c r="EN156" i="23"/>
  <c r="EO156" i="23"/>
  <c r="EP156" i="23"/>
  <c r="EQ156" i="23"/>
  <c r="ER156" i="23"/>
  <c r="ES156" i="23"/>
  <c r="ET156" i="23"/>
  <c r="EU156" i="23"/>
  <c r="EV156" i="23"/>
  <c r="EW156" i="23"/>
  <c r="EX156" i="23"/>
  <c r="EY156" i="23"/>
  <c r="EZ156" i="23"/>
  <c r="FA156" i="23"/>
  <c r="FB156" i="23"/>
  <c r="FC156" i="23"/>
  <c r="FD156" i="23"/>
  <c r="FE156" i="23"/>
  <c r="FF156" i="23"/>
  <c r="FG156" i="23"/>
  <c r="FH156" i="23"/>
  <c r="FI156" i="23"/>
  <c r="FJ156" i="23"/>
  <c r="FK156" i="23"/>
  <c r="FL156" i="23"/>
  <c r="FM156" i="23"/>
  <c r="FN156" i="23"/>
  <c r="FO156" i="23"/>
  <c r="FP156" i="23"/>
  <c r="FQ156" i="23"/>
  <c r="FR156" i="23"/>
  <c r="FS156" i="23"/>
  <c r="FT156" i="23"/>
  <c r="FU156" i="23"/>
  <c r="FV156" i="23"/>
  <c r="FW156" i="23"/>
  <c r="FX156" i="23"/>
  <c r="FY156" i="23"/>
  <c r="FZ156" i="23"/>
  <c r="GA156" i="23"/>
  <c r="GB156" i="23"/>
  <c r="GC156" i="23"/>
  <c r="GD156" i="23"/>
  <c r="GE156" i="23"/>
  <c r="GF156" i="23"/>
  <c r="GG156" i="23"/>
  <c r="GH156" i="23"/>
  <c r="GI156" i="23"/>
  <c r="GJ156" i="23"/>
  <c r="GK156" i="23"/>
  <c r="GL156" i="23"/>
  <c r="GM156" i="23"/>
  <c r="GN156" i="23"/>
  <c r="GO156" i="23"/>
  <c r="GP156" i="23"/>
  <c r="GQ156" i="23"/>
  <c r="GR156" i="23"/>
  <c r="GS156" i="23"/>
  <c r="GT156" i="23"/>
  <c r="GU156" i="23"/>
  <c r="GV156" i="23"/>
  <c r="GW156" i="23"/>
  <c r="GX156" i="23"/>
  <c r="GY156" i="23"/>
  <c r="GZ156" i="23"/>
  <c r="HA156" i="23"/>
  <c r="HB156" i="23"/>
  <c r="HC156" i="23"/>
  <c r="HD156" i="23"/>
  <c r="HE156" i="23"/>
  <c r="HF156" i="23"/>
  <c r="HG156" i="23"/>
  <c r="HH156" i="23"/>
  <c r="HI156" i="23"/>
  <c r="HJ156" i="23"/>
  <c r="HK156" i="23"/>
  <c r="HL156" i="23"/>
  <c r="HM156" i="23"/>
  <c r="HN156" i="23"/>
  <c r="HO156" i="23"/>
  <c r="HP156" i="23"/>
  <c r="HQ156" i="23"/>
  <c r="HR156" i="23"/>
  <c r="HS156" i="23"/>
  <c r="HT156" i="23"/>
  <c r="HU156" i="23"/>
  <c r="HV156" i="23"/>
  <c r="HW156" i="23"/>
  <c r="HX156" i="23"/>
  <c r="HY156" i="23"/>
  <c r="HZ156" i="23"/>
  <c r="IA156" i="23"/>
  <c r="IB156" i="23"/>
  <c r="IC156" i="23"/>
  <c r="ID156" i="23"/>
  <c r="IE156" i="23"/>
  <c r="IF156" i="23"/>
  <c r="IG156" i="23"/>
  <c r="IH156" i="23"/>
  <c r="II156" i="23"/>
  <c r="IJ156" i="23"/>
  <c r="IK156" i="23"/>
  <c r="IL156" i="23"/>
  <c r="IM156" i="23"/>
  <c r="IN156" i="23"/>
  <c r="IO156" i="23"/>
  <c r="IP156" i="23"/>
  <c r="IQ156" i="23"/>
  <c r="IR156" i="23"/>
  <c r="IS156" i="23"/>
  <c r="IT156" i="23"/>
  <c r="IU156" i="23"/>
  <c r="IV156" i="23"/>
  <c r="A155" i="23"/>
  <c r="B155" i="23"/>
  <c r="C155" i="23"/>
  <c r="D155" i="23"/>
  <c r="E155" i="23"/>
  <c r="F155" i="23"/>
  <c r="G155" i="23"/>
  <c r="H155" i="23"/>
  <c r="I155" i="23"/>
  <c r="J155" i="23"/>
  <c r="K155" i="23"/>
  <c r="L155" i="23"/>
  <c r="M155" i="23"/>
  <c r="N155" i="23"/>
  <c r="O155" i="23"/>
  <c r="P155" i="23"/>
  <c r="Q155" i="23"/>
  <c r="R155" i="23"/>
  <c r="S155" i="23"/>
  <c r="T155" i="23"/>
  <c r="U155" i="23"/>
  <c r="V155" i="23"/>
  <c r="W155" i="23"/>
  <c r="X155" i="23"/>
  <c r="Y155" i="23"/>
  <c r="Z155" i="23"/>
  <c r="AA155" i="23"/>
  <c r="AB155" i="23"/>
  <c r="AC155" i="23"/>
  <c r="AD155" i="23"/>
  <c r="AE155" i="23"/>
  <c r="AF155" i="23"/>
  <c r="AG155" i="23"/>
  <c r="AH155" i="23"/>
  <c r="AI155" i="23"/>
  <c r="AJ155" i="23"/>
  <c r="AK155" i="23"/>
  <c r="AL155" i="23"/>
  <c r="AM155" i="23"/>
  <c r="AN155" i="23"/>
  <c r="AO155" i="23"/>
  <c r="AP155" i="23"/>
  <c r="AQ155" i="23"/>
  <c r="AR155" i="23"/>
  <c r="AS155" i="23"/>
  <c r="AT155" i="23"/>
  <c r="AU155" i="23"/>
  <c r="AV155" i="23"/>
  <c r="AW155" i="23"/>
  <c r="AX155" i="23"/>
  <c r="AY155" i="23"/>
  <c r="AZ155" i="23"/>
  <c r="BA155" i="23"/>
  <c r="BB155" i="23"/>
  <c r="BC155" i="23"/>
  <c r="BD155" i="23"/>
  <c r="BE155" i="23"/>
  <c r="BF155" i="23"/>
  <c r="BG155" i="23"/>
  <c r="BH155" i="23"/>
  <c r="BI155" i="23"/>
  <c r="BJ155" i="23"/>
  <c r="BK155" i="23"/>
  <c r="BL155" i="23"/>
  <c r="BM155" i="23"/>
  <c r="BN155" i="23"/>
  <c r="BO155" i="23"/>
  <c r="BP155" i="23"/>
  <c r="BQ155" i="23"/>
  <c r="BR155" i="23"/>
  <c r="BS155" i="23"/>
  <c r="BT155" i="23"/>
  <c r="BU155" i="23"/>
  <c r="BV155" i="23"/>
  <c r="BW155" i="23"/>
  <c r="BX155" i="23"/>
  <c r="BY155" i="23"/>
  <c r="BZ155" i="23"/>
  <c r="CA155" i="23"/>
  <c r="CB155" i="23"/>
  <c r="CC155" i="23"/>
  <c r="CD155" i="23"/>
  <c r="CE155" i="23"/>
  <c r="CF155" i="23"/>
  <c r="CG155" i="23"/>
  <c r="CH155" i="23"/>
  <c r="CI155" i="23"/>
  <c r="CJ155" i="23"/>
  <c r="CK155" i="23"/>
  <c r="CL155" i="23"/>
  <c r="CM155" i="23"/>
  <c r="CN155" i="23"/>
  <c r="CO155" i="23"/>
  <c r="CP155" i="23"/>
  <c r="CQ155" i="23"/>
  <c r="CR155" i="23"/>
  <c r="CS155" i="23"/>
  <c r="CT155" i="23"/>
  <c r="CU155" i="23"/>
  <c r="CV155" i="23"/>
  <c r="CW155" i="23"/>
  <c r="CX155" i="23"/>
  <c r="CY155" i="23"/>
  <c r="CZ155" i="23"/>
  <c r="DA155" i="23"/>
  <c r="DB155" i="23"/>
  <c r="DC155" i="23"/>
  <c r="DD155" i="23"/>
  <c r="DE155" i="23"/>
  <c r="DF155" i="23"/>
  <c r="DG155" i="23"/>
  <c r="DH155" i="23"/>
  <c r="DI155" i="23"/>
  <c r="DJ155" i="23"/>
  <c r="DK155" i="23"/>
  <c r="DL155" i="23"/>
  <c r="DM155" i="23"/>
  <c r="DN155" i="23"/>
  <c r="DO155" i="23"/>
  <c r="DP155" i="23"/>
  <c r="DQ155" i="23"/>
  <c r="DR155" i="23"/>
  <c r="DS155" i="23"/>
  <c r="DT155" i="23"/>
  <c r="DU155" i="23"/>
  <c r="DV155" i="23"/>
  <c r="DW155" i="23"/>
  <c r="DX155" i="23"/>
  <c r="DY155" i="23"/>
  <c r="DZ155" i="23"/>
  <c r="EA155" i="23"/>
  <c r="EB155" i="23"/>
  <c r="EC155" i="23"/>
  <c r="ED155" i="23"/>
  <c r="EE155" i="23"/>
  <c r="EF155" i="23"/>
  <c r="EG155" i="23"/>
  <c r="EH155" i="23"/>
  <c r="EI155" i="23"/>
  <c r="EJ155" i="23"/>
  <c r="EK155" i="23"/>
  <c r="EL155" i="23"/>
  <c r="EM155" i="23"/>
  <c r="EN155" i="23"/>
  <c r="EO155" i="23"/>
  <c r="EP155" i="23"/>
  <c r="EQ155" i="23"/>
  <c r="ER155" i="23"/>
  <c r="ES155" i="23"/>
  <c r="ET155" i="23"/>
  <c r="EU155" i="23"/>
  <c r="EV155" i="23"/>
  <c r="EW155" i="23"/>
  <c r="EX155" i="23"/>
  <c r="EY155" i="23"/>
  <c r="EZ155" i="23"/>
  <c r="FA155" i="23"/>
  <c r="FB155" i="23"/>
  <c r="FC155" i="23"/>
  <c r="FD155" i="23"/>
  <c r="FE155" i="23"/>
  <c r="FF155" i="23"/>
  <c r="FG155" i="23"/>
  <c r="FH155" i="23"/>
  <c r="FI155" i="23"/>
  <c r="FJ155" i="23"/>
  <c r="FK155" i="23"/>
  <c r="FL155" i="23"/>
  <c r="FM155" i="23"/>
  <c r="FN155" i="23"/>
  <c r="FO155" i="23"/>
  <c r="FP155" i="23"/>
  <c r="FQ155" i="23"/>
  <c r="FR155" i="23"/>
  <c r="FS155" i="23"/>
  <c r="FT155" i="23"/>
  <c r="FU155" i="23"/>
  <c r="FV155" i="23"/>
  <c r="FW155" i="23"/>
  <c r="FX155" i="23"/>
  <c r="FY155" i="23"/>
  <c r="FZ155" i="23"/>
  <c r="GA155" i="23"/>
  <c r="GB155" i="23"/>
  <c r="GC155" i="23"/>
  <c r="GD155" i="23"/>
  <c r="GE155" i="23"/>
  <c r="GF155" i="23"/>
  <c r="GG155" i="23"/>
  <c r="GH155" i="23"/>
  <c r="GI155" i="23"/>
  <c r="GJ155" i="23"/>
  <c r="GK155" i="23"/>
  <c r="GL155" i="23"/>
  <c r="GM155" i="23"/>
  <c r="GN155" i="23"/>
  <c r="GO155" i="23"/>
  <c r="GP155" i="23"/>
  <c r="GQ155" i="23"/>
  <c r="GR155" i="23"/>
  <c r="GS155" i="23"/>
  <c r="GT155" i="23"/>
  <c r="GU155" i="23"/>
  <c r="GV155" i="23"/>
  <c r="GW155" i="23"/>
  <c r="GX155" i="23"/>
  <c r="GY155" i="23"/>
  <c r="GZ155" i="23"/>
  <c r="HA155" i="23"/>
  <c r="HB155" i="23"/>
  <c r="HC155" i="23"/>
  <c r="HD155" i="23"/>
  <c r="HE155" i="23"/>
  <c r="HF155" i="23"/>
  <c r="HG155" i="23"/>
  <c r="HH155" i="23"/>
  <c r="HI155" i="23"/>
  <c r="HJ155" i="23"/>
  <c r="HK155" i="23"/>
  <c r="HL155" i="23"/>
  <c r="HM155" i="23"/>
  <c r="HN155" i="23"/>
  <c r="HO155" i="23"/>
  <c r="HP155" i="23"/>
  <c r="HQ155" i="23"/>
  <c r="HR155" i="23"/>
  <c r="HS155" i="23"/>
  <c r="HT155" i="23"/>
  <c r="HU155" i="23"/>
  <c r="HV155" i="23"/>
  <c r="HW155" i="23"/>
  <c r="HX155" i="23"/>
  <c r="HY155" i="23"/>
  <c r="HZ155" i="23"/>
  <c r="IA155" i="23"/>
  <c r="IB155" i="23"/>
  <c r="IC155" i="23"/>
  <c r="ID155" i="23"/>
  <c r="IE155" i="23"/>
  <c r="IF155" i="23"/>
  <c r="IG155" i="23"/>
  <c r="IH155" i="23"/>
  <c r="II155" i="23"/>
  <c r="IJ155" i="23"/>
  <c r="IK155" i="23"/>
  <c r="IL155" i="23"/>
  <c r="IM155" i="23"/>
  <c r="IN155" i="23"/>
  <c r="IO155" i="23"/>
  <c r="IP155" i="23"/>
  <c r="IQ155" i="23"/>
  <c r="IR155" i="23"/>
  <c r="IS155" i="23"/>
  <c r="IT155" i="23"/>
  <c r="IU155" i="23"/>
  <c r="IV155" i="23"/>
  <c r="A154" i="23"/>
  <c r="B154" i="23"/>
  <c r="C154" i="23"/>
  <c r="D154" i="23"/>
  <c r="E154" i="23"/>
  <c r="F154" i="23"/>
  <c r="G154" i="23"/>
  <c r="H154" i="23"/>
  <c r="I154" i="23"/>
  <c r="J154" i="23"/>
  <c r="K154" i="23"/>
  <c r="L154" i="23"/>
  <c r="M154" i="23"/>
  <c r="N154" i="23"/>
  <c r="O154" i="23"/>
  <c r="P154" i="23"/>
  <c r="Q154" i="23"/>
  <c r="R154" i="23"/>
  <c r="S154" i="23"/>
  <c r="T154" i="23"/>
  <c r="U154" i="23"/>
  <c r="V154" i="23"/>
  <c r="W154" i="23"/>
  <c r="X154" i="23"/>
  <c r="Y154" i="23"/>
  <c r="Z154" i="23"/>
  <c r="AA154" i="23"/>
  <c r="AB154" i="23"/>
  <c r="AC154" i="23"/>
  <c r="AD154" i="23"/>
  <c r="AE154" i="23"/>
  <c r="AF154" i="23"/>
  <c r="AG154" i="23"/>
  <c r="AH154" i="23"/>
  <c r="AI154" i="23"/>
  <c r="AJ154" i="23"/>
  <c r="AK154" i="23"/>
  <c r="AL154" i="23"/>
  <c r="AM154" i="23"/>
  <c r="AN154" i="23"/>
  <c r="AO154" i="23"/>
  <c r="AP154" i="23"/>
  <c r="AQ154" i="23"/>
  <c r="AR154" i="23"/>
  <c r="AS154" i="23"/>
  <c r="AT154" i="23"/>
  <c r="AU154" i="23"/>
  <c r="AV154" i="23"/>
  <c r="AW154" i="23"/>
  <c r="AX154" i="23"/>
  <c r="AY154" i="23"/>
  <c r="AZ154" i="23"/>
  <c r="BA154" i="23"/>
  <c r="BB154" i="23"/>
  <c r="BC154" i="23"/>
  <c r="BD154" i="23"/>
  <c r="BE154" i="23"/>
  <c r="BF154" i="23"/>
  <c r="BG154" i="23"/>
  <c r="BH154" i="23"/>
  <c r="BI154" i="23"/>
  <c r="BJ154" i="23"/>
  <c r="BK154" i="23"/>
  <c r="BL154" i="23"/>
  <c r="BM154" i="23"/>
  <c r="BN154" i="23"/>
  <c r="BO154" i="23"/>
  <c r="BP154" i="23"/>
  <c r="BQ154" i="23"/>
  <c r="BR154" i="23"/>
  <c r="BS154" i="23"/>
  <c r="BT154" i="23"/>
  <c r="BU154" i="23"/>
  <c r="BV154" i="23"/>
  <c r="BW154" i="23"/>
  <c r="BX154" i="23"/>
  <c r="BY154" i="23"/>
  <c r="BZ154" i="23"/>
  <c r="CA154" i="23"/>
  <c r="CB154" i="23"/>
  <c r="CC154" i="23"/>
  <c r="CD154" i="23"/>
  <c r="CE154" i="23"/>
  <c r="CF154" i="23"/>
  <c r="CG154" i="23"/>
  <c r="CH154" i="23"/>
  <c r="CI154" i="23"/>
  <c r="CJ154" i="23"/>
  <c r="CK154" i="23"/>
  <c r="CL154" i="23"/>
  <c r="CM154" i="23"/>
  <c r="CN154" i="23"/>
  <c r="CO154" i="23"/>
  <c r="CP154" i="23"/>
  <c r="CQ154" i="23"/>
  <c r="CR154" i="23"/>
  <c r="CS154" i="23"/>
  <c r="CT154" i="23"/>
  <c r="CU154" i="23"/>
  <c r="CV154" i="23"/>
  <c r="CW154" i="23"/>
  <c r="CX154" i="23"/>
  <c r="CY154" i="23"/>
  <c r="CZ154" i="23"/>
  <c r="DA154" i="23"/>
  <c r="DB154" i="23"/>
  <c r="DC154" i="23"/>
  <c r="DD154" i="23"/>
  <c r="DE154" i="23"/>
  <c r="DF154" i="23"/>
  <c r="DG154" i="23"/>
  <c r="DH154" i="23"/>
  <c r="DI154" i="23"/>
  <c r="DJ154" i="23"/>
  <c r="DK154" i="23"/>
  <c r="DL154" i="23"/>
  <c r="DM154" i="23"/>
  <c r="DN154" i="23"/>
  <c r="DO154" i="23"/>
  <c r="DP154" i="23"/>
  <c r="DQ154" i="23"/>
  <c r="DR154" i="23"/>
  <c r="DS154" i="23"/>
  <c r="DT154" i="23"/>
  <c r="DU154" i="23"/>
  <c r="DV154" i="23"/>
  <c r="DW154" i="23"/>
  <c r="DX154" i="23"/>
  <c r="DY154" i="23"/>
  <c r="DZ154" i="23"/>
  <c r="EA154" i="23"/>
  <c r="EB154" i="23"/>
  <c r="EC154" i="23"/>
  <c r="ED154" i="23"/>
  <c r="EE154" i="23"/>
  <c r="EF154" i="23"/>
  <c r="EG154" i="23"/>
  <c r="EH154" i="23"/>
  <c r="EI154" i="23"/>
  <c r="EJ154" i="23"/>
  <c r="EK154" i="23"/>
  <c r="EL154" i="23"/>
  <c r="EM154" i="23"/>
  <c r="EN154" i="23"/>
  <c r="EO154" i="23"/>
  <c r="EP154" i="23"/>
  <c r="EQ154" i="23"/>
  <c r="ER154" i="23"/>
  <c r="ES154" i="23"/>
  <c r="ET154" i="23"/>
  <c r="EU154" i="23"/>
  <c r="EV154" i="23"/>
  <c r="EW154" i="23"/>
  <c r="EX154" i="23"/>
  <c r="EY154" i="23"/>
  <c r="EZ154" i="23"/>
  <c r="FA154" i="23"/>
  <c r="FB154" i="23"/>
  <c r="FC154" i="23"/>
  <c r="FD154" i="23"/>
  <c r="FE154" i="23"/>
  <c r="FF154" i="23"/>
  <c r="FG154" i="23"/>
  <c r="FH154" i="23"/>
  <c r="FI154" i="23"/>
  <c r="FJ154" i="23"/>
  <c r="FK154" i="23"/>
  <c r="FL154" i="23"/>
  <c r="FM154" i="23"/>
  <c r="FN154" i="23"/>
  <c r="FO154" i="23"/>
  <c r="FP154" i="23"/>
  <c r="FQ154" i="23"/>
  <c r="FR154" i="23"/>
  <c r="FS154" i="23"/>
  <c r="FT154" i="23"/>
  <c r="FU154" i="23"/>
  <c r="FV154" i="23"/>
  <c r="FW154" i="23"/>
  <c r="FX154" i="23"/>
  <c r="FY154" i="23"/>
  <c r="FZ154" i="23"/>
  <c r="GA154" i="23"/>
  <c r="GB154" i="23"/>
  <c r="GC154" i="23"/>
  <c r="GD154" i="23"/>
  <c r="GE154" i="23"/>
  <c r="GF154" i="23"/>
  <c r="GG154" i="23"/>
  <c r="GH154" i="23"/>
  <c r="GI154" i="23"/>
  <c r="GJ154" i="23"/>
  <c r="GK154" i="23"/>
  <c r="GL154" i="23"/>
  <c r="GM154" i="23"/>
  <c r="GN154" i="23"/>
  <c r="GO154" i="23"/>
  <c r="GP154" i="23"/>
  <c r="GQ154" i="23"/>
  <c r="GR154" i="23"/>
  <c r="GS154" i="23"/>
  <c r="GT154" i="23"/>
  <c r="GU154" i="23"/>
  <c r="GV154" i="23"/>
  <c r="GW154" i="23"/>
  <c r="GX154" i="23"/>
  <c r="GY154" i="23"/>
  <c r="GZ154" i="23"/>
  <c r="HA154" i="23"/>
  <c r="HB154" i="23"/>
  <c r="HC154" i="23"/>
  <c r="HD154" i="23"/>
  <c r="HE154" i="23"/>
  <c r="HF154" i="23"/>
  <c r="HG154" i="23"/>
  <c r="HH154" i="23"/>
  <c r="HI154" i="23"/>
  <c r="HJ154" i="23"/>
  <c r="HK154" i="23"/>
  <c r="HL154" i="23"/>
  <c r="HM154" i="23"/>
  <c r="HN154" i="23"/>
  <c r="HO154" i="23"/>
  <c r="HP154" i="23"/>
  <c r="HQ154" i="23"/>
  <c r="HR154" i="23"/>
  <c r="HS154" i="23"/>
  <c r="HT154" i="23"/>
  <c r="HU154" i="23"/>
  <c r="HV154" i="23"/>
  <c r="HW154" i="23"/>
  <c r="HX154" i="23"/>
  <c r="HY154" i="23"/>
  <c r="HZ154" i="23"/>
  <c r="IA154" i="23"/>
  <c r="IB154" i="23"/>
  <c r="IC154" i="23"/>
  <c r="ID154" i="23"/>
  <c r="IE154" i="23"/>
  <c r="IF154" i="23"/>
  <c r="IG154" i="23"/>
  <c r="IH154" i="23"/>
  <c r="II154" i="23"/>
  <c r="IJ154" i="23"/>
  <c r="IK154" i="23"/>
  <c r="IL154" i="23"/>
  <c r="IM154" i="23"/>
  <c r="IN154" i="23"/>
  <c r="IO154" i="23"/>
  <c r="IP154" i="23"/>
  <c r="IQ154" i="23"/>
  <c r="IR154" i="23"/>
  <c r="IS154" i="23"/>
  <c r="IT154" i="23"/>
  <c r="IU154" i="23"/>
  <c r="IV154" i="23"/>
  <c r="A153" i="23"/>
  <c r="B153" i="23"/>
  <c r="C153" i="23"/>
  <c r="D153" i="23"/>
  <c r="E153" i="23"/>
  <c r="F153" i="23"/>
  <c r="G153" i="23"/>
  <c r="H153" i="23"/>
  <c r="I153" i="23"/>
  <c r="J153" i="23"/>
  <c r="K153" i="23"/>
  <c r="L153" i="23"/>
  <c r="M153" i="23"/>
  <c r="N153" i="23"/>
  <c r="O153" i="23"/>
  <c r="P153" i="23"/>
  <c r="Q153" i="23"/>
  <c r="R153" i="23"/>
  <c r="S153" i="23"/>
  <c r="T153" i="23"/>
  <c r="U153" i="23"/>
  <c r="V153" i="23"/>
  <c r="W153" i="23"/>
  <c r="X153" i="23"/>
  <c r="Y153" i="23"/>
  <c r="Z153" i="23"/>
  <c r="AA153" i="23"/>
  <c r="AB153" i="23"/>
  <c r="AC153" i="23"/>
  <c r="AD153" i="23"/>
  <c r="AE153" i="23"/>
  <c r="AF153" i="23"/>
  <c r="AG153" i="23"/>
  <c r="AH153" i="23"/>
  <c r="AI153" i="23"/>
  <c r="AJ153" i="23"/>
  <c r="AK153" i="23"/>
  <c r="AL153" i="23"/>
  <c r="AM153" i="23"/>
  <c r="AN153" i="23"/>
  <c r="AO153" i="23"/>
  <c r="AP153" i="23"/>
  <c r="AQ153" i="23"/>
  <c r="AR153" i="23"/>
  <c r="AS153" i="23"/>
  <c r="AT153" i="23"/>
  <c r="AU153" i="23"/>
  <c r="AV153" i="23"/>
  <c r="AW153" i="23"/>
  <c r="AX153" i="23"/>
  <c r="AY153" i="23"/>
  <c r="AZ153" i="23"/>
  <c r="BA153" i="23"/>
  <c r="BB153" i="23"/>
  <c r="BC153" i="23"/>
  <c r="BD153" i="23"/>
  <c r="BE153" i="23"/>
  <c r="BF153" i="23"/>
  <c r="BG153" i="23"/>
  <c r="BH153" i="23"/>
  <c r="BI153" i="23"/>
  <c r="BJ153" i="23"/>
  <c r="BK153" i="23"/>
  <c r="BL153" i="23"/>
  <c r="BM153" i="23"/>
  <c r="BN153" i="23"/>
  <c r="BO153" i="23"/>
  <c r="BP153" i="23"/>
  <c r="BQ153" i="23"/>
  <c r="BR153" i="23"/>
  <c r="BS153" i="23"/>
  <c r="BT153" i="23"/>
  <c r="BU153" i="23"/>
  <c r="BV153" i="23"/>
  <c r="BW153" i="23"/>
  <c r="BX153" i="23"/>
  <c r="BY153" i="23"/>
  <c r="BZ153" i="23"/>
  <c r="CA153" i="23"/>
  <c r="CB153" i="23"/>
  <c r="CC153" i="23"/>
  <c r="CD153" i="23"/>
  <c r="CE153" i="23"/>
  <c r="CF153" i="23"/>
  <c r="CG153" i="23"/>
  <c r="CH153" i="23"/>
  <c r="CI153" i="23"/>
  <c r="CJ153" i="23"/>
  <c r="CK153" i="23"/>
  <c r="CL153" i="23"/>
  <c r="CM153" i="23"/>
  <c r="CN153" i="23"/>
  <c r="CO153" i="23"/>
  <c r="CP153" i="23"/>
  <c r="CQ153" i="23"/>
  <c r="CR153" i="23"/>
  <c r="CS153" i="23"/>
  <c r="CT153" i="23"/>
  <c r="CU153" i="23"/>
  <c r="CV153" i="23"/>
  <c r="CW153" i="23"/>
  <c r="CX153" i="23"/>
  <c r="CY153" i="23"/>
  <c r="CZ153" i="23"/>
  <c r="DA153" i="23"/>
  <c r="DB153" i="23"/>
  <c r="DC153" i="23"/>
  <c r="DD153" i="23"/>
  <c r="DE153" i="23"/>
  <c r="DF153" i="23"/>
  <c r="DG153" i="23"/>
  <c r="DH153" i="23"/>
  <c r="DI153" i="23"/>
  <c r="DJ153" i="23"/>
  <c r="DK153" i="23"/>
  <c r="DL153" i="23"/>
  <c r="DM153" i="23"/>
  <c r="DN153" i="23"/>
  <c r="DO153" i="23"/>
  <c r="DP153" i="23"/>
  <c r="DQ153" i="23"/>
  <c r="DR153" i="23"/>
  <c r="DS153" i="23"/>
  <c r="DT153" i="23"/>
  <c r="DU153" i="23"/>
  <c r="DV153" i="23"/>
  <c r="DW153" i="23"/>
  <c r="DX153" i="23"/>
  <c r="DY153" i="23"/>
  <c r="DZ153" i="23"/>
  <c r="EA153" i="23"/>
  <c r="EB153" i="23"/>
  <c r="EC153" i="23"/>
  <c r="ED153" i="23"/>
  <c r="EE153" i="23"/>
  <c r="EF153" i="23"/>
  <c r="EG153" i="23"/>
  <c r="EH153" i="23"/>
  <c r="EI153" i="23"/>
  <c r="EJ153" i="23"/>
  <c r="EK153" i="23"/>
  <c r="EL153" i="23"/>
  <c r="EM153" i="23"/>
  <c r="EN153" i="23"/>
  <c r="EO153" i="23"/>
  <c r="EP153" i="23"/>
  <c r="EQ153" i="23"/>
  <c r="ER153" i="23"/>
  <c r="ES153" i="23"/>
  <c r="ET153" i="23"/>
  <c r="EU153" i="23"/>
  <c r="EV153" i="23"/>
  <c r="EW153" i="23"/>
  <c r="EX153" i="23"/>
  <c r="EY153" i="23"/>
  <c r="EZ153" i="23"/>
  <c r="FA153" i="23"/>
  <c r="FB153" i="23"/>
  <c r="FC153" i="23"/>
  <c r="FD153" i="23"/>
  <c r="FE153" i="23"/>
  <c r="FF153" i="23"/>
  <c r="FG153" i="23"/>
  <c r="FH153" i="23"/>
  <c r="FI153" i="23"/>
  <c r="FJ153" i="23"/>
  <c r="FK153" i="23"/>
  <c r="FL153" i="23"/>
  <c r="FM153" i="23"/>
  <c r="FN153" i="23"/>
  <c r="FO153" i="23"/>
  <c r="FP153" i="23"/>
  <c r="FQ153" i="23"/>
  <c r="FR153" i="23"/>
  <c r="FS153" i="23"/>
  <c r="FT153" i="23"/>
  <c r="FU153" i="23"/>
  <c r="FV153" i="23"/>
  <c r="FW153" i="23"/>
  <c r="FX153" i="23"/>
  <c r="FY153" i="23"/>
  <c r="FZ153" i="23"/>
  <c r="GA153" i="23"/>
  <c r="GB153" i="23"/>
  <c r="GC153" i="23"/>
  <c r="GD153" i="23"/>
  <c r="GE153" i="23"/>
  <c r="GF153" i="23"/>
  <c r="GG153" i="23"/>
  <c r="GH153" i="23"/>
  <c r="GI153" i="23"/>
  <c r="GJ153" i="23"/>
  <c r="GK153" i="23"/>
  <c r="GL153" i="23"/>
  <c r="GM153" i="23"/>
  <c r="GN153" i="23"/>
  <c r="GO153" i="23"/>
  <c r="GP153" i="23"/>
  <c r="GQ153" i="23"/>
  <c r="GR153" i="23"/>
  <c r="GS153" i="23"/>
  <c r="GT153" i="23"/>
  <c r="GU153" i="23"/>
  <c r="GV153" i="23"/>
  <c r="GW153" i="23"/>
  <c r="GX153" i="23"/>
  <c r="GY153" i="23"/>
  <c r="GZ153" i="23"/>
  <c r="HA153" i="23"/>
  <c r="HB153" i="23"/>
  <c r="HC153" i="23"/>
  <c r="HD153" i="23"/>
  <c r="HE153" i="23"/>
  <c r="HF153" i="23"/>
  <c r="HG153" i="23"/>
  <c r="HH153" i="23"/>
  <c r="HI153" i="23"/>
  <c r="HJ153" i="23"/>
  <c r="HK153" i="23"/>
  <c r="HL153" i="23"/>
  <c r="HM153" i="23"/>
  <c r="HN153" i="23"/>
  <c r="HO153" i="23"/>
  <c r="HP153" i="23"/>
  <c r="HQ153" i="23"/>
  <c r="HR153" i="23"/>
  <c r="HS153" i="23"/>
  <c r="HT153" i="23"/>
  <c r="HU153" i="23"/>
  <c r="HV153" i="23"/>
  <c r="HW153" i="23"/>
  <c r="HX153" i="23"/>
  <c r="HY153" i="23"/>
  <c r="HZ153" i="23"/>
  <c r="IA153" i="23"/>
  <c r="IB153" i="23"/>
  <c r="IC153" i="23"/>
  <c r="ID153" i="23"/>
  <c r="IE153" i="23"/>
  <c r="IF153" i="23"/>
  <c r="IG153" i="23"/>
  <c r="IH153" i="23"/>
  <c r="II153" i="23"/>
  <c r="IJ153" i="23"/>
  <c r="IK153" i="23"/>
  <c r="IL153" i="23"/>
  <c r="IM153" i="23"/>
  <c r="IN153" i="23"/>
  <c r="IO153" i="23"/>
  <c r="IP153" i="23"/>
  <c r="IQ153" i="23"/>
  <c r="IR153" i="23"/>
  <c r="IS153" i="23"/>
  <c r="IT153" i="23"/>
  <c r="IU153" i="23"/>
  <c r="IV153" i="23"/>
  <c r="A152" i="23"/>
  <c r="B152" i="23"/>
  <c r="C152" i="23"/>
  <c r="D152" i="23"/>
  <c r="E152" i="23"/>
  <c r="F152" i="23"/>
  <c r="G152" i="23"/>
  <c r="H152" i="23"/>
  <c r="I152" i="23"/>
  <c r="J152" i="23"/>
  <c r="K152" i="23"/>
  <c r="L152" i="23"/>
  <c r="M152" i="23"/>
  <c r="N152" i="23"/>
  <c r="O152" i="23"/>
  <c r="P152" i="23"/>
  <c r="Q152" i="23"/>
  <c r="R152" i="23"/>
  <c r="S152" i="23"/>
  <c r="T152" i="23"/>
  <c r="U152" i="23"/>
  <c r="V152" i="23"/>
  <c r="W152" i="23"/>
  <c r="X152" i="23"/>
  <c r="Y152" i="23"/>
  <c r="Z152" i="23"/>
  <c r="AA152" i="23"/>
  <c r="AB152" i="23"/>
  <c r="AC152" i="23"/>
  <c r="AD152" i="23"/>
  <c r="AE152" i="23"/>
  <c r="AF152" i="23"/>
  <c r="AG152" i="23"/>
  <c r="AH152" i="23"/>
  <c r="AI152" i="23"/>
  <c r="AJ152" i="23"/>
  <c r="AK152" i="23"/>
  <c r="AL152" i="23"/>
  <c r="AM152" i="23"/>
  <c r="AN152" i="23"/>
  <c r="AO152" i="23"/>
  <c r="AP152" i="23"/>
  <c r="AQ152" i="23"/>
  <c r="AR152" i="23"/>
  <c r="AS152" i="23"/>
  <c r="AT152" i="23"/>
  <c r="AU152" i="23"/>
  <c r="AV152" i="23"/>
  <c r="AW152" i="23"/>
  <c r="AX152" i="23"/>
  <c r="AY152" i="23"/>
  <c r="AZ152" i="23"/>
  <c r="BA152" i="23"/>
  <c r="BB152" i="23"/>
  <c r="BC152" i="23"/>
  <c r="BD152" i="23"/>
  <c r="BE152" i="23"/>
  <c r="BF152" i="23"/>
  <c r="BG152" i="23"/>
  <c r="BH152" i="23"/>
  <c r="BI152" i="23"/>
  <c r="BJ152" i="23"/>
  <c r="BK152" i="23"/>
  <c r="BL152" i="23"/>
  <c r="BM152" i="23"/>
  <c r="BN152" i="23"/>
  <c r="BO152" i="23"/>
  <c r="BP152" i="23"/>
  <c r="BQ152" i="23"/>
  <c r="BR152" i="23"/>
  <c r="BS152" i="23"/>
  <c r="BT152" i="23"/>
  <c r="BU152" i="23"/>
  <c r="BV152" i="23"/>
  <c r="BW152" i="23"/>
  <c r="BX152" i="23"/>
  <c r="BY152" i="23"/>
  <c r="BZ152" i="23"/>
  <c r="CA152" i="23"/>
  <c r="CB152" i="23"/>
  <c r="CC152" i="23"/>
  <c r="CD152" i="23"/>
  <c r="CE152" i="23"/>
  <c r="CF152" i="23"/>
  <c r="CG152" i="23"/>
  <c r="CH152" i="23"/>
  <c r="CI152" i="23"/>
  <c r="CJ152" i="23"/>
  <c r="CK152" i="23"/>
  <c r="CL152" i="23"/>
  <c r="CM152" i="23"/>
  <c r="CN152" i="23"/>
  <c r="CO152" i="23"/>
  <c r="CP152" i="23"/>
  <c r="CQ152" i="23"/>
  <c r="CR152" i="23"/>
  <c r="CS152" i="23"/>
  <c r="CT152" i="23"/>
  <c r="CU152" i="23"/>
  <c r="CV152" i="23"/>
  <c r="CW152" i="23"/>
  <c r="CX152" i="23"/>
  <c r="CY152" i="23"/>
  <c r="CZ152" i="23"/>
  <c r="DA152" i="23"/>
  <c r="DB152" i="23"/>
  <c r="DC152" i="23"/>
  <c r="DD152" i="23"/>
  <c r="DE152" i="23"/>
  <c r="DF152" i="23"/>
  <c r="DG152" i="23"/>
  <c r="DH152" i="23"/>
  <c r="DI152" i="23"/>
  <c r="DJ152" i="23"/>
  <c r="DK152" i="23"/>
  <c r="DL152" i="23"/>
  <c r="DM152" i="23"/>
  <c r="DN152" i="23"/>
  <c r="DO152" i="23"/>
  <c r="DP152" i="23"/>
  <c r="DQ152" i="23"/>
  <c r="DR152" i="23"/>
  <c r="DS152" i="23"/>
  <c r="DT152" i="23"/>
  <c r="DU152" i="23"/>
  <c r="DV152" i="23"/>
  <c r="DW152" i="23"/>
  <c r="DX152" i="23"/>
  <c r="DY152" i="23"/>
  <c r="DZ152" i="23"/>
  <c r="EA152" i="23"/>
  <c r="EB152" i="23"/>
  <c r="EC152" i="23"/>
  <c r="ED152" i="23"/>
  <c r="EE152" i="23"/>
  <c r="EF152" i="23"/>
  <c r="EG152" i="23"/>
  <c r="EH152" i="23"/>
  <c r="EI152" i="23"/>
  <c r="EJ152" i="23"/>
  <c r="EK152" i="23"/>
  <c r="EL152" i="23"/>
  <c r="EM152" i="23"/>
  <c r="EN152" i="23"/>
  <c r="EO152" i="23"/>
  <c r="EP152" i="23"/>
  <c r="EQ152" i="23"/>
  <c r="ER152" i="23"/>
  <c r="ES152" i="23"/>
  <c r="ET152" i="23"/>
  <c r="EU152" i="23"/>
  <c r="EV152" i="23"/>
  <c r="EW152" i="23"/>
  <c r="EX152" i="23"/>
  <c r="EY152" i="23"/>
  <c r="EZ152" i="23"/>
  <c r="FA152" i="23"/>
  <c r="FB152" i="23"/>
  <c r="FC152" i="23"/>
  <c r="FD152" i="23"/>
  <c r="FE152" i="23"/>
  <c r="FF152" i="23"/>
  <c r="FG152" i="23"/>
  <c r="FH152" i="23"/>
  <c r="FI152" i="23"/>
  <c r="FJ152" i="23"/>
  <c r="FK152" i="23"/>
  <c r="FL152" i="23"/>
  <c r="FM152" i="23"/>
  <c r="FN152" i="23"/>
  <c r="FO152" i="23"/>
  <c r="FP152" i="23"/>
  <c r="FQ152" i="23"/>
  <c r="FR152" i="23"/>
  <c r="FS152" i="23"/>
  <c r="FT152" i="23"/>
  <c r="FU152" i="23"/>
  <c r="FV152" i="23"/>
  <c r="FW152" i="23"/>
  <c r="FX152" i="23"/>
  <c r="FY152" i="23"/>
  <c r="FZ152" i="23"/>
  <c r="GA152" i="23"/>
  <c r="GB152" i="23"/>
  <c r="GC152" i="23"/>
  <c r="GD152" i="23"/>
  <c r="GE152" i="23"/>
  <c r="GF152" i="23"/>
  <c r="GG152" i="23"/>
  <c r="GH152" i="23"/>
  <c r="GI152" i="23"/>
  <c r="GJ152" i="23"/>
  <c r="GK152" i="23"/>
  <c r="GL152" i="23"/>
  <c r="GM152" i="23"/>
  <c r="GN152" i="23"/>
  <c r="GO152" i="23"/>
  <c r="GP152" i="23"/>
  <c r="GQ152" i="23"/>
  <c r="GR152" i="23"/>
  <c r="GS152" i="23"/>
  <c r="GT152" i="23"/>
  <c r="GU152" i="23"/>
  <c r="GV152" i="23"/>
  <c r="GW152" i="23"/>
  <c r="GX152" i="23"/>
  <c r="GY152" i="23"/>
  <c r="GZ152" i="23"/>
  <c r="HA152" i="23"/>
  <c r="HB152" i="23"/>
  <c r="HC152" i="23"/>
  <c r="HD152" i="23"/>
  <c r="HE152" i="23"/>
  <c r="HF152" i="23"/>
  <c r="HG152" i="23"/>
  <c r="HH152" i="23"/>
  <c r="HI152" i="23"/>
  <c r="HJ152" i="23"/>
  <c r="HK152" i="23"/>
  <c r="HL152" i="23"/>
  <c r="HM152" i="23"/>
  <c r="HN152" i="23"/>
  <c r="HO152" i="23"/>
  <c r="HP152" i="23"/>
  <c r="HQ152" i="23"/>
  <c r="HR152" i="23"/>
  <c r="HS152" i="23"/>
  <c r="HT152" i="23"/>
  <c r="HU152" i="23"/>
  <c r="HV152" i="23"/>
  <c r="HW152" i="23"/>
  <c r="HX152" i="23"/>
  <c r="HY152" i="23"/>
  <c r="HZ152" i="23"/>
  <c r="IA152" i="23"/>
  <c r="IB152" i="23"/>
  <c r="IC152" i="23"/>
  <c r="ID152" i="23"/>
  <c r="IE152" i="23"/>
  <c r="IF152" i="23"/>
  <c r="IG152" i="23"/>
  <c r="IH152" i="23"/>
  <c r="II152" i="23"/>
  <c r="IJ152" i="23"/>
  <c r="IK152" i="23"/>
  <c r="IL152" i="23"/>
  <c r="IM152" i="23"/>
  <c r="IN152" i="23"/>
  <c r="IO152" i="23"/>
  <c r="IP152" i="23"/>
  <c r="IQ152" i="23"/>
  <c r="IR152" i="23"/>
  <c r="IS152" i="23"/>
  <c r="IT152" i="23"/>
  <c r="IU152" i="23"/>
  <c r="IV152" i="23"/>
  <c r="A151" i="23"/>
  <c r="B151" i="23"/>
  <c r="C151" i="23"/>
  <c r="D151" i="23"/>
  <c r="E151" i="23"/>
  <c r="F151" i="23"/>
  <c r="G151" i="23"/>
  <c r="H151" i="23"/>
  <c r="I151" i="23"/>
  <c r="J151" i="23"/>
  <c r="K151" i="23"/>
  <c r="L151" i="23"/>
  <c r="M151" i="23"/>
  <c r="N151" i="23"/>
  <c r="O151" i="23"/>
  <c r="P151" i="23"/>
  <c r="Q151" i="23"/>
  <c r="R151" i="23"/>
  <c r="S151" i="23"/>
  <c r="T151" i="23"/>
  <c r="U151" i="23"/>
  <c r="V151" i="23"/>
  <c r="W151" i="23"/>
  <c r="X151" i="23"/>
  <c r="Y151" i="23"/>
  <c r="Z151" i="23"/>
  <c r="AA151" i="23"/>
  <c r="AB151" i="23"/>
  <c r="AC151" i="23"/>
  <c r="AD151" i="23"/>
  <c r="AE151" i="23"/>
  <c r="AF151" i="23"/>
  <c r="AG151" i="23"/>
  <c r="AH151" i="23"/>
  <c r="AI151" i="23"/>
  <c r="AJ151" i="23"/>
  <c r="AK151" i="23"/>
  <c r="AL151" i="23"/>
  <c r="AM151" i="23"/>
  <c r="AN151" i="23"/>
  <c r="AO151" i="23"/>
  <c r="AP151" i="23"/>
  <c r="AQ151" i="23"/>
  <c r="AR151" i="23"/>
  <c r="AS151" i="23"/>
  <c r="AT151" i="23"/>
  <c r="AU151" i="23"/>
  <c r="AV151" i="23"/>
  <c r="AW151" i="23"/>
  <c r="AX151" i="23"/>
  <c r="AY151" i="23"/>
  <c r="AZ151" i="23"/>
  <c r="BA151" i="23"/>
  <c r="BB151" i="23"/>
  <c r="BC151" i="23"/>
  <c r="BD151" i="23"/>
  <c r="BE151" i="23"/>
  <c r="BF151" i="23"/>
  <c r="BG151" i="23"/>
  <c r="BH151" i="23"/>
  <c r="BI151" i="23"/>
  <c r="BJ151" i="23"/>
  <c r="BK151" i="23"/>
  <c r="BL151" i="23"/>
  <c r="BM151" i="23"/>
  <c r="BN151" i="23"/>
  <c r="BO151" i="23"/>
  <c r="BP151" i="23"/>
  <c r="BQ151" i="23"/>
  <c r="BR151" i="23"/>
  <c r="BS151" i="23"/>
  <c r="BT151" i="23"/>
  <c r="BU151" i="23"/>
  <c r="BV151" i="23"/>
  <c r="BW151" i="23"/>
  <c r="BX151" i="23"/>
  <c r="BY151" i="23"/>
  <c r="BZ151" i="23"/>
  <c r="CA151" i="23"/>
  <c r="CB151" i="23"/>
  <c r="CC151" i="23"/>
  <c r="CD151" i="23"/>
  <c r="CE151" i="23"/>
  <c r="CF151" i="23"/>
  <c r="CG151" i="23"/>
  <c r="CH151" i="23"/>
  <c r="CI151" i="23"/>
  <c r="CJ151" i="23"/>
  <c r="CK151" i="23"/>
  <c r="CL151" i="23"/>
  <c r="CM151" i="23"/>
  <c r="CN151" i="23"/>
  <c r="CO151" i="23"/>
  <c r="CP151" i="23"/>
  <c r="CQ151" i="23"/>
  <c r="CR151" i="23"/>
  <c r="CS151" i="23"/>
  <c r="CT151" i="23"/>
  <c r="CU151" i="23"/>
  <c r="CV151" i="23"/>
  <c r="CW151" i="23"/>
  <c r="CX151" i="23"/>
  <c r="CY151" i="23"/>
  <c r="CZ151" i="23"/>
  <c r="DA151" i="23"/>
  <c r="DB151" i="23"/>
  <c r="DC151" i="23"/>
  <c r="DD151" i="23"/>
  <c r="DE151" i="23"/>
  <c r="DF151" i="23"/>
  <c r="DG151" i="23"/>
  <c r="DH151" i="23"/>
  <c r="DI151" i="23"/>
  <c r="DJ151" i="23"/>
  <c r="DK151" i="23"/>
  <c r="DL151" i="23"/>
  <c r="DM151" i="23"/>
  <c r="DN151" i="23"/>
  <c r="DO151" i="23"/>
  <c r="DP151" i="23"/>
  <c r="DQ151" i="23"/>
  <c r="DR151" i="23"/>
  <c r="DS151" i="23"/>
  <c r="DT151" i="23"/>
  <c r="DU151" i="23"/>
  <c r="DV151" i="23"/>
  <c r="DW151" i="23"/>
  <c r="DX151" i="23"/>
  <c r="DY151" i="23"/>
  <c r="DZ151" i="23"/>
  <c r="EA151" i="23"/>
  <c r="EB151" i="23"/>
  <c r="EC151" i="23"/>
  <c r="ED151" i="23"/>
  <c r="EE151" i="23"/>
  <c r="EF151" i="23"/>
  <c r="EG151" i="23"/>
  <c r="EH151" i="23"/>
  <c r="EI151" i="23"/>
  <c r="EJ151" i="23"/>
  <c r="EK151" i="23"/>
  <c r="EL151" i="23"/>
  <c r="EM151" i="23"/>
  <c r="EN151" i="23"/>
  <c r="EO151" i="23"/>
  <c r="EP151" i="23"/>
  <c r="EQ151" i="23"/>
  <c r="ER151" i="23"/>
  <c r="ES151" i="23"/>
  <c r="ET151" i="23"/>
  <c r="EU151" i="23"/>
  <c r="EV151" i="23"/>
  <c r="EW151" i="23"/>
  <c r="EX151" i="23"/>
  <c r="EY151" i="23"/>
  <c r="EZ151" i="23"/>
  <c r="FA151" i="23"/>
  <c r="FB151" i="23"/>
  <c r="FC151" i="23"/>
  <c r="FD151" i="23"/>
  <c r="FE151" i="23"/>
  <c r="FF151" i="23"/>
  <c r="FG151" i="23"/>
  <c r="FH151" i="23"/>
  <c r="FI151" i="23"/>
  <c r="FJ151" i="23"/>
  <c r="FK151" i="23"/>
  <c r="FL151" i="23"/>
  <c r="FM151" i="23"/>
  <c r="FN151" i="23"/>
  <c r="FO151" i="23"/>
  <c r="FP151" i="23"/>
  <c r="FQ151" i="23"/>
  <c r="FR151" i="23"/>
  <c r="FS151" i="23"/>
  <c r="FT151" i="23"/>
  <c r="FU151" i="23"/>
  <c r="FV151" i="23"/>
  <c r="FW151" i="23"/>
  <c r="FX151" i="23"/>
  <c r="FY151" i="23"/>
  <c r="FZ151" i="23"/>
  <c r="GA151" i="23"/>
  <c r="GB151" i="23"/>
  <c r="GC151" i="23"/>
  <c r="GD151" i="23"/>
  <c r="GE151" i="23"/>
  <c r="GF151" i="23"/>
  <c r="GG151" i="23"/>
  <c r="GH151" i="23"/>
  <c r="GI151" i="23"/>
  <c r="GJ151" i="23"/>
  <c r="GK151" i="23"/>
  <c r="GL151" i="23"/>
  <c r="GM151" i="23"/>
  <c r="GN151" i="23"/>
  <c r="GO151" i="23"/>
  <c r="GP151" i="23"/>
  <c r="GQ151" i="23"/>
  <c r="GR151" i="23"/>
  <c r="GS151" i="23"/>
  <c r="GT151" i="23"/>
  <c r="GU151" i="23"/>
  <c r="GV151" i="23"/>
  <c r="GW151" i="23"/>
  <c r="GX151" i="23"/>
  <c r="GY151" i="23"/>
  <c r="GZ151" i="23"/>
  <c r="HA151" i="23"/>
  <c r="HB151" i="23"/>
  <c r="HC151" i="23"/>
  <c r="HD151" i="23"/>
  <c r="HE151" i="23"/>
  <c r="HF151" i="23"/>
  <c r="HG151" i="23"/>
  <c r="HH151" i="23"/>
  <c r="HI151" i="23"/>
  <c r="HJ151" i="23"/>
  <c r="HK151" i="23"/>
  <c r="HL151" i="23"/>
  <c r="HM151" i="23"/>
  <c r="HN151" i="23"/>
  <c r="HO151" i="23"/>
  <c r="HP151" i="23"/>
  <c r="HQ151" i="23"/>
  <c r="HR151" i="23"/>
  <c r="HS151" i="23"/>
  <c r="HT151" i="23"/>
  <c r="HU151" i="23"/>
  <c r="HV151" i="23"/>
  <c r="HW151" i="23"/>
  <c r="HX151" i="23"/>
  <c r="HY151" i="23"/>
  <c r="HZ151" i="23"/>
  <c r="IA151" i="23"/>
  <c r="IB151" i="23"/>
  <c r="IC151" i="23"/>
  <c r="ID151" i="23"/>
  <c r="IE151" i="23"/>
  <c r="IF151" i="23"/>
  <c r="IG151" i="23"/>
  <c r="IH151" i="23"/>
  <c r="II151" i="23"/>
  <c r="IJ151" i="23"/>
  <c r="IK151" i="23"/>
  <c r="IL151" i="23"/>
  <c r="IM151" i="23"/>
  <c r="IN151" i="23"/>
  <c r="IO151" i="23"/>
  <c r="IP151" i="23"/>
  <c r="IQ151" i="23"/>
  <c r="IR151" i="23"/>
  <c r="IS151" i="23"/>
  <c r="IT151" i="23"/>
  <c r="IU151" i="23"/>
  <c r="IV151" i="23"/>
  <c r="A150" i="23"/>
  <c r="B150" i="23"/>
  <c r="C150" i="23"/>
  <c r="D150" i="23"/>
  <c r="E150" i="23"/>
  <c r="F150" i="23"/>
  <c r="G150" i="23"/>
  <c r="H150" i="23"/>
  <c r="I150" i="23"/>
  <c r="J150" i="23"/>
  <c r="K150" i="23"/>
  <c r="L150" i="23"/>
  <c r="M150" i="23"/>
  <c r="N150" i="23"/>
  <c r="O150" i="23"/>
  <c r="P150" i="23"/>
  <c r="Q150" i="23"/>
  <c r="R150" i="23"/>
  <c r="S150" i="23"/>
  <c r="T150" i="23"/>
  <c r="U150" i="23"/>
  <c r="V150" i="23"/>
  <c r="W150" i="23"/>
  <c r="X150" i="23"/>
  <c r="Y150" i="23"/>
  <c r="Z150" i="23"/>
  <c r="AA150" i="23"/>
  <c r="AB150" i="23"/>
  <c r="AC150" i="23"/>
  <c r="AD150" i="23"/>
  <c r="AE150" i="23"/>
  <c r="AF150" i="23"/>
  <c r="AG150" i="23"/>
  <c r="AH150" i="23"/>
  <c r="AI150" i="23"/>
  <c r="AJ150" i="23"/>
  <c r="AK150" i="23"/>
  <c r="AL150" i="23"/>
  <c r="AM150" i="23"/>
  <c r="AN150" i="23"/>
  <c r="AO150" i="23"/>
  <c r="AP150" i="23"/>
  <c r="AQ150" i="23"/>
  <c r="AR150" i="23"/>
  <c r="AS150" i="23"/>
  <c r="AT150" i="23"/>
  <c r="AU150" i="23"/>
  <c r="AV150" i="23"/>
  <c r="AW150" i="23"/>
  <c r="AX150" i="23"/>
  <c r="AY150" i="23"/>
  <c r="AZ150" i="23"/>
  <c r="BA150" i="23"/>
  <c r="BB150" i="23"/>
  <c r="BC150" i="23"/>
  <c r="BD150" i="23"/>
  <c r="BE150" i="23"/>
  <c r="BF150" i="23"/>
  <c r="BG150" i="23"/>
  <c r="BH150" i="23"/>
  <c r="BI150" i="23"/>
  <c r="BJ150" i="23"/>
  <c r="BK150" i="23"/>
  <c r="BL150" i="23"/>
  <c r="BM150" i="23"/>
  <c r="BN150" i="23"/>
  <c r="BO150" i="23"/>
  <c r="BP150" i="23"/>
  <c r="BQ150" i="23"/>
  <c r="BR150" i="23"/>
  <c r="BS150" i="23"/>
  <c r="BT150" i="23"/>
  <c r="BU150" i="23"/>
  <c r="BV150" i="23"/>
  <c r="BW150" i="23"/>
  <c r="BX150" i="23"/>
  <c r="BY150" i="23"/>
  <c r="BZ150" i="23"/>
  <c r="CA150" i="23"/>
  <c r="CB150" i="23"/>
  <c r="CC150" i="23"/>
  <c r="CD150" i="23"/>
  <c r="CE150" i="23"/>
  <c r="CF150" i="23"/>
  <c r="CG150" i="23"/>
  <c r="CH150" i="23"/>
  <c r="CI150" i="23"/>
  <c r="CJ150" i="23"/>
  <c r="CK150" i="23"/>
  <c r="CL150" i="23"/>
  <c r="CM150" i="23"/>
  <c r="CN150" i="23"/>
  <c r="CO150" i="23"/>
  <c r="CP150" i="23"/>
  <c r="CQ150" i="23"/>
  <c r="CR150" i="23"/>
  <c r="CS150" i="23"/>
  <c r="CT150" i="23"/>
  <c r="CU150" i="23"/>
  <c r="CV150" i="23"/>
  <c r="CW150" i="23"/>
  <c r="CX150" i="23"/>
  <c r="CY150" i="23"/>
  <c r="CZ150" i="23"/>
  <c r="DA150" i="23"/>
  <c r="DB150" i="23"/>
  <c r="DC150" i="23"/>
  <c r="DD150" i="23"/>
  <c r="DE150" i="23"/>
  <c r="DF150" i="23"/>
  <c r="DG150" i="23"/>
  <c r="DH150" i="23"/>
  <c r="DI150" i="23"/>
  <c r="DJ150" i="23"/>
  <c r="DK150" i="23"/>
  <c r="DL150" i="23"/>
  <c r="DM150" i="23"/>
  <c r="DN150" i="23"/>
  <c r="DO150" i="23"/>
  <c r="DP150" i="23"/>
  <c r="DQ150" i="23"/>
  <c r="DR150" i="23"/>
  <c r="DS150" i="23"/>
  <c r="DT150" i="23"/>
  <c r="DU150" i="23"/>
  <c r="DV150" i="23"/>
  <c r="DW150" i="23"/>
  <c r="DX150" i="23"/>
  <c r="DY150" i="23"/>
  <c r="DZ150" i="23"/>
  <c r="EA150" i="23"/>
  <c r="EB150" i="23"/>
  <c r="EC150" i="23"/>
  <c r="ED150" i="23"/>
  <c r="EE150" i="23"/>
  <c r="EF150" i="23"/>
  <c r="EG150" i="23"/>
  <c r="EH150" i="23"/>
  <c r="EI150" i="23"/>
  <c r="EJ150" i="23"/>
  <c r="EK150" i="23"/>
  <c r="EL150" i="23"/>
  <c r="EM150" i="23"/>
  <c r="EN150" i="23"/>
  <c r="EO150" i="23"/>
  <c r="EP150" i="23"/>
  <c r="EQ150" i="23"/>
  <c r="ER150" i="23"/>
  <c r="ES150" i="23"/>
  <c r="ET150" i="23"/>
  <c r="EU150" i="23"/>
  <c r="EV150" i="23"/>
  <c r="EW150" i="23"/>
  <c r="EX150" i="23"/>
  <c r="EY150" i="23"/>
  <c r="EZ150" i="23"/>
  <c r="FA150" i="23"/>
  <c r="FB150" i="23"/>
  <c r="FC150" i="23"/>
  <c r="FD150" i="23"/>
  <c r="FE150" i="23"/>
  <c r="FF150" i="23"/>
  <c r="FG150" i="23"/>
  <c r="FH150" i="23"/>
  <c r="FI150" i="23"/>
  <c r="FJ150" i="23"/>
  <c r="FK150" i="23"/>
  <c r="FL150" i="23"/>
  <c r="FM150" i="23"/>
  <c r="FN150" i="23"/>
  <c r="FO150" i="23"/>
  <c r="FP150" i="23"/>
  <c r="FQ150" i="23"/>
  <c r="FR150" i="23"/>
  <c r="FS150" i="23"/>
  <c r="FT150" i="23"/>
  <c r="FU150" i="23"/>
  <c r="FV150" i="23"/>
  <c r="FW150" i="23"/>
  <c r="FX150" i="23"/>
  <c r="FY150" i="23"/>
  <c r="FZ150" i="23"/>
  <c r="GA150" i="23"/>
  <c r="GB150" i="23"/>
  <c r="GC150" i="23"/>
  <c r="GD150" i="23"/>
  <c r="GE150" i="23"/>
  <c r="GF150" i="23"/>
  <c r="GG150" i="23"/>
  <c r="GH150" i="23"/>
  <c r="GI150" i="23"/>
  <c r="GJ150" i="23"/>
  <c r="GK150" i="23"/>
  <c r="GL150" i="23"/>
  <c r="GM150" i="23"/>
  <c r="GN150" i="23"/>
  <c r="GO150" i="23"/>
  <c r="GP150" i="23"/>
  <c r="GQ150" i="23"/>
  <c r="GR150" i="23"/>
  <c r="GS150" i="23"/>
  <c r="GT150" i="23"/>
  <c r="GU150" i="23"/>
  <c r="GV150" i="23"/>
  <c r="GW150" i="23"/>
  <c r="GX150" i="23"/>
  <c r="GY150" i="23"/>
  <c r="GZ150" i="23"/>
  <c r="HA150" i="23"/>
  <c r="HB150" i="23"/>
  <c r="HC150" i="23"/>
  <c r="HD150" i="23"/>
  <c r="HE150" i="23"/>
  <c r="HF150" i="23"/>
  <c r="HG150" i="23"/>
  <c r="HH150" i="23"/>
  <c r="HI150" i="23"/>
  <c r="HJ150" i="23"/>
  <c r="HK150" i="23"/>
  <c r="HL150" i="23"/>
  <c r="HM150" i="23"/>
  <c r="HN150" i="23"/>
  <c r="HO150" i="23"/>
  <c r="HP150" i="23"/>
  <c r="HQ150" i="23"/>
  <c r="HR150" i="23"/>
  <c r="HS150" i="23"/>
  <c r="HT150" i="23"/>
  <c r="HU150" i="23"/>
  <c r="HV150" i="23"/>
  <c r="HW150" i="23"/>
  <c r="HX150" i="23"/>
  <c r="HY150" i="23"/>
  <c r="HZ150" i="23"/>
  <c r="IA150" i="23"/>
  <c r="IB150" i="23"/>
  <c r="IC150" i="23"/>
  <c r="ID150" i="23"/>
  <c r="IE150" i="23"/>
  <c r="IF150" i="23"/>
  <c r="IG150" i="23"/>
  <c r="IH150" i="23"/>
  <c r="II150" i="23"/>
  <c r="IJ150" i="23"/>
  <c r="IK150" i="23"/>
  <c r="IL150" i="23"/>
  <c r="IM150" i="23"/>
  <c r="IN150" i="23"/>
  <c r="IO150" i="23"/>
  <c r="IP150" i="23"/>
  <c r="IQ150" i="23"/>
  <c r="IR150" i="23"/>
  <c r="IS150" i="23"/>
  <c r="IT150" i="23"/>
  <c r="IU150" i="23"/>
  <c r="IV150" i="23"/>
  <c r="A149" i="23"/>
  <c r="B149" i="23"/>
  <c r="C149" i="23"/>
  <c r="D149" i="23"/>
  <c r="E149" i="23"/>
  <c r="F149" i="23"/>
  <c r="G149" i="23"/>
  <c r="H149" i="23"/>
  <c r="I149" i="23"/>
  <c r="J149" i="23"/>
  <c r="K149" i="23"/>
  <c r="L149" i="23"/>
  <c r="M149" i="23"/>
  <c r="N149" i="23"/>
  <c r="O149" i="23"/>
  <c r="P149" i="23"/>
  <c r="Q149" i="23"/>
  <c r="R149" i="23"/>
  <c r="S149" i="23"/>
  <c r="T149" i="23"/>
  <c r="U149" i="23"/>
  <c r="V149" i="23"/>
  <c r="W149" i="23"/>
  <c r="X149" i="23"/>
  <c r="Y149" i="23"/>
  <c r="Z149" i="23"/>
  <c r="AA149" i="23"/>
  <c r="AB149" i="23"/>
  <c r="AC149" i="23"/>
  <c r="AD149" i="23"/>
  <c r="AE149" i="23"/>
  <c r="AF149" i="23"/>
  <c r="AG149" i="23"/>
  <c r="AH149" i="23"/>
  <c r="AI149" i="23"/>
  <c r="AJ149" i="23"/>
  <c r="AK149" i="23"/>
  <c r="AL149" i="23"/>
  <c r="AM149" i="23"/>
  <c r="AN149" i="23"/>
  <c r="AO149" i="23"/>
  <c r="AP149" i="23"/>
  <c r="AQ149" i="23"/>
  <c r="AR149" i="23"/>
  <c r="AS149" i="23"/>
  <c r="AT149" i="23"/>
  <c r="AU149" i="23"/>
  <c r="AV149" i="23"/>
  <c r="AW149" i="23"/>
  <c r="AX149" i="23"/>
  <c r="AY149" i="23"/>
  <c r="AZ149" i="23"/>
  <c r="BA149" i="23"/>
  <c r="BB149" i="23"/>
  <c r="BC149" i="23"/>
  <c r="BD149" i="23"/>
  <c r="BE149" i="23"/>
  <c r="BF149" i="23"/>
  <c r="BG149" i="23"/>
  <c r="BH149" i="23"/>
  <c r="BI149" i="23"/>
  <c r="BJ149" i="23"/>
  <c r="BK149" i="23"/>
  <c r="BL149" i="23"/>
  <c r="BM149" i="23"/>
  <c r="BN149" i="23"/>
  <c r="BO149" i="23"/>
  <c r="BP149" i="23"/>
  <c r="BQ149" i="23"/>
  <c r="BR149" i="23"/>
  <c r="BS149" i="23"/>
  <c r="BT149" i="23"/>
  <c r="BU149" i="23"/>
  <c r="BV149" i="23"/>
  <c r="BW149" i="23"/>
  <c r="BX149" i="23"/>
  <c r="BY149" i="23"/>
  <c r="BZ149" i="23"/>
  <c r="CA149" i="23"/>
  <c r="CB149" i="23"/>
  <c r="CC149" i="23"/>
  <c r="CD149" i="23"/>
  <c r="CE149" i="23"/>
  <c r="CF149" i="23"/>
  <c r="CG149" i="23"/>
  <c r="CH149" i="23"/>
  <c r="CI149" i="23"/>
  <c r="CJ149" i="23"/>
  <c r="CK149" i="23"/>
  <c r="CL149" i="23"/>
  <c r="CM149" i="23"/>
  <c r="CN149" i="23"/>
  <c r="CO149" i="23"/>
  <c r="CP149" i="23"/>
  <c r="CQ149" i="23"/>
  <c r="CR149" i="23"/>
  <c r="CS149" i="23"/>
  <c r="CT149" i="23"/>
  <c r="CU149" i="23"/>
  <c r="CV149" i="23"/>
  <c r="CW149" i="23"/>
  <c r="CX149" i="23"/>
  <c r="CY149" i="23"/>
  <c r="CZ149" i="23"/>
  <c r="DA149" i="23"/>
  <c r="DB149" i="23"/>
  <c r="DC149" i="23"/>
  <c r="DD149" i="23"/>
  <c r="DE149" i="23"/>
  <c r="DF149" i="23"/>
  <c r="DG149" i="23"/>
  <c r="DH149" i="23"/>
  <c r="DI149" i="23"/>
  <c r="DJ149" i="23"/>
  <c r="DK149" i="23"/>
  <c r="DL149" i="23"/>
  <c r="DM149" i="23"/>
  <c r="DN149" i="23"/>
  <c r="DO149" i="23"/>
  <c r="DP149" i="23"/>
  <c r="DQ149" i="23"/>
  <c r="DR149" i="23"/>
  <c r="DS149" i="23"/>
  <c r="DT149" i="23"/>
  <c r="DU149" i="23"/>
  <c r="DV149" i="23"/>
  <c r="DW149" i="23"/>
  <c r="DX149" i="23"/>
  <c r="DY149" i="23"/>
  <c r="DZ149" i="23"/>
  <c r="EA149" i="23"/>
  <c r="EB149" i="23"/>
  <c r="EC149" i="23"/>
  <c r="ED149" i="23"/>
  <c r="EE149" i="23"/>
  <c r="EF149" i="23"/>
  <c r="EG149" i="23"/>
  <c r="EH149" i="23"/>
  <c r="EI149" i="23"/>
  <c r="EJ149" i="23"/>
  <c r="EK149" i="23"/>
  <c r="EL149" i="23"/>
  <c r="EM149" i="23"/>
  <c r="EN149" i="23"/>
  <c r="EO149" i="23"/>
  <c r="EP149" i="23"/>
  <c r="EQ149" i="23"/>
  <c r="ER149" i="23"/>
  <c r="ES149" i="23"/>
  <c r="ET149" i="23"/>
  <c r="EU149" i="23"/>
  <c r="EV149" i="23"/>
  <c r="EW149" i="23"/>
  <c r="EX149" i="23"/>
  <c r="EY149" i="23"/>
  <c r="EZ149" i="23"/>
  <c r="FA149" i="23"/>
  <c r="FB149" i="23"/>
  <c r="FC149" i="23"/>
  <c r="FD149" i="23"/>
  <c r="FE149" i="23"/>
  <c r="FF149" i="23"/>
  <c r="FG149" i="23"/>
  <c r="FH149" i="23"/>
  <c r="FI149" i="23"/>
  <c r="FJ149" i="23"/>
  <c r="FK149" i="23"/>
  <c r="FL149" i="23"/>
  <c r="FM149" i="23"/>
  <c r="FN149" i="23"/>
  <c r="FO149" i="23"/>
  <c r="FP149" i="23"/>
  <c r="FQ149" i="23"/>
  <c r="FR149" i="23"/>
  <c r="FS149" i="23"/>
  <c r="FT149" i="23"/>
  <c r="FU149" i="23"/>
  <c r="FV149" i="23"/>
  <c r="FW149" i="23"/>
  <c r="FX149" i="23"/>
  <c r="FY149" i="23"/>
  <c r="FZ149" i="23"/>
  <c r="GA149" i="23"/>
  <c r="GB149" i="23"/>
  <c r="GC149" i="23"/>
  <c r="GD149" i="23"/>
  <c r="GE149" i="23"/>
  <c r="GF149" i="23"/>
  <c r="GG149" i="23"/>
  <c r="GH149" i="23"/>
  <c r="GI149" i="23"/>
  <c r="GJ149" i="23"/>
  <c r="GK149" i="23"/>
  <c r="GL149" i="23"/>
  <c r="GM149" i="23"/>
  <c r="GN149" i="23"/>
  <c r="GO149" i="23"/>
  <c r="GP149" i="23"/>
  <c r="GQ149" i="23"/>
  <c r="GR149" i="23"/>
  <c r="GS149" i="23"/>
  <c r="GT149" i="23"/>
  <c r="GU149" i="23"/>
  <c r="GV149" i="23"/>
  <c r="GW149" i="23"/>
  <c r="GX149" i="23"/>
  <c r="GY149" i="23"/>
  <c r="GZ149" i="23"/>
  <c r="HA149" i="23"/>
  <c r="HB149" i="23"/>
  <c r="HC149" i="23"/>
  <c r="HD149" i="23"/>
  <c r="HE149" i="23"/>
  <c r="HF149" i="23"/>
  <c r="HG149" i="23"/>
  <c r="HH149" i="23"/>
  <c r="HI149" i="23"/>
  <c r="HJ149" i="23"/>
  <c r="HK149" i="23"/>
  <c r="HL149" i="23"/>
  <c r="HM149" i="23"/>
  <c r="HN149" i="23"/>
  <c r="HO149" i="23"/>
  <c r="HP149" i="23"/>
  <c r="HQ149" i="23"/>
  <c r="HR149" i="23"/>
  <c r="HS149" i="23"/>
  <c r="HT149" i="23"/>
  <c r="HU149" i="23"/>
  <c r="HV149" i="23"/>
  <c r="HW149" i="23"/>
  <c r="HX149" i="23"/>
  <c r="HY149" i="23"/>
  <c r="HZ149" i="23"/>
  <c r="IA149" i="23"/>
  <c r="IB149" i="23"/>
  <c r="IC149" i="23"/>
  <c r="ID149" i="23"/>
  <c r="IE149" i="23"/>
  <c r="IF149" i="23"/>
  <c r="IG149" i="23"/>
  <c r="IH149" i="23"/>
  <c r="II149" i="23"/>
  <c r="IJ149" i="23"/>
  <c r="IK149" i="23"/>
  <c r="IL149" i="23"/>
  <c r="IM149" i="23"/>
  <c r="IN149" i="23"/>
  <c r="IO149" i="23"/>
  <c r="IP149" i="23"/>
  <c r="IQ149" i="23"/>
  <c r="IR149" i="23"/>
  <c r="IS149" i="23"/>
  <c r="IT149" i="23"/>
  <c r="IU149" i="23"/>
  <c r="IV149" i="23"/>
  <c r="A148" i="23"/>
  <c r="B148" i="23"/>
  <c r="C148" i="23"/>
  <c r="D148" i="23"/>
  <c r="E148" i="23"/>
  <c r="F148" i="23"/>
  <c r="G148" i="23"/>
  <c r="H148" i="23"/>
  <c r="I148" i="23"/>
  <c r="J148" i="23"/>
  <c r="K148" i="23"/>
  <c r="L148" i="23"/>
  <c r="M148" i="23"/>
  <c r="N148" i="23"/>
  <c r="O148" i="23"/>
  <c r="P148" i="23"/>
  <c r="Q148" i="23"/>
  <c r="R148" i="23"/>
  <c r="S148" i="23"/>
  <c r="T148" i="23"/>
  <c r="U148" i="23"/>
  <c r="V148" i="23"/>
  <c r="W148" i="23"/>
  <c r="X148" i="23"/>
  <c r="Y148" i="23"/>
  <c r="Z148" i="23"/>
  <c r="AA148" i="23"/>
  <c r="AB148" i="23"/>
  <c r="AC148" i="23"/>
  <c r="AD148" i="23"/>
  <c r="AE148" i="23"/>
  <c r="AF148" i="23"/>
  <c r="AG148" i="23"/>
  <c r="AH148" i="23"/>
  <c r="AI148" i="23"/>
  <c r="AJ148" i="23"/>
  <c r="AK148" i="23"/>
  <c r="AL148" i="23"/>
  <c r="AM148" i="23"/>
  <c r="AN148" i="23"/>
  <c r="AO148" i="23"/>
  <c r="AP148" i="23"/>
  <c r="AQ148" i="23"/>
  <c r="AR148" i="23"/>
  <c r="AS148" i="23"/>
  <c r="AT148" i="23"/>
  <c r="AU148" i="23"/>
  <c r="AV148" i="23"/>
  <c r="AW148" i="23"/>
  <c r="AX148" i="23"/>
  <c r="AY148" i="23"/>
  <c r="AZ148" i="23"/>
  <c r="BA148" i="23"/>
  <c r="BB148" i="23"/>
  <c r="BC148" i="23"/>
  <c r="BD148" i="23"/>
  <c r="BE148" i="23"/>
  <c r="BF148" i="23"/>
  <c r="BG148" i="23"/>
  <c r="BH148" i="23"/>
  <c r="BI148" i="23"/>
  <c r="BJ148" i="23"/>
  <c r="BK148" i="23"/>
  <c r="BL148" i="23"/>
  <c r="BM148" i="23"/>
  <c r="BN148" i="23"/>
  <c r="BO148" i="23"/>
  <c r="BP148" i="23"/>
  <c r="BQ148" i="23"/>
  <c r="BR148" i="23"/>
  <c r="BS148" i="23"/>
  <c r="BT148" i="23"/>
  <c r="BU148" i="23"/>
  <c r="BV148" i="23"/>
  <c r="BW148" i="23"/>
  <c r="BX148" i="23"/>
  <c r="BY148" i="23"/>
  <c r="BZ148" i="23"/>
  <c r="CA148" i="23"/>
  <c r="CB148" i="23"/>
  <c r="CC148" i="23"/>
  <c r="CD148" i="23"/>
  <c r="CE148" i="23"/>
  <c r="CF148" i="23"/>
  <c r="CG148" i="23"/>
  <c r="CH148" i="23"/>
  <c r="CI148" i="23"/>
  <c r="CJ148" i="23"/>
  <c r="CK148" i="23"/>
  <c r="CL148" i="23"/>
  <c r="CM148" i="23"/>
  <c r="CN148" i="23"/>
  <c r="CO148" i="23"/>
  <c r="CP148" i="23"/>
  <c r="CQ148" i="23"/>
  <c r="CR148" i="23"/>
  <c r="CS148" i="23"/>
  <c r="CT148" i="23"/>
  <c r="CU148" i="23"/>
  <c r="CV148" i="23"/>
  <c r="CW148" i="23"/>
  <c r="CX148" i="23"/>
  <c r="CY148" i="23"/>
  <c r="CZ148" i="23"/>
  <c r="DA148" i="23"/>
  <c r="DB148" i="23"/>
  <c r="DC148" i="23"/>
  <c r="DD148" i="23"/>
  <c r="DE148" i="23"/>
  <c r="DF148" i="23"/>
  <c r="DG148" i="23"/>
  <c r="DH148" i="23"/>
  <c r="DI148" i="23"/>
  <c r="DJ148" i="23"/>
  <c r="DK148" i="23"/>
  <c r="DL148" i="23"/>
  <c r="DM148" i="23"/>
  <c r="DN148" i="23"/>
  <c r="DO148" i="23"/>
  <c r="DP148" i="23"/>
  <c r="DQ148" i="23"/>
  <c r="DR148" i="23"/>
  <c r="DS148" i="23"/>
  <c r="DT148" i="23"/>
  <c r="DU148" i="23"/>
  <c r="DV148" i="23"/>
  <c r="DW148" i="23"/>
  <c r="DX148" i="23"/>
  <c r="DY148" i="23"/>
  <c r="DZ148" i="23"/>
  <c r="EA148" i="23"/>
  <c r="EB148" i="23"/>
  <c r="EC148" i="23"/>
  <c r="ED148" i="23"/>
  <c r="EE148" i="23"/>
  <c r="EF148" i="23"/>
  <c r="EG148" i="23"/>
  <c r="EH148" i="23"/>
  <c r="EI148" i="23"/>
  <c r="EJ148" i="23"/>
  <c r="EK148" i="23"/>
  <c r="EL148" i="23"/>
  <c r="EM148" i="23"/>
  <c r="EN148" i="23"/>
  <c r="EO148" i="23"/>
  <c r="EP148" i="23"/>
  <c r="EQ148" i="23"/>
  <c r="ER148" i="23"/>
  <c r="ES148" i="23"/>
  <c r="ET148" i="23"/>
  <c r="EU148" i="23"/>
  <c r="EV148" i="23"/>
  <c r="EW148" i="23"/>
  <c r="EX148" i="23"/>
  <c r="EY148" i="23"/>
  <c r="EZ148" i="23"/>
  <c r="FA148" i="23"/>
  <c r="FB148" i="23"/>
  <c r="FC148" i="23"/>
  <c r="FD148" i="23"/>
  <c r="FE148" i="23"/>
  <c r="FF148" i="23"/>
  <c r="FG148" i="23"/>
  <c r="FH148" i="23"/>
  <c r="FI148" i="23"/>
  <c r="FJ148" i="23"/>
  <c r="FK148" i="23"/>
  <c r="FL148" i="23"/>
  <c r="FM148" i="23"/>
  <c r="FN148" i="23"/>
  <c r="FO148" i="23"/>
  <c r="FP148" i="23"/>
  <c r="FQ148" i="23"/>
  <c r="FR148" i="23"/>
  <c r="FS148" i="23"/>
  <c r="FT148" i="23"/>
  <c r="FU148" i="23"/>
  <c r="FV148" i="23"/>
  <c r="FW148" i="23"/>
  <c r="FX148" i="23"/>
  <c r="FY148" i="23"/>
  <c r="FZ148" i="23"/>
  <c r="GA148" i="23"/>
  <c r="GB148" i="23"/>
  <c r="GC148" i="23"/>
  <c r="GD148" i="23"/>
  <c r="GE148" i="23"/>
  <c r="GF148" i="23"/>
  <c r="GG148" i="23"/>
  <c r="GH148" i="23"/>
  <c r="GI148" i="23"/>
  <c r="GJ148" i="23"/>
  <c r="GK148" i="23"/>
  <c r="GL148" i="23"/>
  <c r="GM148" i="23"/>
  <c r="GN148" i="23"/>
  <c r="GO148" i="23"/>
  <c r="GP148" i="23"/>
  <c r="GQ148" i="23"/>
  <c r="GR148" i="23"/>
  <c r="GS148" i="23"/>
  <c r="GT148" i="23"/>
  <c r="GU148" i="23"/>
  <c r="GV148" i="23"/>
  <c r="GW148" i="23"/>
  <c r="GX148" i="23"/>
  <c r="GY148" i="23"/>
  <c r="GZ148" i="23"/>
  <c r="HA148" i="23"/>
  <c r="HB148" i="23"/>
  <c r="HC148" i="23"/>
  <c r="HD148" i="23"/>
  <c r="HE148" i="23"/>
  <c r="HF148" i="23"/>
  <c r="HG148" i="23"/>
  <c r="HH148" i="23"/>
  <c r="HI148" i="23"/>
  <c r="HJ148" i="23"/>
  <c r="HK148" i="23"/>
  <c r="HL148" i="23"/>
  <c r="HM148" i="23"/>
  <c r="HN148" i="23"/>
  <c r="HO148" i="23"/>
  <c r="HP148" i="23"/>
  <c r="HQ148" i="23"/>
  <c r="HR148" i="23"/>
  <c r="HS148" i="23"/>
  <c r="HT148" i="23"/>
  <c r="HU148" i="23"/>
  <c r="HV148" i="23"/>
  <c r="HW148" i="23"/>
  <c r="HX148" i="23"/>
  <c r="HY148" i="23"/>
  <c r="HZ148" i="23"/>
  <c r="IA148" i="23"/>
  <c r="IB148" i="23"/>
  <c r="IC148" i="23"/>
  <c r="ID148" i="23"/>
  <c r="IE148" i="23"/>
  <c r="IF148" i="23"/>
  <c r="IG148" i="23"/>
  <c r="IH148" i="23"/>
  <c r="II148" i="23"/>
  <c r="IJ148" i="23"/>
  <c r="IK148" i="23"/>
  <c r="IL148" i="23"/>
  <c r="IM148" i="23"/>
  <c r="IN148" i="23"/>
  <c r="IO148" i="23"/>
  <c r="IP148" i="23"/>
  <c r="IQ148" i="23"/>
  <c r="IR148" i="23"/>
  <c r="IS148" i="23"/>
  <c r="IT148" i="23"/>
  <c r="IU148" i="23"/>
  <c r="IV148" i="23"/>
  <c r="A147" i="23"/>
  <c r="B147" i="23"/>
  <c r="C147" i="23"/>
  <c r="D147" i="23"/>
  <c r="E147" i="23"/>
  <c r="F147" i="23"/>
  <c r="G147" i="23"/>
  <c r="H147" i="23"/>
  <c r="I147" i="23"/>
  <c r="J147" i="23"/>
  <c r="K147" i="23"/>
  <c r="L147" i="23"/>
  <c r="M147" i="23"/>
  <c r="N147" i="23"/>
  <c r="O147" i="23"/>
  <c r="P147" i="23"/>
  <c r="Q147" i="23"/>
  <c r="R147" i="23"/>
  <c r="S147" i="23"/>
  <c r="T147" i="23"/>
  <c r="U147" i="23"/>
  <c r="V147" i="23"/>
  <c r="W147" i="23"/>
  <c r="X147" i="23"/>
  <c r="Y147" i="23"/>
  <c r="Z147" i="23"/>
  <c r="AA147" i="23"/>
  <c r="AB147" i="23"/>
  <c r="AC147" i="23"/>
  <c r="AD147" i="23"/>
  <c r="AE147" i="23"/>
  <c r="AF147" i="23"/>
  <c r="AG147" i="23"/>
  <c r="AH147" i="23"/>
  <c r="AI147" i="23"/>
  <c r="AJ147" i="23"/>
  <c r="AK147" i="23"/>
  <c r="AL147" i="23"/>
  <c r="AM147" i="23"/>
  <c r="AN147" i="23"/>
  <c r="AO147" i="23"/>
  <c r="AP147" i="23"/>
  <c r="AQ147" i="23"/>
  <c r="AR147" i="23"/>
  <c r="AS147" i="23"/>
  <c r="AT147" i="23"/>
  <c r="AU147" i="23"/>
  <c r="AV147" i="23"/>
  <c r="AW147" i="23"/>
  <c r="AX147" i="23"/>
  <c r="AY147" i="23"/>
  <c r="AZ147" i="23"/>
  <c r="BA147" i="23"/>
  <c r="BB147" i="23"/>
  <c r="BC147" i="23"/>
  <c r="BD147" i="23"/>
  <c r="BE147" i="23"/>
  <c r="BF147" i="23"/>
  <c r="BG147" i="23"/>
  <c r="BH147" i="23"/>
  <c r="BI147" i="23"/>
  <c r="BJ147" i="23"/>
  <c r="BK147" i="23"/>
  <c r="BL147" i="23"/>
  <c r="BM147" i="23"/>
  <c r="BN147" i="23"/>
  <c r="BO147" i="23"/>
  <c r="BP147" i="23"/>
  <c r="BQ147" i="23"/>
  <c r="BR147" i="23"/>
  <c r="BS147" i="23"/>
  <c r="BT147" i="23"/>
  <c r="BU147" i="23"/>
  <c r="BV147" i="23"/>
  <c r="BW147" i="23"/>
  <c r="BX147" i="23"/>
  <c r="BY147" i="23"/>
  <c r="BZ147" i="23"/>
  <c r="CA147" i="23"/>
  <c r="CB147" i="23"/>
  <c r="CC147" i="23"/>
  <c r="CD147" i="23"/>
  <c r="CE147" i="23"/>
  <c r="CF147" i="23"/>
  <c r="CG147" i="23"/>
  <c r="CH147" i="23"/>
  <c r="CI147" i="23"/>
  <c r="CJ147" i="23"/>
  <c r="CK147" i="23"/>
  <c r="CL147" i="23"/>
  <c r="CM147" i="23"/>
  <c r="CN147" i="23"/>
  <c r="CO147" i="23"/>
  <c r="CP147" i="23"/>
  <c r="CQ147" i="23"/>
  <c r="CR147" i="23"/>
  <c r="CS147" i="23"/>
  <c r="CT147" i="23"/>
  <c r="CU147" i="23"/>
  <c r="CV147" i="23"/>
  <c r="CW147" i="23"/>
  <c r="CX147" i="23"/>
  <c r="CY147" i="23"/>
  <c r="CZ147" i="23"/>
  <c r="DA147" i="23"/>
  <c r="DB147" i="23"/>
  <c r="DC147" i="23"/>
  <c r="DD147" i="23"/>
  <c r="DE147" i="23"/>
  <c r="DF147" i="23"/>
  <c r="DG147" i="23"/>
  <c r="DH147" i="23"/>
  <c r="DI147" i="23"/>
  <c r="DJ147" i="23"/>
  <c r="DK147" i="23"/>
  <c r="DL147" i="23"/>
  <c r="DM147" i="23"/>
  <c r="DN147" i="23"/>
  <c r="DO147" i="23"/>
  <c r="DP147" i="23"/>
  <c r="DQ147" i="23"/>
  <c r="DR147" i="23"/>
  <c r="DS147" i="23"/>
  <c r="DT147" i="23"/>
  <c r="DU147" i="23"/>
  <c r="DV147" i="23"/>
  <c r="DW147" i="23"/>
  <c r="DX147" i="23"/>
  <c r="DY147" i="23"/>
  <c r="DZ147" i="23"/>
  <c r="EA147" i="23"/>
  <c r="EB147" i="23"/>
  <c r="EC147" i="23"/>
  <c r="ED147" i="23"/>
  <c r="EE147" i="23"/>
  <c r="EF147" i="23"/>
  <c r="EG147" i="23"/>
  <c r="EH147" i="23"/>
  <c r="EI147" i="23"/>
  <c r="EJ147" i="23"/>
  <c r="EK147" i="23"/>
  <c r="EL147" i="23"/>
  <c r="EM147" i="23"/>
  <c r="EN147" i="23"/>
  <c r="EO147" i="23"/>
  <c r="EP147" i="23"/>
  <c r="EQ147" i="23"/>
  <c r="ER147" i="23"/>
  <c r="ES147" i="23"/>
  <c r="ET147" i="23"/>
  <c r="EU147" i="23"/>
  <c r="EV147" i="23"/>
  <c r="EW147" i="23"/>
  <c r="EX147" i="23"/>
  <c r="EY147" i="23"/>
  <c r="EZ147" i="23"/>
  <c r="FA147" i="23"/>
  <c r="FB147" i="23"/>
  <c r="FC147" i="23"/>
  <c r="FD147" i="23"/>
  <c r="FE147" i="23"/>
  <c r="FF147" i="23"/>
  <c r="FG147" i="23"/>
  <c r="FH147" i="23"/>
  <c r="FI147" i="23"/>
  <c r="FJ147" i="23"/>
  <c r="FK147" i="23"/>
  <c r="FL147" i="23"/>
  <c r="FM147" i="23"/>
  <c r="FN147" i="23"/>
  <c r="FO147" i="23"/>
  <c r="FP147" i="23"/>
  <c r="FQ147" i="23"/>
  <c r="FR147" i="23"/>
  <c r="FS147" i="23"/>
  <c r="FT147" i="23"/>
  <c r="FU147" i="23"/>
  <c r="FV147" i="23"/>
  <c r="FW147" i="23"/>
  <c r="FX147" i="23"/>
  <c r="FY147" i="23"/>
  <c r="FZ147" i="23"/>
  <c r="GA147" i="23"/>
  <c r="GB147" i="23"/>
  <c r="GC147" i="23"/>
  <c r="GD147" i="23"/>
  <c r="GE147" i="23"/>
  <c r="GF147" i="23"/>
  <c r="GG147" i="23"/>
  <c r="GH147" i="23"/>
  <c r="GI147" i="23"/>
  <c r="GJ147" i="23"/>
  <c r="GK147" i="23"/>
  <c r="GL147" i="23"/>
  <c r="GM147" i="23"/>
  <c r="GN147" i="23"/>
  <c r="GO147" i="23"/>
  <c r="GP147" i="23"/>
  <c r="GQ147" i="23"/>
  <c r="GR147" i="23"/>
  <c r="GS147" i="23"/>
  <c r="GT147" i="23"/>
  <c r="GU147" i="23"/>
  <c r="GV147" i="23"/>
  <c r="GW147" i="23"/>
  <c r="GX147" i="23"/>
  <c r="GY147" i="23"/>
  <c r="GZ147" i="23"/>
  <c r="HA147" i="23"/>
  <c r="HB147" i="23"/>
  <c r="HC147" i="23"/>
  <c r="HD147" i="23"/>
  <c r="HE147" i="23"/>
  <c r="HF147" i="23"/>
  <c r="HG147" i="23"/>
  <c r="HH147" i="23"/>
  <c r="HI147" i="23"/>
  <c r="HJ147" i="23"/>
  <c r="HK147" i="23"/>
  <c r="HL147" i="23"/>
  <c r="HM147" i="23"/>
  <c r="HN147" i="23"/>
  <c r="HO147" i="23"/>
  <c r="HP147" i="23"/>
  <c r="HQ147" i="23"/>
  <c r="HR147" i="23"/>
  <c r="HS147" i="23"/>
  <c r="HT147" i="23"/>
  <c r="HU147" i="23"/>
  <c r="HV147" i="23"/>
  <c r="HW147" i="23"/>
  <c r="HX147" i="23"/>
  <c r="HY147" i="23"/>
  <c r="HZ147" i="23"/>
  <c r="IA147" i="23"/>
  <c r="IB147" i="23"/>
  <c r="IC147" i="23"/>
  <c r="ID147" i="23"/>
  <c r="IE147" i="23"/>
  <c r="IF147" i="23"/>
  <c r="IG147" i="23"/>
  <c r="IH147" i="23"/>
  <c r="II147" i="23"/>
  <c r="IJ147" i="23"/>
  <c r="IK147" i="23"/>
  <c r="IL147" i="23"/>
  <c r="IM147" i="23"/>
  <c r="IN147" i="23"/>
  <c r="IO147" i="23"/>
  <c r="IP147" i="23"/>
  <c r="IQ147" i="23"/>
  <c r="IR147" i="23"/>
  <c r="IS147" i="23"/>
  <c r="IT147" i="23"/>
  <c r="IU147" i="23"/>
  <c r="IV147" i="23"/>
  <c r="A146" i="23"/>
  <c r="B146" i="23"/>
  <c r="C146" i="23"/>
  <c r="D146" i="23"/>
  <c r="E146" i="23"/>
  <c r="F146" i="23"/>
  <c r="G146" i="23"/>
  <c r="H146" i="23"/>
  <c r="I146" i="23"/>
  <c r="J146" i="23"/>
  <c r="K146" i="23"/>
  <c r="L146" i="23"/>
  <c r="M146" i="23"/>
  <c r="N146" i="23"/>
  <c r="O146" i="23"/>
  <c r="P146" i="23"/>
  <c r="Q146" i="23"/>
  <c r="R146" i="23"/>
  <c r="S146" i="23"/>
  <c r="T146" i="23"/>
  <c r="U146" i="23"/>
  <c r="V146" i="23"/>
  <c r="W146" i="23"/>
  <c r="X146" i="23"/>
  <c r="Y146" i="23"/>
  <c r="Z146" i="23"/>
  <c r="AA146" i="23"/>
  <c r="AB146" i="23"/>
  <c r="AC146" i="23"/>
  <c r="AD146" i="23"/>
  <c r="AE146" i="23"/>
  <c r="AF146" i="23"/>
  <c r="AG146" i="23"/>
  <c r="AH146" i="23"/>
  <c r="AI146" i="23"/>
  <c r="AJ146" i="23"/>
  <c r="AK146" i="23"/>
  <c r="AL146" i="23"/>
  <c r="AM146" i="23"/>
  <c r="AN146" i="23"/>
  <c r="AO146" i="23"/>
  <c r="AP146" i="23"/>
  <c r="AQ146" i="23"/>
  <c r="AR146" i="23"/>
  <c r="AS146" i="23"/>
  <c r="AT146" i="23"/>
  <c r="AU146" i="23"/>
  <c r="AV146" i="23"/>
  <c r="AW146" i="23"/>
  <c r="AX146" i="23"/>
  <c r="AY146" i="23"/>
  <c r="AZ146" i="23"/>
  <c r="BA146" i="23"/>
  <c r="BB146" i="23"/>
  <c r="BC146" i="23"/>
  <c r="BD146" i="23"/>
  <c r="BE146" i="23"/>
  <c r="BF146" i="23"/>
  <c r="BG146" i="23"/>
  <c r="BH146" i="23"/>
  <c r="BI146" i="23"/>
  <c r="BJ146" i="23"/>
  <c r="BK146" i="23"/>
  <c r="BL146" i="23"/>
  <c r="BM146" i="23"/>
  <c r="BN146" i="23"/>
  <c r="BO146" i="23"/>
  <c r="BP146" i="23"/>
  <c r="BQ146" i="23"/>
  <c r="BR146" i="23"/>
  <c r="BS146" i="23"/>
  <c r="BT146" i="23"/>
  <c r="BU146" i="23"/>
  <c r="BV146" i="23"/>
  <c r="BW146" i="23"/>
  <c r="BX146" i="23"/>
  <c r="BY146" i="23"/>
  <c r="BZ146" i="23"/>
  <c r="CA146" i="23"/>
  <c r="CB146" i="23"/>
  <c r="CC146" i="23"/>
  <c r="CD146" i="23"/>
  <c r="CE146" i="23"/>
  <c r="CF146" i="23"/>
  <c r="CG146" i="23"/>
  <c r="CH146" i="23"/>
  <c r="CI146" i="23"/>
  <c r="CJ146" i="23"/>
  <c r="CK146" i="23"/>
  <c r="CL146" i="23"/>
  <c r="CM146" i="23"/>
  <c r="CN146" i="23"/>
  <c r="CO146" i="23"/>
  <c r="CP146" i="23"/>
  <c r="CQ146" i="23"/>
  <c r="CR146" i="23"/>
  <c r="CS146" i="23"/>
  <c r="CT146" i="23"/>
  <c r="CU146" i="23"/>
  <c r="CV146" i="23"/>
  <c r="CW146" i="23"/>
  <c r="CX146" i="23"/>
  <c r="CY146" i="23"/>
  <c r="CZ146" i="23"/>
  <c r="DA146" i="23"/>
  <c r="DB146" i="23"/>
  <c r="DC146" i="23"/>
  <c r="DD146" i="23"/>
  <c r="DE146" i="23"/>
  <c r="DF146" i="23"/>
  <c r="DG146" i="23"/>
  <c r="DH146" i="23"/>
  <c r="DI146" i="23"/>
  <c r="DJ146" i="23"/>
  <c r="DK146" i="23"/>
  <c r="DL146" i="23"/>
  <c r="DM146" i="23"/>
  <c r="DN146" i="23"/>
  <c r="DO146" i="23"/>
  <c r="DP146" i="23"/>
  <c r="DQ146" i="23"/>
  <c r="DR146" i="23"/>
  <c r="DS146" i="23"/>
  <c r="DT146" i="23"/>
  <c r="DU146" i="23"/>
  <c r="DV146" i="23"/>
  <c r="DW146" i="23"/>
  <c r="DX146" i="23"/>
  <c r="DY146" i="23"/>
  <c r="DZ146" i="23"/>
  <c r="EA146" i="23"/>
  <c r="EB146" i="23"/>
  <c r="EC146" i="23"/>
  <c r="ED146" i="23"/>
  <c r="EE146" i="23"/>
  <c r="EF146" i="23"/>
  <c r="EG146" i="23"/>
  <c r="EH146" i="23"/>
  <c r="EI146" i="23"/>
  <c r="EJ146" i="23"/>
  <c r="EK146" i="23"/>
  <c r="EL146" i="23"/>
  <c r="EM146" i="23"/>
  <c r="EN146" i="23"/>
  <c r="EO146" i="23"/>
  <c r="EP146" i="23"/>
  <c r="EQ146" i="23"/>
  <c r="ER146" i="23"/>
  <c r="ES146" i="23"/>
  <c r="ET146" i="23"/>
  <c r="EU146" i="23"/>
  <c r="EV146" i="23"/>
  <c r="EW146" i="23"/>
  <c r="EX146" i="23"/>
  <c r="EY146" i="23"/>
  <c r="EZ146" i="23"/>
  <c r="FA146" i="23"/>
  <c r="FB146" i="23"/>
  <c r="FC146" i="23"/>
  <c r="FD146" i="23"/>
  <c r="FE146" i="23"/>
  <c r="FF146" i="23"/>
  <c r="FG146" i="23"/>
  <c r="FH146" i="23"/>
  <c r="FI146" i="23"/>
  <c r="FJ146" i="23"/>
  <c r="FK146" i="23"/>
  <c r="FL146" i="23"/>
  <c r="FM146" i="23"/>
  <c r="FN146" i="23"/>
  <c r="FO146" i="23"/>
  <c r="FP146" i="23"/>
  <c r="FQ146" i="23"/>
  <c r="FR146" i="23"/>
  <c r="FS146" i="23"/>
  <c r="FT146" i="23"/>
  <c r="FU146" i="23"/>
  <c r="FV146" i="23"/>
  <c r="FW146" i="23"/>
  <c r="FX146" i="23"/>
  <c r="FY146" i="23"/>
  <c r="FZ146" i="23"/>
  <c r="GA146" i="23"/>
  <c r="GB146" i="23"/>
  <c r="GC146" i="23"/>
  <c r="GD146" i="23"/>
  <c r="GE146" i="23"/>
  <c r="GF146" i="23"/>
  <c r="GG146" i="23"/>
  <c r="GH146" i="23"/>
  <c r="GI146" i="23"/>
  <c r="GJ146" i="23"/>
  <c r="GK146" i="23"/>
  <c r="GL146" i="23"/>
  <c r="GM146" i="23"/>
  <c r="GN146" i="23"/>
  <c r="GO146" i="23"/>
  <c r="GP146" i="23"/>
  <c r="GQ146" i="23"/>
  <c r="GR146" i="23"/>
  <c r="GS146" i="23"/>
  <c r="GT146" i="23"/>
  <c r="GU146" i="23"/>
  <c r="GV146" i="23"/>
  <c r="GW146" i="23"/>
  <c r="GX146" i="23"/>
  <c r="GY146" i="23"/>
  <c r="GZ146" i="23"/>
  <c r="HA146" i="23"/>
  <c r="HB146" i="23"/>
  <c r="HC146" i="23"/>
  <c r="HD146" i="23"/>
  <c r="HE146" i="23"/>
  <c r="HF146" i="23"/>
  <c r="HG146" i="23"/>
  <c r="HH146" i="23"/>
  <c r="HI146" i="23"/>
  <c r="HJ146" i="23"/>
  <c r="HK146" i="23"/>
  <c r="HL146" i="23"/>
  <c r="HM146" i="23"/>
  <c r="HN146" i="23"/>
  <c r="HO146" i="23"/>
  <c r="HP146" i="23"/>
  <c r="HQ146" i="23"/>
  <c r="HR146" i="23"/>
  <c r="HS146" i="23"/>
  <c r="HT146" i="23"/>
  <c r="HU146" i="23"/>
  <c r="HV146" i="23"/>
  <c r="HW146" i="23"/>
  <c r="HX146" i="23"/>
  <c r="HY146" i="23"/>
  <c r="HZ146" i="23"/>
  <c r="IA146" i="23"/>
  <c r="IB146" i="23"/>
  <c r="IC146" i="23"/>
  <c r="ID146" i="23"/>
  <c r="IE146" i="23"/>
  <c r="IF146" i="23"/>
  <c r="IG146" i="23"/>
  <c r="IH146" i="23"/>
  <c r="II146" i="23"/>
  <c r="IJ146" i="23"/>
  <c r="IK146" i="23"/>
  <c r="IL146" i="23"/>
  <c r="IM146" i="23"/>
  <c r="IN146" i="23"/>
  <c r="IO146" i="23"/>
  <c r="IP146" i="23"/>
  <c r="IQ146" i="23"/>
  <c r="IR146" i="23"/>
  <c r="IS146" i="23"/>
  <c r="IT146" i="23"/>
  <c r="IU146" i="23"/>
  <c r="IV146" i="23"/>
  <c r="A145" i="23"/>
  <c r="B145" i="23"/>
  <c r="C145" i="23"/>
  <c r="D145" i="23"/>
  <c r="E145" i="23"/>
  <c r="F145" i="23"/>
  <c r="G145" i="23"/>
  <c r="H145" i="23"/>
  <c r="I145" i="23"/>
  <c r="J145" i="23"/>
  <c r="K145" i="23"/>
  <c r="L145" i="23"/>
  <c r="M145" i="23"/>
  <c r="N145" i="23"/>
  <c r="O145" i="23"/>
  <c r="P145" i="23"/>
  <c r="Q145" i="23"/>
  <c r="R145" i="23"/>
  <c r="S145" i="23"/>
  <c r="T145" i="23"/>
  <c r="U145" i="23"/>
  <c r="V145" i="23"/>
  <c r="W145" i="23"/>
  <c r="X145" i="23"/>
  <c r="Y145" i="23"/>
  <c r="Z145" i="23"/>
  <c r="AA145" i="23"/>
  <c r="AB145" i="23"/>
  <c r="AC145" i="23"/>
  <c r="AD145" i="23"/>
  <c r="AE145" i="23"/>
  <c r="AF145" i="23"/>
  <c r="AG145" i="23"/>
  <c r="AH145" i="23"/>
  <c r="AI145" i="23"/>
  <c r="AJ145" i="23"/>
  <c r="AK145" i="23"/>
  <c r="AL145" i="23"/>
  <c r="AM145" i="23"/>
  <c r="AN145" i="23"/>
  <c r="AO145" i="23"/>
  <c r="AP145" i="23"/>
  <c r="AQ145" i="23"/>
  <c r="AR145" i="23"/>
  <c r="AS145" i="23"/>
  <c r="AT145" i="23"/>
  <c r="AU145" i="23"/>
  <c r="AV145" i="23"/>
  <c r="AW145" i="23"/>
  <c r="AX145" i="23"/>
  <c r="AY145" i="23"/>
  <c r="AZ145" i="23"/>
  <c r="BA145" i="23"/>
  <c r="BB145" i="23"/>
  <c r="BC145" i="23"/>
  <c r="BD145" i="23"/>
  <c r="BE145" i="23"/>
  <c r="BF145" i="23"/>
  <c r="BG145" i="23"/>
  <c r="BH145" i="23"/>
  <c r="BI145" i="23"/>
  <c r="BJ145" i="23"/>
  <c r="BK145" i="23"/>
  <c r="BL145" i="23"/>
  <c r="BM145" i="23"/>
  <c r="BN145" i="23"/>
  <c r="BO145" i="23"/>
  <c r="BP145" i="23"/>
  <c r="BQ145" i="23"/>
  <c r="BR145" i="23"/>
  <c r="BS145" i="23"/>
  <c r="BT145" i="23"/>
  <c r="BU145" i="23"/>
  <c r="BV145" i="23"/>
  <c r="BW145" i="23"/>
  <c r="BX145" i="23"/>
  <c r="BY145" i="23"/>
  <c r="BZ145" i="23"/>
  <c r="CA145" i="23"/>
  <c r="CB145" i="23"/>
  <c r="CC145" i="23"/>
  <c r="CD145" i="23"/>
  <c r="CE145" i="23"/>
  <c r="CF145" i="23"/>
  <c r="CG145" i="23"/>
  <c r="CH145" i="23"/>
  <c r="CI145" i="23"/>
  <c r="CJ145" i="23"/>
  <c r="CK145" i="23"/>
  <c r="CL145" i="23"/>
  <c r="CM145" i="23"/>
  <c r="CN145" i="23"/>
  <c r="CO145" i="23"/>
  <c r="CP145" i="23"/>
  <c r="CQ145" i="23"/>
  <c r="CR145" i="23"/>
  <c r="CS145" i="23"/>
  <c r="CT145" i="23"/>
  <c r="CU145" i="23"/>
  <c r="CV145" i="23"/>
  <c r="CW145" i="23"/>
  <c r="CX145" i="23"/>
  <c r="CY145" i="23"/>
  <c r="CZ145" i="23"/>
  <c r="DA145" i="23"/>
  <c r="DB145" i="23"/>
  <c r="DC145" i="23"/>
  <c r="DD145" i="23"/>
  <c r="DE145" i="23"/>
  <c r="DF145" i="23"/>
  <c r="DG145" i="23"/>
  <c r="DH145" i="23"/>
  <c r="DI145" i="23"/>
  <c r="DJ145" i="23"/>
  <c r="DK145" i="23"/>
  <c r="DL145" i="23"/>
  <c r="DM145" i="23"/>
  <c r="DN145" i="23"/>
  <c r="DO145" i="23"/>
  <c r="DP145" i="23"/>
  <c r="DQ145" i="23"/>
  <c r="DR145" i="23"/>
  <c r="DS145" i="23"/>
  <c r="DT145" i="23"/>
  <c r="DU145" i="23"/>
  <c r="DV145" i="23"/>
  <c r="DW145" i="23"/>
  <c r="DX145" i="23"/>
  <c r="DY145" i="23"/>
  <c r="DZ145" i="23"/>
  <c r="EA145" i="23"/>
  <c r="EB145" i="23"/>
  <c r="EC145" i="23"/>
  <c r="ED145" i="23"/>
  <c r="EE145" i="23"/>
  <c r="EF145" i="23"/>
  <c r="EG145" i="23"/>
  <c r="EH145" i="23"/>
  <c r="EI145" i="23"/>
  <c r="EJ145" i="23"/>
  <c r="EK145" i="23"/>
  <c r="EL145" i="23"/>
  <c r="EM145" i="23"/>
  <c r="EN145" i="23"/>
  <c r="EO145" i="23"/>
  <c r="EP145" i="23"/>
  <c r="EQ145" i="23"/>
  <c r="ER145" i="23"/>
  <c r="ES145" i="23"/>
  <c r="ET145" i="23"/>
  <c r="EU145" i="23"/>
  <c r="EV145" i="23"/>
  <c r="EW145" i="23"/>
  <c r="EX145" i="23"/>
  <c r="EY145" i="23"/>
  <c r="EZ145" i="23"/>
  <c r="FA145" i="23"/>
  <c r="FB145" i="23"/>
  <c r="FC145" i="23"/>
  <c r="FD145" i="23"/>
  <c r="FE145" i="23"/>
  <c r="FF145" i="23"/>
  <c r="FG145" i="23"/>
  <c r="FH145" i="23"/>
  <c r="FI145" i="23"/>
  <c r="FJ145" i="23"/>
  <c r="FK145" i="23"/>
  <c r="FL145" i="23"/>
  <c r="FM145" i="23"/>
  <c r="FN145" i="23"/>
  <c r="FO145" i="23"/>
  <c r="FP145" i="23"/>
  <c r="FQ145" i="23"/>
  <c r="FR145" i="23"/>
  <c r="FS145" i="23"/>
  <c r="FT145" i="23"/>
  <c r="FU145" i="23"/>
  <c r="FV145" i="23"/>
  <c r="FW145" i="23"/>
  <c r="FX145" i="23"/>
  <c r="FY145" i="23"/>
  <c r="FZ145" i="23"/>
  <c r="GA145" i="23"/>
  <c r="GB145" i="23"/>
  <c r="GC145" i="23"/>
  <c r="GD145" i="23"/>
  <c r="GE145" i="23"/>
  <c r="GF145" i="23"/>
  <c r="GG145" i="23"/>
  <c r="GH145" i="23"/>
  <c r="GI145" i="23"/>
  <c r="GJ145" i="23"/>
  <c r="GK145" i="23"/>
  <c r="GL145" i="23"/>
  <c r="GM145" i="23"/>
  <c r="GN145" i="23"/>
  <c r="GO145" i="23"/>
  <c r="GP145" i="23"/>
  <c r="GQ145" i="23"/>
  <c r="GR145" i="23"/>
  <c r="GS145" i="23"/>
  <c r="GT145" i="23"/>
  <c r="GU145" i="23"/>
  <c r="GV145" i="23"/>
  <c r="GW145" i="23"/>
  <c r="GX145" i="23"/>
  <c r="GY145" i="23"/>
  <c r="GZ145" i="23"/>
  <c r="HA145" i="23"/>
  <c r="HB145" i="23"/>
  <c r="HC145" i="23"/>
  <c r="HD145" i="23"/>
  <c r="HE145" i="23"/>
  <c r="HF145" i="23"/>
  <c r="HG145" i="23"/>
  <c r="HH145" i="23"/>
  <c r="HI145" i="23"/>
  <c r="HJ145" i="23"/>
  <c r="HK145" i="23"/>
  <c r="HL145" i="23"/>
  <c r="HM145" i="23"/>
  <c r="HN145" i="23"/>
  <c r="HO145" i="23"/>
  <c r="HP145" i="23"/>
  <c r="HQ145" i="23"/>
  <c r="HR145" i="23"/>
  <c r="HS145" i="23"/>
  <c r="HT145" i="23"/>
  <c r="HU145" i="23"/>
  <c r="HV145" i="23"/>
  <c r="HW145" i="23"/>
  <c r="HX145" i="23"/>
  <c r="HY145" i="23"/>
  <c r="HZ145" i="23"/>
  <c r="IA145" i="23"/>
  <c r="IB145" i="23"/>
  <c r="IC145" i="23"/>
  <c r="ID145" i="23"/>
  <c r="IE145" i="23"/>
  <c r="IF145" i="23"/>
  <c r="IG145" i="23"/>
  <c r="IH145" i="23"/>
  <c r="II145" i="23"/>
  <c r="IJ145" i="23"/>
  <c r="IK145" i="23"/>
  <c r="IL145" i="23"/>
  <c r="IM145" i="23"/>
  <c r="IN145" i="23"/>
  <c r="IO145" i="23"/>
  <c r="IP145" i="23"/>
  <c r="IQ145" i="23"/>
  <c r="IR145" i="23"/>
  <c r="IS145" i="23"/>
  <c r="IT145" i="23"/>
  <c r="IU145" i="23"/>
  <c r="IV145" i="23"/>
  <c r="A144" i="23"/>
  <c r="B144" i="23"/>
  <c r="C144" i="23"/>
  <c r="D144" i="23"/>
  <c r="E144" i="23"/>
  <c r="F144" i="23"/>
  <c r="G144" i="23"/>
  <c r="H144" i="23"/>
  <c r="I144" i="23"/>
  <c r="J144" i="23"/>
  <c r="K144" i="23"/>
  <c r="L144" i="23"/>
  <c r="M144" i="23"/>
  <c r="N144" i="23"/>
  <c r="O144" i="23"/>
  <c r="P144" i="23"/>
  <c r="Q144" i="23"/>
  <c r="R144" i="23"/>
  <c r="S144" i="23"/>
  <c r="T144" i="23"/>
  <c r="U144" i="23"/>
  <c r="V144" i="23"/>
  <c r="W144" i="23"/>
  <c r="X144" i="23"/>
  <c r="Y144" i="23"/>
  <c r="Z144" i="23"/>
  <c r="AA144" i="23"/>
  <c r="AB144" i="23"/>
  <c r="AC144" i="23"/>
  <c r="AD144" i="23"/>
  <c r="AE144" i="23"/>
  <c r="AF144" i="23"/>
  <c r="AG144" i="23"/>
  <c r="AH144" i="23"/>
  <c r="AI144" i="23"/>
  <c r="AJ144" i="23"/>
  <c r="AK144" i="23"/>
  <c r="AL144" i="23"/>
  <c r="AM144" i="23"/>
  <c r="AN144" i="23"/>
  <c r="AO144" i="23"/>
  <c r="AP144" i="23"/>
  <c r="AQ144" i="23"/>
  <c r="AR144" i="23"/>
  <c r="AS144" i="23"/>
  <c r="AT144" i="23"/>
  <c r="AU144" i="23"/>
  <c r="AV144" i="23"/>
  <c r="AW144" i="23"/>
  <c r="AX144" i="23"/>
  <c r="AY144" i="23"/>
  <c r="AZ144" i="23"/>
  <c r="BA144" i="23"/>
  <c r="BB144" i="23"/>
  <c r="BC144" i="23"/>
  <c r="BD144" i="23"/>
  <c r="BE144" i="23"/>
  <c r="BF144" i="23"/>
  <c r="BG144" i="23"/>
  <c r="BH144" i="23"/>
  <c r="BI144" i="23"/>
  <c r="BJ144" i="23"/>
  <c r="BK144" i="23"/>
  <c r="BL144" i="23"/>
  <c r="BM144" i="23"/>
  <c r="BN144" i="23"/>
  <c r="BO144" i="23"/>
  <c r="BP144" i="23"/>
  <c r="BQ144" i="23"/>
  <c r="BR144" i="23"/>
  <c r="BS144" i="23"/>
  <c r="BT144" i="23"/>
  <c r="BU144" i="23"/>
  <c r="BV144" i="23"/>
  <c r="BW144" i="23"/>
  <c r="BX144" i="23"/>
  <c r="BY144" i="23"/>
  <c r="BZ144" i="23"/>
  <c r="CA144" i="23"/>
  <c r="CB144" i="23"/>
  <c r="CC144" i="23"/>
  <c r="CD144" i="23"/>
  <c r="CE144" i="23"/>
  <c r="CF144" i="23"/>
  <c r="CG144" i="23"/>
  <c r="CH144" i="23"/>
  <c r="CI144" i="23"/>
  <c r="CJ144" i="23"/>
  <c r="CK144" i="23"/>
  <c r="CL144" i="23"/>
  <c r="CM144" i="23"/>
  <c r="CN144" i="23"/>
  <c r="CO144" i="23"/>
  <c r="CP144" i="23"/>
  <c r="CQ144" i="23"/>
  <c r="CR144" i="23"/>
  <c r="CS144" i="23"/>
  <c r="CT144" i="23"/>
  <c r="CU144" i="23"/>
  <c r="CV144" i="23"/>
  <c r="CW144" i="23"/>
  <c r="CX144" i="23"/>
  <c r="CY144" i="23"/>
  <c r="CZ144" i="23"/>
  <c r="DA144" i="23"/>
  <c r="DB144" i="23"/>
  <c r="DC144" i="23"/>
  <c r="DD144" i="23"/>
  <c r="DE144" i="23"/>
  <c r="DF144" i="23"/>
  <c r="DG144" i="23"/>
  <c r="DH144" i="23"/>
  <c r="DI144" i="23"/>
  <c r="DJ144" i="23"/>
  <c r="DK144" i="23"/>
  <c r="DL144" i="23"/>
  <c r="DM144" i="23"/>
  <c r="DN144" i="23"/>
  <c r="DO144" i="23"/>
  <c r="DP144" i="23"/>
  <c r="DQ144" i="23"/>
  <c r="DR144" i="23"/>
  <c r="DS144" i="23"/>
  <c r="DT144" i="23"/>
  <c r="DU144" i="23"/>
  <c r="DV144" i="23"/>
  <c r="DW144" i="23"/>
  <c r="DX144" i="23"/>
  <c r="DY144" i="23"/>
  <c r="DZ144" i="23"/>
  <c r="EA144" i="23"/>
  <c r="EB144" i="23"/>
  <c r="EC144" i="23"/>
  <c r="ED144" i="23"/>
  <c r="EE144" i="23"/>
  <c r="EF144" i="23"/>
  <c r="EG144" i="23"/>
  <c r="EH144" i="23"/>
  <c r="EI144" i="23"/>
  <c r="EJ144" i="23"/>
  <c r="EK144" i="23"/>
  <c r="EL144" i="23"/>
  <c r="EM144" i="23"/>
  <c r="EN144" i="23"/>
  <c r="EO144" i="23"/>
  <c r="EP144" i="23"/>
  <c r="EQ144" i="23"/>
  <c r="ER144" i="23"/>
  <c r="ES144" i="23"/>
  <c r="ET144" i="23"/>
  <c r="EU144" i="23"/>
  <c r="EV144" i="23"/>
  <c r="EW144" i="23"/>
  <c r="EX144" i="23"/>
  <c r="EY144" i="23"/>
  <c r="EZ144" i="23"/>
  <c r="FA144" i="23"/>
  <c r="FB144" i="23"/>
  <c r="FC144" i="23"/>
  <c r="FD144" i="23"/>
  <c r="FE144" i="23"/>
  <c r="FF144" i="23"/>
  <c r="FG144" i="23"/>
  <c r="FH144" i="23"/>
  <c r="FI144" i="23"/>
  <c r="FJ144" i="23"/>
  <c r="FK144" i="23"/>
  <c r="FL144" i="23"/>
  <c r="FM144" i="23"/>
  <c r="FN144" i="23"/>
  <c r="FO144" i="23"/>
  <c r="FP144" i="23"/>
  <c r="FQ144" i="23"/>
  <c r="FR144" i="23"/>
  <c r="FS144" i="23"/>
  <c r="FT144" i="23"/>
  <c r="FU144" i="23"/>
  <c r="FV144" i="23"/>
  <c r="FW144" i="23"/>
  <c r="FX144" i="23"/>
  <c r="FY144" i="23"/>
  <c r="FZ144" i="23"/>
  <c r="GA144" i="23"/>
  <c r="GB144" i="23"/>
  <c r="GC144" i="23"/>
  <c r="GD144" i="23"/>
  <c r="GE144" i="23"/>
  <c r="GF144" i="23"/>
  <c r="GG144" i="23"/>
  <c r="GH144" i="23"/>
  <c r="GI144" i="23"/>
  <c r="GJ144" i="23"/>
  <c r="GK144" i="23"/>
  <c r="GL144" i="23"/>
  <c r="GM144" i="23"/>
  <c r="GN144" i="23"/>
  <c r="GO144" i="23"/>
  <c r="GP144" i="23"/>
  <c r="GQ144" i="23"/>
  <c r="GR144" i="23"/>
  <c r="GS144" i="23"/>
  <c r="GT144" i="23"/>
  <c r="GU144" i="23"/>
  <c r="GV144" i="23"/>
  <c r="GW144" i="23"/>
  <c r="GX144" i="23"/>
  <c r="GY144" i="23"/>
  <c r="GZ144" i="23"/>
  <c r="HA144" i="23"/>
  <c r="HB144" i="23"/>
  <c r="HC144" i="23"/>
  <c r="HD144" i="23"/>
  <c r="HE144" i="23"/>
  <c r="HF144" i="23"/>
  <c r="HG144" i="23"/>
  <c r="HH144" i="23"/>
  <c r="HI144" i="23"/>
  <c r="HJ144" i="23"/>
  <c r="HK144" i="23"/>
  <c r="HL144" i="23"/>
  <c r="HM144" i="23"/>
  <c r="HN144" i="23"/>
  <c r="HO144" i="23"/>
  <c r="HP144" i="23"/>
  <c r="HQ144" i="23"/>
  <c r="HR144" i="23"/>
  <c r="HS144" i="23"/>
  <c r="HT144" i="23"/>
  <c r="HU144" i="23"/>
  <c r="HV144" i="23"/>
  <c r="HW144" i="23"/>
  <c r="HX144" i="23"/>
  <c r="HY144" i="23"/>
  <c r="HZ144" i="23"/>
  <c r="IA144" i="23"/>
  <c r="IB144" i="23"/>
  <c r="IC144" i="23"/>
  <c r="ID144" i="23"/>
  <c r="IE144" i="23"/>
  <c r="IF144" i="23"/>
  <c r="IG144" i="23"/>
  <c r="IH144" i="23"/>
  <c r="II144" i="23"/>
  <c r="IJ144" i="23"/>
  <c r="IK144" i="23"/>
  <c r="IL144" i="23"/>
  <c r="IM144" i="23"/>
  <c r="IN144" i="23"/>
  <c r="IO144" i="23"/>
  <c r="IP144" i="23"/>
  <c r="IQ144" i="23"/>
  <c r="IR144" i="23"/>
  <c r="IS144" i="23"/>
  <c r="IT144" i="23"/>
  <c r="IU144" i="23"/>
  <c r="IV144" i="23"/>
  <c r="A143" i="23"/>
  <c r="B143" i="23"/>
  <c r="C143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W143" i="23"/>
  <c r="X143" i="23"/>
  <c r="Y143" i="23"/>
  <c r="Z143" i="23"/>
  <c r="AA143" i="23"/>
  <c r="AB143" i="23"/>
  <c r="AC143" i="23"/>
  <c r="AD143" i="23"/>
  <c r="AE143" i="23"/>
  <c r="AF143" i="23"/>
  <c r="AG143" i="23"/>
  <c r="AH143" i="23"/>
  <c r="AI143" i="23"/>
  <c r="AJ143" i="23"/>
  <c r="AK143" i="23"/>
  <c r="AL143" i="23"/>
  <c r="AM143" i="23"/>
  <c r="AN143" i="23"/>
  <c r="AO143" i="23"/>
  <c r="AP143" i="23"/>
  <c r="AQ143" i="23"/>
  <c r="AR143" i="23"/>
  <c r="AS143" i="23"/>
  <c r="AT143" i="23"/>
  <c r="AU143" i="23"/>
  <c r="AV143" i="23"/>
  <c r="AW143" i="23"/>
  <c r="AX143" i="23"/>
  <c r="AY143" i="23"/>
  <c r="AZ143" i="23"/>
  <c r="BA143" i="23"/>
  <c r="BB143" i="23"/>
  <c r="BC143" i="23"/>
  <c r="BD143" i="23"/>
  <c r="BE143" i="23"/>
  <c r="BF143" i="23"/>
  <c r="BG143" i="23"/>
  <c r="BH143" i="23"/>
  <c r="BI143" i="23"/>
  <c r="BJ143" i="23"/>
  <c r="BK143" i="23"/>
  <c r="BL143" i="23"/>
  <c r="BM143" i="23"/>
  <c r="BN143" i="23"/>
  <c r="BO143" i="23"/>
  <c r="BP143" i="23"/>
  <c r="BQ143" i="23"/>
  <c r="BR143" i="23"/>
  <c r="BS143" i="23"/>
  <c r="BT143" i="23"/>
  <c r="BU143" i="23"/>
  <c r="BV143" i="23"/>
  <c r="BW143" i="23"/>
  <c r="BX143" i="23"/>
  <c r="BY143" i="23"/>
  <c r="BZ143" i="23"/>
  <c r="CA143" i="23"/>
  <c r="CB143" i="23"/>
  <c r="CC143" i="23"/>
  <c r="CD143" i="23"/>
  <c r="CE143" i="23"/>
  <c r="CF143" i="23"/>
  <c r="CG143" i="23"/>
  <c r="CH143" i="23"/>
  <c r="CI143" i="23"/>
  <c r="CJ143" i="23"/>
  <c r="CK143" i="23"/>
  <c r="CL143" i="23"/>
  <c r="CM143" i="23"/>
  <c r="CN143" i="23"/>
  <c r="CO143" i="23"/>
  <c r="CP143" i="23"/>
  <c r="CQ143" i="23"/>
  <c r="CR143" i="23"/>
  <c r="CS143" i="23"/>
  <c r="CT143" i="23"/>
  <c r="CU143" i="23"/>
  <c r="CV143" i="23"/>
  <c r="CW143" i="23"/>
  <c r="CX143" i="23"/>
  <c r="CY143" i="23"/>
  <c r="CZ143" i="23"/>
  <c r="DA143" i="23"/>
  <c r="DB143" i="23"/>
  <c r="DC143" i="23"/>
  <c r="DD143" i="23"/>
  <c r="DE143" i="23"/>
  <c r="DF143" i="23"/>
  <c r="DG143" i="23"/>
  <c r="DH143" i="23"/>
  <c r="DI143" i="23"/>
  <c r="DJ143" i="23"/>
  <c r="DK143" i="23"/>
  <c r="DL143" i="23"/>
  <c r="DM143" i="23"/>
  <c r="DN143" i="23"/>
  <c r="DO143" i="23"/>
  <c r="DP143" i="23"/>
  <c r="DQ143" i="23"/>
  <c r="DR143" i="23"/>
  <c r="DS143" i="23"/>
  <c r="DT143" i="23"/>
  <c r="DU143" i="23"/>
  <c r="DV143" i="23"/>
  <c r="DW143" i="23"/>
  <c r="DX143" i="23"/>
  <c r="DY143" i="23"/>
  <c r="DZ143" i="23"/>
  <c r="EA143" i="23"/>
  <c r="EB143" i="23"/>
  <c r="EC143" i="23"/>
  <c r="ED143" i="23"/>
  <c r="EE143" i="23"/>
  <c r="EF143" i="23"/>
  <c r="EG143" i="23"/>
  <c r="EH143" i="23"/>
  <c r="EI143" i="23"/>
  <c r="EJ143" i="23"/>
  <c r="EK143" i="23"/>
  <c r="EL143" i="23"/>
  <c r="EM143" i="23"/>
  <c r="EN143" i="23"/>
  <c r="EO143" i="23"/>
  <c r="EP143" i="23"/>
  <c r="EQ143" i="23"/>
  <c r="ER143" i="23"/>
  <c r="ES143" i="23"/>
  <c r="ET143" i="23"/>
  <c r="EU143" i="23"/>
  <c r="EV143" i="23"/>
  <c r="EW143" i="23"/>
  <c r="EX143" i="23"/>
  <c r="EY143" i="23"/>
  <c r="EZ143" i="23"/>
  <c r="FA143" i="23"/>
  <c r="FB143" i="23"/>
  <c r="FC143" i="23"/>
  <c r="FD143" i="23"/>
  <c r="FE143" i="23"/>
  <c r="FF143" i="23"/>
  <c r="FG143" i="23"/>
  <c r="FH143" i="23"/>
  <c r="FI143" i="23"/>
  <c r="FJ143" i="23"/>
  <c r="FK143" i="23"/>
  <c r="FL143" i="23"/>
  <c r="FM143" i="23"/>
  <c r="FN143" i="23"/>
  <c r="FO143" i="23"/>
  <c r="FP143" i="23"/>
  <c r="FQ143" i="23"/>
  <c r="FR143" i="23"/>
  <c r="FS143" i="23"/>
  <c r="FT143" i="23"/>
  <c r="FU143" i="23"/>
  <c r="FV143" i="23"/>
  <c r="FW143" i="23"/>
  <c r="FX143" i="23"/>
  <c r="FY143" i="23"/>
  <c r="FZ143" i="23"/>
  <c r="GA143" i="23"/>
  <c r="GB143" i="23"/>
  <c r="GC143" i="23"/>
  <c r="GD143" i="23"/>
  <c r="GE143" i="23"/>
  <c r="GF143" i="23"/>
  <c r="GG143" i="23"/>
  <c r="GH143" i="23"/>
  <c r="GI143" i="23"/>
  <c r="GJ143" i="23"/>
  <c r="GK143" i="23"/>
  <c r="GL143" i="23"/>
  <c r="GM143" i="23"/>
  <c r="GN143" i="23"/>
  <c r="GO143" i="23"/>
  <c r="GP143" i="23"/>
  <c r="GQ143" i="23"/>
  <c r="GR143" i="23"/>
  <c r="GS143" i="23"/>
  <c r="GT143" i="23"/>
  <c r="GU143" i="23"/>
  <c r="GV143" i="23"/>
  <c r="GW143" i="23"/>
  <c r="GX143" i="23"/>
  <c r="GY143" i="23"/>
  <c r="GZ143" i="23"/>
  <c r="HA143" i="23"/>
  <c r="HB143" i="23"/>
  <c r="HC143" i="23"/>
  <c r="HD143" i="23"/>
  <c r="HE143" i="23"/>
  <c r="HF143" i="23"/>
  <c r="HG143" i="23"/>
  <c r="HH143" i="23"/>
  <c r="HI143" i="23"/>
  <c r="HJ143" i="23"/>
  <c r="HK143" i="23"/>
  <c r="HL143" i="23"/>
  <c r="HM143" i="23"/>
  <c r="HN143" i="23"/>
  <c r="HO143" i="23"/>
  <c r="HP143" i="23"/>
  <c r="HQ143" i="23"/>
  <c r="HR143" i="23"/>
  <c r="HS143" i="23"/>
  <c r="HT143" i="23"/>
  <c r="HU143" i="23"/>
  <c r="HV143" i="23"/>
  <c r="HW143" i="23"/>
  <c r="HX143" i="23"/>
  <c r="HY143" i="23"/>
  <c r="HZ143" i="23"/>
  <c r="IA143" i="23"/>
  <c r="IB143" i="23"/>
  <c r="IC143" i="23"/>
  <c r="ID143" i="23"/>
  <c r="IE143" i="23"/>
  <c r="IF143" i="23"/>
  <c r="IG143" i="23"/>
  <c r="IH143" i="23"/>
  <c r="II143" i="23"/>
  <c r="IJ143" i="23"/>
  <c r="IK143" i="23"/>
  <c r="IL143" i="23"/>
  <c r="IM143" i="23"/>
  <c r="IN143" i="23"/>
  <c r="IO143" i="23"/>
  <c r="IP143" i="23"/>
  <c r="IQ143" i="23"/>
  <c r="IR143" i="23"/>
  <c r="IS143" i="23"/>
  <c r="IT143" i="23"/>
  <c r="IU143" i="23"/>
  <c r="IV143" i="23"/>
  <c r="A142" i="23"/>
  <c r="B142" i="23"/>
  <c r="C142" i="23"/>
  <c r="D142" i="23"/>
  <c r="E142" i="23"/>
  <c r="F142" i="23"/>
  <c r="G142" i="23"/>
  <c r="H142" i="23"/>
  <c r="I142" i="23"/>
  <c r="J142" i="23"/>
  <c r="K142" i="23"/>
  <c r="L142" i="23"/>
  <c r="M142" i="23"/>
  <c r="N142" i="23"/>
  <c r="O142" i="23"/>
  <c r="P142" i="23"/>
  <c r="Q142" i="23"/>
  <c r="R142" i="23"/>
  <c r="S142" i="23"/>
  <c r="T142" i="23"/>
  <c r="U142" i="23"/>
  <c r="V142" i="23"/>
  <c r="W142" i="23"/>
  <c r="X142" i="23"/>
  <c r="Y142" i="23"/>
  <c r="Z142" i="23"/>
  <c r="AA142" i="23"/>
  <c r="AB142" i="23"/>
  <c r="AC142" i="23"/>
  <c r="AD142" i="23"/>
  <c r="AE142" i="23"/>
  <c r="AF142" i="23"/>
  <c r="AG142" i="23"/>
  <c r="AH142" i="23"/>
  <c r="AI142" i="23"/>
  <c r="AJ142" i="23"/>
  <c r="AK142" i="23"/>
  <c r="AL142" i="23"/>
  <c r="AM142" i="23"/>
  <c r="AN142" i="23"/>
  <c r="AO142" i="23"/>
  <c r="AP142" i="23"/>
  <c r="AQ142" i="23"/>
  <c r="AR142" i="23"/>
  <c r="AS142" i="23"/>
  <c r="AT142" i="23"/>
  <c r="AU142" i="23"/>
  <c r="AV142" i="23"/>
  <c r="AW142" i="23"/>
  <c r="AX142" i="23"/>
  <c r="AY142" i="23"/>
  <c r="AZ142" i="23"/>
  <c r="BA142" i="23"/>
  <c r="BB142" i="23"/>
  <c r="BC142" i="23"/>
  <c r="BD142" i="23"/>
  <c r="BE142" i="23"/>
  <c r="BF142" i="23"/>
  <c r="BG142" i="23"/>
  <c r="BH142" i="23"/>
  <c r="BI142" i="23"/>
  <c r="BJ142" i="23"/>
  <c r="BK142" i="23"/>
  <c r="BL142" i="23"/>
  <c r="BM142" i="23"/>
  <c r="BN142" i="23"/>
  <c r="BO142" i="23"/>
  <c r="BP142" i="23"/>
  <c r="BQ142" i="23"/>
  <c r="BR142" i="23"/>
  <c r="BS142" i="23"/>
  <c r="BT142" i="23"/>
  <c r="BU142" i="23"/>
  <c r="BV142" i="23"/>
  <c r="BW142" i="23"/>
  <c r="BX142" i="23"/>
  <c r="BY142" i="23"/>
  <c r="BZ142" i="23"/>
  <c r="CA142" i="23"/>
  <c r="CB142" i="23"/>
  <c r="CC142" i="23"/>
  <c r="CD142" i="23"/>
  <c r="CE142" i="23"/>
  <c r="CF142" i="23"/>
  <c r="CG142" i="23"/>
  <c r="CH142" i="23"/>
  <c r="CI142" i="23"/>
  <c r="CJ142" i="23"/>
  <c r="CK142" i="23"/>
  <c r="CL142" i="23"/>
  <c r="CM142" i="23"/>
  <c r="CN142" i="23"/>
  <c r="CO142" i="23"/>
  <c r="CP142" i="23"/>
  <c r="CQ142" i="23"/>
  <c r="CR142" i="23"/>
  <c r="CS142" i="23"/>
  <c r="CT142" i="23"/>
  <c r="CU142" i="23"/>
  <c r="CV142" i="23"/>
  <c r="CW142" i="23"/>
  <c r="CX142" i="23"/>
  <c r="CY142" i="23"/>
  <c r="CZ142" i="23"/>
  <c r="DA142" i="23"/>
  <c r="DB142" i="23"/>
  <c r="DC142" i="23"/>
  <c r="DD142" i="23"/>
  <c r="DE142" i="23"/>
  <c r="DF142" i="23"/>
  <c r="DG142" i="23"/>
  <c r="DH142" i="23"/>
  <c r="DI142" i="23"/>
  <c r="DJ142" i="23"/>
  <c r="DK142" i="23"/>
  <c r="DL142" i="23"/>
  <c r="DM142" i="23"/>
  <c r="DN142" i="23"/>
  <c r="DO142" i="23"/>
  <c r="DP142" i="23"/>
  <c r="DQ142" i="23"/>
  <c r="DR142" i="23"/>
  <c r="DS142" i="23"/>
  <c r="DT142" i="23"/>
  <c r="DU142" i="23"/>
  <c r="DV142" i="23"/>
  <c r="DW142" i="23"/>
  <c r="DX142" i="23"/>
  <c r="DY142" i="23"/>
  <c r="DZ142" i="23"/>
  <c r="EA142" i="23"/>
  <c r="EB142" i="23"/>
  <c r="EC142" i="23"/>
  <c r="ED142" i="23"/>
  <c r="EE142" i="23"/>
  <c r="EF142" i="23"/>
  <c r="EG142" i="23"/>
  <c r="EH142" i="23"/>
  <c r="EI142" i="23"/>
  <c r="EJ142" i="23"/>
  <c r="EK142" i="23"/>
  <c r="EL142" i="23"/>
  <c r="EM142" i="23"/>
  <c r="EN142" i="23"/>
  <c r="EO142" i="23"/>
  <c r="EP142" i="23"/>
  <c r="EQ142" i="23"/>
  <c r="ER142" i="23"/>
  <c r="ES142" i="23"/>
  <c r="ET142" i="23"/>
  <c r="EU142" i="23"/>
  <c r="EV142" i="23"/>
  <c r="EW142" i="23"/>
  <c r="EX142" i="23"/>
  <c r="EY142" i="23"/>
  <c r="EZ142" i="23"/>
  <c r="FA142" i="23"/>
  <c r="FB142" i="23"/>
  <c r="FC142" i="23"/>
  <c r="FD142" i="23"/>
  <c r="FE142" i="23"/>
  <c r="FF142" i="23"/>
  <c r="FG142" i="23"/>
  <c r="FH142" i="23"/>
  <c r="FI142" i="23"/>
  <c r="FJ142" i="23"/>
  <c r="FK142" i="23"/>
  <c r="FL142" i="23"/>
  <c r="FM142" i="23"/>
  <c r="FN142" i="23"/>
  <c r="FO142" i="23"/>
  <c r="FP142" i="23"/>
  <c r="FQ142" i="23"/>
  <c r="FR142" i="23"/>
  <c r="FS142" i="23"/>
  <c r="FT142" i="23"/>
  <c r="FU142" i="23"/>
  <c r="FV142" i="23"/>
  <c r="FW142" i="23"/>
  <c r="FX142" i="23"/>
  <c r="FY142" i="23"/>
  <c r="FZ142" i="23"/>
  <c r="GA142" i="23"/>
  <c r="GB142" i="23"/>
  <c r="GC142" i="23"/>
  <c r="GD142" i="23"/>
  <c r="GE142" i="23"/>
  <c r="GF142" i="23"/>
  <c r="GG142" i="23"/>
  <c r="GH142" i="23"/>
  <c r="GI142" i="23"/>
  <c r="GJ142" i="23"/>
  <c r="GK142" i="23"/>
  <c r="GL142" i="23"/>
  <c r="GM142" i="23"/>
  <c r="GN142" i="23"/>
  <c r="GO142" i="23"/>
  <c r="GP142" i="23"/>
  <c r="GQ142" i="23"/>
  <c r="GR142" i="23"/>
  <c r="GS142" i="23"/>
  <c r="GT142" i="23"/>
  <c r="GU142" i="23"/>
  <c r="GV142" i="23"/>
  <c r="GW142" i="23"/>
  <c r="GX142" i="23"/>
  <c r="GY142" i="23"/>
  <c r="GZ142" i="23"/>
  <c r="HA142" i="23"/>
  <c r="HB142" i="23"/>
  <c r="HC142" i="23"/>
  <c r="HD142" i="23"/>
  <c r="HE142" i="23"/>
  <c r="HF142" i="23"/>
  <c r="HG142" i="23"/>
  <c r="HH142" i="23"/>
  <c r="HI142" i="23"/>
  <c r="HJ142" i="23"/>
  <c r="HK142" i="23"/>
  <c r="HL142" i="23"/>
  <c r="HM142" i="23"/>
  <c r="HN142" i="23"/>
  <c r="HO142" i="23"/>
  <c r="HP142" i="23"/>
  <c r="HQ142" i="23"/>
  <c r="HR142" i="23"/>
  <c r="HS142" i="23"/>
  <c r="HT142" i="23"/>
  <c r="HU142" i="23"/>
  <c r="HV142" i="23"/>
  <c r="HW142" i="23"/>
  <c r="HX142" i="23"/>
  <c r="HY142" i="23"/>
  <c r="HZ142" i="23"/>
  <c r="IA142" i="23"/>
  <c r="IB142" i="23"/>
  <c r="IC142" i="23"/>
  <c r="ID142" i="23"/>
  <c r="IE142" i="23"/>
  <c r="IF142" i="23"/>
  <c r="IG142" i="23"/>
  <c r="IH142" i="23"/>
  <c r="II142" i="23"/>
  <c r="IJ142" i="23"/>
  <c r="IK142" i="23"/>
  <c r="IL142" i="23"/>
  <c r="IM142" i="23"/>
  <c r="IN142" i="23"/>
  <c r="IO142" i="23"/>
  <c r="IP142" i="23"/>
  <c r="IQ142" i="23"/>
  <c r="IR142" i="23"/>
  <c r="IS142" i="23"/>
  <c r="IT142" i="23"/>
  <c r="IU142" i="23"/>
  <c r="IV142" i="23"/>
  <c r="A141" i="23"/>
  <c r="B141" i="23"/>
  <c r="C141" i="23"/>
  <c r="D141" i="23"/>
  <c r="E141" i="23"/>
  <c r="F141" i="23"/>
  <c r="G141" i="23"/>
  <c r="H141" i="23"/>
  <c r="I141" i="23"/>
  <c r="J141" i="23"/>
  <c r="K141" i="23"/>
  <c r="L141" i="23"/>
  <c r="M141" i="23"/>
  <c r="N141" i="23"/>
  <c r="O141" i="23"/>
  <c r="P141" i="23"/>
  <c r="Q141" i="23"/>
  <c r="R141" i="23"/>
  <c r="S141" i="23"/>
  <c r="T141" i="23"/>
  <c r="U141" i="23"/>
  <c r="V141" i="23"/>
  <c r="W141" i="23"/>
  <c r="X141" i="23"/>
  <c r="Y141" i="23"/>
  <c r="Z141" i="23"/>
  <c r="AA141" i="23"/>
  <c r="AB141" i="23"/>
  <c r="AC141" i="23"/>
  <c r="AD141" i="23"/>
  <c r="AE141" i="23"/>
  <c r="AF141" i="23"/>
  <c r="AG141" i="23"/>
  <c r="AH141" i="23"/>
  <c r="AI141" i="23"/>
  <c r="AJ141" i="23"/>
  <c r="AK141" i="23"/>
  <c r="AL141" i="23"/>
  <c r="AM141" i="23"/>
  <c r="AN141" i="23"/>
  <c r="AO141" i="23"/>
  <c r="AP141" i="23"/>
  <c r="AQ141" i="23"/>
  <c r="AR141" i="23"/>
  <c r="AS141" i="23"/>
  <c r="AT141" i="23"/>
  <c r="AU141" i="23"/>
  <c r="AV141" i="23"/>
  <c r="AW141" i="23"/>
  <c r="AX141" i="23"/>
  <c r="AY141" i="23"/>
  <c r="AZ141" i="23"/>
  <c r="BA141" i="23"/>
  <c r="BB141" i="23"/>
  <c r="BC141" i="23"/>
  <c r="BD141" i="23"/>
  <c r="BE141" i="23"/>
  <c r="BF141" i="23"/>
  <c r="BG141" i="23"/>
  <c r="BH141" i="23"/>
  <c r="BI141" i="23"/>
  <c r="BJ141" i="23"/>
  <c r="BK141" i="23"/>
  <c r="BL141" i="23"/>
  <c r="BM141" i="23"/>
  <c r="BN141" i="23"/>
  <c r="BO141" i="23"/>
  <c r="BP141" i="23"/>
  <c r="BQ141" i="23"/>
  <c r="BR141" i="23"/>
  <c r="BS141" i="23"/>
  <c r="BT141" i="23"/>
  <c r="BU141" i="23"/>
  <c r="BV141" i="23"/>
  <c r="BW141" i="23"/>
  <c r="BX141" i="23"/>
  <c r="BY141" i="23"/>
  <c r="BZ141" i="23"/>
  <c r="CA141" i="23"/>
  <c r="CB141" i="23"/>
  <c r="CC141" i="23"/>
  <c r="CD141" i="23"/>
  <c r="CE141" i="23"/>
  <c r="CF141" i="23"/>
  <c r="CG141" i="23"/>
  <c r="CH141" i="23"/>
  <c r="CI141" i="23"/>
  <c r="CJ141" i="23"/>
  <c r="CK141" i="23"/>
  <c r="CL141" i="23"/>
  <c r="CM141" i="23"/>
  <c r="CN141" i="23"/>
  <c r="CO141" i="23"/>
  <c r="CP141" i="23"/>
  <c r="CQ141" i="23"/>
  <c r="CR141" i="23"/>
  <c r="CS141" i="23"/>
  <c r="CT141" i="23"/>
  <c r="CU141" i="23"/>
  <c r="CV141" i="23"/>
  <c r="CW141" i="23"/>
  <c r="CX141" i="23"/>
  <c r="CY141" i="23"/>
  <c r="CZ141" i="23"/>
  <c r="DA141" i="23"/>
  <c r="DB141" i="23"/>
  <c r="DC141" i="23"/>
  <c r="DD141" i="23"/>
  <c r="DE141" i="23"/>
  <c r="DF141" i="23"/>
  <c r="DG141" i="23"/>
  <c r="DH141" i="23"/>
  <c r="DI141" i="23"/>
  <c r="DJ141" i="23"/>
  <c r="DK141" i="23"/>
  <c r="DL141" i="23"/>
  <c r="DM141" i="23"/>
  <c r="DN141" i="23"/>
  <c r="DO141" i="23"/>
  <c r="DP141" i="23"/>
  <c r="DQ141" i="23"/>
  <c r="DR141" i="23"/>
  <c r="DS141" i="23"/>
  <c r="DT141" i="23"/>
  <c r="DU141" i="23"/>
  <c r="DV141" i="23"/>
  <c r="DW141" i="23"/>
  <c r="DX141" i="23"/>
  <c r="DY141" i="23"/>
  <c r="DZ141" i="23"/>
  <c r="EA141" i="23"/>
  <c r="EB141" i="23"/>
  <c r="EC141" i="23"/>
  <c r="ED141" i="23"/>
  <c r="EE141" i="23"/>
  <c r="EF141" i="23"/>
  <c r="EG141" i="23"/>
  <c r="EH141" i="23"/>
  <c r="EI141" i="23"/>
  <c r="EJ141" i="23"/>
  <c r="EK141" i="23"/>
  <c r="EL141" i="23"/>
  <c r="EM141" i="23"/>
  <c r="EN141" i="23"/>
  <c r="EO141" i="23"/>
  <c r="EP141" i="23"/>
  <c r="EQ141" i="23"/>
  <c r="ER141" i="23"/>
  <c r="ES141" i="23"/>
  <c r="ET141" i="23"/>
  <c r="EU141" i="23"/>
  <c r="EV141" i="23"/>
  <c r="EW141" i="23"/>
  <c r="EX141" i="23"/>
  <c r="EY141" i="23"/>
  <c r="EZ141" i="23"/>
  <c r="FA141" i="23"/>
  <c r="FB141" i="23"/>
  <c r="FC141" i="23"/>
  <c r="FD141" i="23"/>
  <c r="FE141" i="23"/>
  <c r="FF141" i="23"/>
  <c r="FG141" i="23"/>
  <c r="FH141" i="23"/>
  <c r="FI141" i="23"/>
  <c r="FJ141" i="23"/>
  <c r="FK141" i="23"/>
  <c r="FL141" i="23"/>
  <c r="FM141" i="23"/>
  <c r="FN141" i="23"/>
  <c r="FO141" i="23"/>
  <c r="FP141" i="23"/>
  <c r="FQ141" i="23"/>
  <c r="FR141" i="23"/>
  <c r="FS141" i="23"/>
  <c r="FT141" i="23"/>
  <c r="FU141" i="23"/>
  <c r="FV141" i="23"/>
  <c r="FW141" i="23"/>
  <c r="FX141" i="23"/>
  <c r="FY141" i="23"/>
  <c r="FZ141" i="23"/>
  <c r="GA141" i="23"/>
  <c r="GB141" i="23"/>
  <c r="GC141" i="23"/>
  <c r="GD141" i="23"/>
  <c r="GE141" i="23"/>
  <c r="GF141" i="23"/>
  <c r="GG141" i="23"/>
  <c r="GH141" i="23"/>
  <c r="GI141" i="23"/>
  <c r="GJ141" i="23"/>
  <c r="GK141" i="23"/>
  <c r="GL141" i="23"/>
  <c r="GM141" i="23"/>
  <c r="GN141" i="23"/>
  <c r="GO141" i="23"/>
  <c r="GP141" i="23"/>
  <c r="GQ141" i="23"/>
  <c r="GR141" i="23"/>
  <c r="GS141" i="23"/>
  <c r="GT141" i="23"/>
  <c r="GU141" i="23"/>
  <c r="GV141" i="23"/>
  <c r="GW141" i="23"/>
  <c r="GX141" i="23"/>
  <c r="GY141" i="23"/>
  <c r="GZ141" i="23"/>
  <c r="HA141" i="23"/>
  <c r="HB141" i="23"/>
  <c r="HC141" i="23"/>
  <c r="HD141" i="23"/>
  <c r="HE141" i="23"/>
  <c r="HF141" i="23"/>
  <c r="HG141" i="23"/>
  <c r="HH141" i="23"/>
  <c r="HI141" i="23"/>
  <c r="HJ141" i="23"/>
  <c r="HK141" i="23"/>
  <c r="HL141" i="23"/>
  <c r="HM141" i="23"/>
  <c r="HN141" i="23"/>
  <c r="HO141" i="23"/>
  <c r="HP141" i="23"/>
  <c r="HQ141" i="23"/>
  <c r="HR141" i="23"/>
  <c r="HS141" i="23"/>
  <c r="HT141" i="23"/>
  <c r="HU141" i="23"/>
  <c r="HV141" i="23"/>
  <c r="HW141" i="23"/>
  <c r="HX141" i="23"/>
  <c r="HY141" i="23"/>
  <c r="HZ141" i="23"/>
  <c r="IA141" i="23"/>
  <c r="IB141" i="23"/>
  <c r="IC141" i="23"/>
  <c r="ID141" i="23"/>
  <c r="IE141" i="23"/>
  <c r="IF141" i="23"/>
  <c r="IG141" i="23"/>
  <c r="IH141" i="23"/>
  <c r="II141" i="23"/>
  <c r="IJ141" i="23"/>
  <c r="IK141" i="23"/>
  <c r="IL141" i="23"/>
  <c r="IM141" i="23"/>
  <c r="IN141" i="23"/>
  <c r="IO141" i="23"/>
  <c r="IP141" i="23"/>
  <c r="IQ141" i="23"/>
  <c r="IR141" i="23"/>
  <c r="IS141" i="23"/>
  <c r="IT141" i="23"/>
  <c r="IU141" i="23"/>
  <c r="IV141" i="23"/>
  <c r="A140" i="23"/>
  <c r="B140" i="23"/>
  <c r="C140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AB140" i="23"/>
  <c r="AC140" i="23"/>
  <c r="AD140" i="23"/>
  <c r="AE140" i="23"/>
  <c r="AF140" i="23"/>
  <c r="AG140" i="23"/>
  <c r="AH140" i="23"/>
  <c r="AI140" i="23"/>
  <c r="AJ140" i="23"/>
  <c r="AK140" i="23"/>
  <c r="AL140" i="23"/>
  <c r="AM140" i="23"/>
  <c r="AN140" i="23"/>
  <c r="AO140" i="23"/>
  <c r="AP140" i="23"/>
  <c r="AQ140" i="23"/>
  <c r="AR140" i="23"/>
  <c r="AS140" i="23"/>
  <c r="AT140" i="23"/>
  <c r="AU140" i="23"/>
  <c r="AV140" i="23"/>
  <c r="AW140" i="23"/>
  <c r="AX140" i="23"/>
  <c r="AY140" i="23"/>
  <c r="AZ140" i="23"/>
  <c r="BA140" i="23"/>
  <c r="BB140" i="23"/>
  <c r="BC140" i="23"/>
  <c r="BD140" i="23"/>
  <c r="BE140" i="23"/>
  <c r="BF140" i="23"/>
  <c r="BG140" i="23"/>
  <c r="BH140" i="23"/>
  <c r="BI140" i="23"/>
  <c r="BJ140" i="23"/>
  <c r="BK140" i="23"/>
  <c r="BL140" i="23"/>
  <c r="BM140" i="23"/>
  <c r="BN140" i="23"/>
  <c r="BO140" i="23"/>
  <c r="BP140" i="23"/>
  <c r="BQ140" i="23"/>
  <c r="BR140" i="23"/>
  <c r="BS140" i="23"/>
  <c r="BT140" i="23"/>
  <c r="BU140" i="23"/>
  <c r="BV140" i="23"/>
  <c r="BW140" i="23"/>
  <c r="BX140" i="23"/>
  <c r="BY140" i="23"/>
  <c r="BZ140" i="23"/>
  <c r="CA140" i="23"/>
  <c r="CB140" i="23"/>
  <c r="CC140" i="23"/>
  <c r="CD140" i="23"/>
  <c r="CE140" i="23"/>
  <c r="CF140" i="23"/>
  <c r="CG140" i="23"/>
  <c r="CH140" i="23"/>
  <c r="CI140" i="23"/>
  <c r="CJ140" i="23"/>
  <c r="CK140" i="23"/>
  <c r="CL140" i="23"/>
  <c r="CM140" i="23"/>
  <c r="CN140" i="23"/>
  <c r="CO140" i="23"/>
  <c r="CP140" i="23"/>
  <c r="CQ140" i="23"/>
  <c r="CR140" i="23"/>
  <c r="CS140" i="23"/>
  <c r="CT140" i="23"/>
  <c r="CU140" i="23"/>
  <c r="CV140" i="23"/>
  <c r="CW140" i="23"/>
  <c r="CX140" i="23"/>
  <c r="CY140" i="23"/>
  <c r="CZ140" i="23"/>
  <c r="DA140" i="23"/>
  <c r="DB140" i="23"/>
  <c r="DC140" i="23"/>
  <c r="DD140" i="23"/>
  <c r="DE140" i="23"/>
  <c r="DF140" i="23"/>
  <c r="DG140" i="23"/>
  <c r="DH140" i="23"/>
  <c r="DI140" i="23"/>
  <c r="DJ140" i="23"/>
  <c r="DK140" i="23"/>
  <c r="DL140" i="23"/>
  <c r="DM140" i="23"/>
  <c r="DN140" i="23"/>
  <c r="DO140" i="23"/>
  <c r="DP140" i="23"/>
  <c r="DQ140" i="23"/>
  <c r="DR140" i="23"/>
  <c r="DS140" i="23"/>
  <c r="DT140" i="23"/>
  <c r="DU140" i="23"/>
  <c r="DV140" i="23"/>
  <c r="DW140" i="23"/>
  <c r="DX140" i="23"/>
  <c r="DY140" i="23"/>
  <c r="DZ140" i="23"/>
  <c r="EA140" i="23"/>
  <c r="EB140" i="23"/>
  <c r="EC140" i="23"/>
  <c r="ED140" i="23"/>
  <c r="EE140" i="23"/>
  <c r="EF140" i="23"/>
  <c r="EG140" i="23"/>
  <c r="EH140" i="23"/>
  <c r="EI140" i="23"/>
  <c r="EJ140" i="23"/>
  <c r="EK140" i="23"/>
  <c r="EL140" i="23"/>
  <c r="EM140" i="23"/>
  <c r="EN140" i="23"/>
  <c r="EO140" i="23"/>
  <c r="EP140" i="23"/>
  <c r="EQ140" i="23"/>
  <c r="ER140" i="23"/>
  <c r="ES140" i="23"/>
  <c r="ET140" i="23"/>
  <c r="EU140" i="23"/>
  <c r="EV140" i="23"/>
  <c r="EW140" i="23"/>
  <c r="EX140" i="23"/>
  <c r="EY140" i="23"/>
  <c r="EZ140" i="23"/>
  <c r="FA140" i="23"/>
  <c r="FB140" i="23"/>
  <c r="FC140" i="23"/>
  <c r="FD140" i="23"/>
  <c r="FE140" i="23"/>
  <c r="FF140" i="23"/>
  <c r="FG140" i="23"/>
  <c r="FH140" i="23"/>
  <c r="FI140" i="23"/>
  <c r="FJ140" i="23"/>
  <c r="FK140" i="23"/>
  <c r="FL140" i="23"/>
  <c r="FM140" i="23"/>
  <c r="FN140" i="23"/>
  <c r="FO140" i="23"/>
  <c r="FP140" i="23"/>
  <c r="FQ140" i="23"/>
  <c r="FR140" i="23"/>
  <c r="FS140" i="23"/>
  <c r="FT140" i="23"/>
  <c r="FU140" i="23"/>
  <c r="FV140" i="23"/>
  <c r="FW140" i="23"/>
  <c r="FX140" i="23"/>
  <c r="FY140" i="23"/>
  <c r="FZ140" i="23"/>
  <c r="GA140" i="23"/>
  <c r="GB140" i="23"/>
  <c r="GC140" i="23"/>
  <c r="GD140" i="23"/>
  <c r="GE140" i="23"/>
  <c r="GF140" i="23"/>
  <c r="GG140" i="23"/>
  <c r="GH140" i="23"/>
  <c r="GI140" i="23"/>
  <c r="GJ140" i="23"/>
  <c r="GK140" i="23"/>
  <c r="GL140" i="23"/>
  <c r="GM140" i="23"/>
  <c r="GN140" i="23"/>
  <c r="GO140" i="23"/>
  <c r="GP140" i="23"/>
  <c r="GQ140" i="23"/>
  <c r="GR140" i="23"/>
  <c r="GS140" i="23"/>
  <c r="GT140" i="23"/>
  <c r="GU140" i="23"/>
  <c r="GV140" i="23"/>
  <c r="GW140" i="23"/>
  <c r="GX140" i="23"/>
  <c r="GY140" i="23"/>
  <c r="GZ140" i="23"/>
  <c r="HA140" i="23"/>
  <c r="HB140" i="23"/>
  <c r="HC140" i="23"/>
  <c r="HD140" i="23"/>
  <c r="HE140" i="23"/>
  <c r="HF140" i="23"/>
  <c r="HG140" i="23"/>
  <c r="HH140" i="23"/>
  <c r="HI140" i="23"/>
  <c r="HJ140" i="23"/>
  <c r="HK140" i="23"/>
  <c r="HL140" i="23"/>
  <c r="HM140" i="23"/>
  <c r="HN140" i="23"/>
  <c r="HO140" i="23"/>
  <c r="HP140" i="23"/>
  <c r="HQ140" i="23"/>
  <c r="HR140" i="23"/>
  <c r="HS140" i="23"/>
  <c r="HT140" i="23"/>
  <c r="HU140" i="23"/>
  <c r="HV140" i="23"/>
  <c r="HW140" i="23"/>
  <c r="HX140" i="23"/>
  <c r="HY140" i="23"/>
  <c r="HZ140" i="23"/>
  <c r="IA140" i="23"/>
  <c r="IB140" i="23"/>
  <c r="IC140" i="23"/>
  <c r="ID140" i="23"/>
  <c r="IE140" i="23"/>
  <c r="IF140" i="23"/>
  <c r="IG140" i="23"/>
  <c r="IH140" i="23"/>
  <c r="II140" i="23"/>
  <c r="IJ140" i="23"/>
  <c r="IK140" i="23"/>
  <c r="IL140" i="23"/>
  <c r="IM140" i="23"/>
  <c r="IN140" i="23"/>
  <c r="IO140" i="23"/>
  <c r="IP140" i="23"/>
  <c r="IQ140" i="23"/>
  <c r="IR140" i="23"/>
  <c r="IS140" i="23"/>
  <c r="IT140" i="23"/>
  <c r="IU140" i="23"/>
  <c r="IV140" i="23"/>
  <c r="A139" i="23"/>
  <c r="B139" i="23"/>
  <c r="C139" i="23"/>
  <c r="D139" i="23"/>
  <c r="E139" i="23"/>
  <c r="F139" i="23"/>
  <c r="G139" i="23"/>
  <c r="H139" i="23"/>
  <c r="I139" i="23"/>
  <c r="J139" i="23"/>
  <c r="K139" i="23"/>
  <c r="L139" i="23"/>
  <c r="M139" i="23"/>
  <c r="N139" i="23"/>
  <c r="O139" i="23"/>
  <c r="P139" i="23"/>
  <c r="Q139" i="23"/>
  <c r="R139" i="23"/>
  <c r="S139" i="23"/>
  <c r="T139" i="23"/>
  <c r="U139" i="23"/>
  <c r="V139" i="23"/>
  <c r="W139" i="23"/>
  <c r="X139" i="23"/>
  <c r="Y139" i="23"/>
  <c r="Z139" i="23"/>
  <c r="AA139" i="23"/>
  <c r="AB139" i="23"/>
  <c r="AC139" i="23"/>
  <c r="AD139" i="23"/>
  <c r="AE139" i="23"/>
  <c r="AF139" i="23"/>
  <c r="AG139" i="23"/>
  <c r="AH139" i="23"/>
  <c r="AI139" i="23"/>
  <c r="AJ139" i="23"/>
  <c r="AK139" i="23"/>
  <c r="AL139" i="23"/>
  <c r="AM139" i="23"/>
  <c r="AN139" i="23"/>
  <c r="AO139" i="23"/>
  <c r="AP139" i="23"/>
  <c r="AQ139" i="23"/>
  <c r="AR139" i="23"/>
  <c r="AS139" i="23"/>
  <c r="AT139" i="23"/>
  <c r="AU139" i="23"/>
  <c r="AV139" i="23"/>
  <c r="AW139" i="23"/>
  <c r="AX139" i="23"/>
  <c r="AY139" i="23"/>
  <c r="AZ139" i="23"/>
  <c r="BA139" i="23"/>
  <c r="BB139" i="23"/>
  <c r="BC139" i="23"/>
  <c r="BD139" i="23"/>
  <c r="BE139" i="23"/>
  <c r="BF139" i="23"/>
  <c r="BG139" i="23"/>
  <c r="BH139" i="23"/>
  <c r="BI139" i="23"/>
  <c r="BJ139" i="23"/>
  <c r="BK139" i="23"/>
  <c r="BL139" i="23"/>
  <c r="BM139" i="23"/>
  <c r="BN139" i="23"/>
  <c r="BO139" i="23"/>
  <c r="BP139" i="23"/>
  <c r="BQ139" i="23"/>
  <c r="BR139" i="23"/>
  <c r="BS139" i="23"/>
  <c r="BT139" i="23"/>
  <c r="BU139" i="23"/>
  <c r="BV139" i="23"/>
  <c r="BW139" i="23"/>
  <c r="BX139" i="23"/>
  <c r="BY139" i="23"/>
  <c r="BZ139" i="23"/>
  <c r="CA139" i="23"/>
  <c r="CB139" i="23"/>
  <c r="CC139" i="23"/>
  <c r="CD139" i="23"/>
  <c r="CE139" i="23"/>
  <c r="CF139" i="23"/>
  <c r="CG139" i="23"/>
  <c r="CH139" i="23"/>
  <c r="CI139" i="23"/>
  <c r="CJ139" i="23"/>
  <c r="CK139" i="23"/>
  <c r="CL139" i="23"/>
  <c r="CM139" i="23"/>
  <c r="CN139" i="23"/>
  <c r="CO139" i="23"/>
  <c r="CP139" i="23"/>
  <c r="CQ139" i="23"/>
  <c r="CR139" i="23"/>
  <c r="CS139" i="23"/>
  <c r="CT139" i="23"/>
  <c r="CU139" i="23"/>
  <c r="CV139" i="23"/>
  <c r="CW139" i="23"/>
  <c r="CX139" i="23"/>
  <c r="CY139" i="23"/>
  <c r="CZ139" i="23"/>
  <c r="DA139" i="23"/>
  <c r="DB139" i="23"/>
  <c r="DC139" i="23"/>
  <c r="DD139" i="23"/>
  <c r="DE139" i="23"/>
  <c r="DF139" i="23"/>
  <c r="DG139" i="23"/>
  <c r="DH139" i="23"/>
  <c r="DI139" i="23"/>
  <c r="DJ139" i="23"/>
  <c r="DK139" i="23"/>
  <c r="DL139" i="23"/>
  <c r="DM139" i="23"/>
  <c r="DN139" i="23"/>
  <c r="DO139" i="23"/>
  <c r="DP139" i="23"/>
  <c r="DQ139" i="23"/>
  <c r="DR139" i="23"/>
  <c r="DS139" i="23"/>
  <c r="DT139" i="23"/>
  <c r="DU139" i="23"/>
  <c r="DV139" i="23"/>
  <c r="DW139" i="23"/>
  <c r="DX139" i="23"/>
  <c r="DY139" i="23"/>
  <c r="DZ139" i="23"/>
  <c r="EA139" i="23"/>
  <c r="EB139" i="23"/>
  <c r="EC139" i="23"/>
  <c r="ED139" i="23"/>
  <c r="EE139" i="23"/>
  <c r="EF139" i="23"/>
  <c r="EG139" i="23"/>
  <c r="EH139" i="23"/>
  <c r="EI139" i="23"/>
  <c r="EJ139" i="23"/>
  <c r="EK139" i="23"/>
  <c r="EL139" i="23"/>
  <c r="EM139" i="23"/>
  <c r="EN139" i="23"/>
  <c r="EO139" i="23"/>
  <c r="EP139" i="23"/>
  <c r="EQ139" i="23"/>
  <c r="ER139" i="23"/>
  <c r="ES139" i="23"/>
  <c r="ET139" i="23"/>
  <c r="EU139" i="23"/>
  <c r="EV139" i="23"/>
  <c r="EW139" i="23"/>
  <c r="EX139" i="23"/>
  <c r="EY139" i="23"/>
  <c r="EZ139" i="23"/>
  <c r="FA139" i="23"/>
  <c r="FB139" i="23"/>
  <c r="FC139" i="23"/>
  <c r="FD139" i="23"/>
  <c r="FE139" i="23"/>
  <c r="FF139" i="23"/>
  <c r="FG139" i="23"/>
  <c r="FH139" i="23"/>
  <c r="FI139" i="23"/>
  <c r="FJ139" i="23"/>
  <c r="FK139" i="23"/>
  <c r="FL139" i="23"/>
  <c r="FM139" i="23"/>
  <c r="FN139" i="23"/>
  <c r="FO139" i="23"/>
  <c r="FP139" i="23"/>
  <c r="FQ139" i="23"/>
  <c r="FR139" i="23"/>
  <c r="FS139" i="23"/>
  <c r="FT139" i="23"/>
  <c r="FU139" i="23"/>
  <c r="FV139" i="23"/>
  <c r="FW139" i="23"/>
  <c r="FX139" i="23"/>
  <c r="FY139" i="23"/>
  <c r="FZ139" i="23"/>
  <c r="GA139" i="23"/>
  <c r="GB139" i="23"/>
  <c r="GC139" i="23"/>
  <c r="GD139" i="23"/>
  <c r="GE139" i="23"/>
  <c r="GF139" i="23"/>
  <c r="GG139" i="23"/>
  <c r="GH139" i="23"/>
  <c r="GI139" i="23"/>
  <c r="GJ139" i="23"/>
  <c r="GK139" i="23"/>
  <c r="GL139" i="23"/>
  <c r="GM139" i="23"/>
  <c r="GN139" i="23"/>
  <c r="GO139" i="23"/>
  <c r="GP139" i="23"/>
  <c r="GQ139" i="23"/>
  <c r="GR139" i="23"/>
  <c r="GS139" i="23"/>
  <c r="GT139" i="23"/>
  <c r="GU139" i="23"/>
  <c r="GV139" i="23"/>
  <c r="GW139" i="23"/>
  <c r="GX139" i="23"/>
  <c r="GY139" i="23"/>
  <c r="GZ139" i="23"/>
  <c r="HA139" i="23"/>
  <c r="HB139" i="23"/>
  <c r="HC139" i="23"/>
  <c r="HD139" i="23"/>
  <c r="HE139" i="23"/>
  <c r="HF139" i="23"/>
  <c r="HG139" i="23"/>
  <c r="HH139" i="23"/>
  <c r="HI139" i="23"/>
  <c r="HJ139" i="23"/>
  <c r="HK139" i="23"/>
  <c r="HL139" i="23"/>
  <c r="HM139" i="23"/>
  <c r="HN139" i="23"/>
  <c r="HO139" i="23"/>
  <c r="HP139" i="23"/>
  <c r="HQ139" i="23"/>
  <c r="HR139" i="23"/>
  <c r="HS139" i="23"/>
  <c r="HT139" i="23"/>
  <c r="HU139" i="23"/>
  <c r="HV139" i="23"/>
  <c r="HW139" i="23"/>
  <c r="HX139" i="23"/>
  <c r="HY139" i="23"/>
  <c r="HZ139" i="23"/>
  <c r="IA139" i="23"/>
  <c r="IB139" i="23"/>
  <c r="IC139" i="23"/>
  <c r="ID139" i="23"/>
  <c r="IE139" i="23"/>
  <c r="IF139" i="23"/>
  <c r="IG139" i="23"/>
  <c r="IH139" i="23"/>
  <c r="II139" i="23"/>
  <c r="IJ139" i="23"/>
  <c r="IK139" i="23"/>
  <c r="IL139" i="23"/>
  <c r="IM139" i="23"/>
  <c r="IN139" i="23"/>
  <c r="IO139" i="23"/>
  <c r="IP139" i="23"/>
  <c r="IQ139" i="23"/>
  <c r="IR139" i="23"/>
  <c r="IS139" i="23"/>
  <c r="IT139" i="23"/>
  <c r="IU139" i="23"/>
  <c r="IV139" i="23"/>
  <c r="A138" i="23"/>
  <c r="B138" i="23"/>
  <c r="C138" i="23"/>
  <c r="D138" i="23"/>
  <c r="E138" i="23"/>
  <c r="F138" i="23"/>
  <c r="G138" i="23"/>
  <c r="H138" i="23"/>
  <c r="I138" i="23"/>
  <c r="J138" i="23"/>
  <c r="K138" i="23"/>
  <c r="L138" i="23"/>
  <c r="M138" i="23"/>
  <c r="N138" i="23"/>
  <c r="O138" i="23"/>
  <c r="P138" i="23"/>
  <c r="Q138" i="23"/>
  <c r="R138" i="23"/>
  <c r="S138" i="23"/>
  <c r="T138" i="23"/>
  <c r="U138" i="23"/>
  <c r="V138" i="23"/>
  <c r="W138" i="23"/>
  <c r="X138" i="23"/>
  <c r="Y138" i="23"/>
  <c r="Z138" i="23"/>
  <c r="AA138" i="23"/>
  <c r="AB138" i="23"/>
  <c r="AC138" i="23"/>
  <c r="AD138" i="23"/>
  <c r="AE138" i="23"/>
  <c r="AF138" i="23"/>
  <c r="AG138" i="23"/>
  <c r="AH138" i="23"/>
  <c r="AI138" i="23"/>
  <c r="AJ138" i="23"/>
  <c r="AK138" i="23"/>
  <c r="AL138" i="23"/>
  <c r="AM138" i="23"/>
  <c r="AN138" i="23"/>
  <c r="AO138" i="23"/>
  <c r="AP138" i="23"/>
  <c r="AQ138" i="23"/>
  <c r="AR138" i="23"/>
  <c r="AS138" i="23"/>
  <c r="AT138" i="23"/>
  <c r="AU138" i="23"/>
  <c r="AV138" i="23"/>
  <c r="AW138" i="23"/>
  <c r="AX138" i="23"/>
  <c r="AY138" i="23"/>
  <c r="AZ138" i="23"/>
  <c r="BA138" i="23"/>
  <c r="BB138" i="23"/>
  <c r="BC138" i="23"/>
  <c r="BD138" i="23"/>
  <c r="BE138" i="23"/>
  <c r="BF138" i="23"/>
  <c r="BG138" i="23"/>
  <c r="BH138" i="23"/>
  <c r="BI138" i="23"/>
  <c r="BJ138" i="23"/>
  <c r="BK138" i="23"/>
  <c r="BL138" i="23"/>
  <c r="BM138" i="23"/>
  <c r="BN138" i="23"/>
  <c r="BO138" i="23"/>
  <c r="BP138" i="23"/>
  <c r="BQ138" i="23"/>
  <c r="BR138" i="23"/>
  <c r="BS138" i="23"/>
  <c r="BT138" i="23"/>
  <c r="BU138" i="23"/>
  <c r="BV138" i="23"/>
  <c r="BW138" i="23"/>
  <c r="BX138" i="23"/>
  <c r="BY138" i="23"/>
  <c r="BZ138" i="23"/>
  <c r="CA138" i="23"/>
  <c r="CB138" i="23"/>
  <c r="CC138" i="23"/>
  <c r="CD138" i="23"/>
  <c r="CE138" i="23"/>
  <c r="CF138" i="23"/>
  <c r="CG138" i="23"/>
  <c r="CH138" i="23"/>
  <c r="CI138" i="23"/>
  <c r="CJ138" i="23"/>
  <c r="CK138" i="23"/>
  <c r="CL138" i="23"/>
  <c r="CM138" i="23"/>
  <c r="CN138" i="23"/>
  <c r="CO138" i="23"/>
  <c r="CP138" i="23"/>
  <c r="CQ138" i="23"/>
  <c r="CR138" i="23"/>
  <c r="CS138" i="23"/>
  <c r="CT138" i="23"/>
  <c r="CU138" i="23"/>
  <c r="CV138" i="23"/>
  <c r="CW138" i="23"/>
  <c r="CX138" i="23"/>
  <c r="CY138" i="23"/>
  <c r="CZ138" i="23"/>
  <c r="DA138" i="23"/>
  <c r="DB138" i="23"/>
  <c r="DC138" i="23"/>
  <c r="DD138" i="23"/>
  <c r="DE138" i="23"/>
  <c r="DF138" i="23"/>
  <c r="DG138" i="23"/>
  <c r="DH138" i="23"/>
  <c r="DI138" i="23"/>
  <c r="DJ138" i="23"/>
  <c r="DK138" i="23"/>
  <c r="DL138" i="23"/>
  <c r="DM138" i="23"/>
  <c r="DN138" i="23"/>
  <c r="DO138" i="23"/>
  <c r="DP138" i="23"/>
  <c r="DQ138" i="23"/>
  <c r="DR138" i="23"/>
  <c r="DS138" i="23"/>
  <c r="DT138" i="23"/>
  <c r="DU138" i="23"/>
  <c r="DV138" i="23"/>
  <c r="DW138" i="23"/>
  <c r="DX138" i="23"/>
  <c r="DY138" i="23"/>
  <c r="DZ138" i="23"/>
  <c r="EA138" i="23"/>
  <c r="EB138" i="23"/>
  <c r="EC138" i="23"/>
  <c r="ED138" i="23"/>
  <c r="EE138" i="23"/>
  <c r="EF138" i="23"/>
  <c r="EG138" i="23"/>
  <c r="EH138" i="23"/>
  <c r="EI138" i="23"/>
  <c r="EJ138" i="23"/>
  <c r="EK138" i="23"/>
  <c r="EL138" i="23"/>
  <c r="EM138" i="23"/>
  <c r="EN138" i="23"/>
  <c r="EO138" i="23"/>
  <c r="EP138" i="23"/>
  <c r="EQ138" i="23"/>
  <c r="ER138" i="23"/>
  <c r="ES138" i="23"/>
  <c r="ET138" i="23"/>
  <c r="EU138" i="23"/>
  <c r="EV138" i="23"/>
  <c r="EW138" i="23"/>
  <c r="EX138" i="23"/>
  <c r="EY138" i="23"/>
  <c r="EZ138" i="23"/>
  <c r="FA138" i="23"/>
  <c r="FB138" i="23"/>
  <c r="FC138" i="23"/>
  <c r="FD138" i="23"/>
  <c r="FE138" i="23"/>
  <c r="FF138" i="23"/>
  <c r="FG138" i="23"/>
  <c r="FH138" i="23"/>
  <c r="FI138" i="23"/>
  <c r="FJ138" i="23"/>
  <c r="FK138" i="23"/>
  <c r="FL138" i="23"/>
  <c r="FM138" i="23"/>
  <c r="FN138" i="23"/>
  <c r="FO138" i="23"/>
  <c r="FP138" i="23"/>
  <c r="FQ138" i="23"/>
  <c r="FR138" i="23"/>
  <c r="FS138" i="23"/>
  <c r="FT138" i="23"/>
  <c r="FU138" i="23"/>
  <c r="FV138" i="23"/>
  <c r="FW138" i="23"/>
  <c r="FX138" i="23"/>
  <c r="FY138" i="23"/>
  <c r="FZ138" i="23"/>
  <c r="GA138" i="23"/>
  <c r="GB138" i="23"/>
  <c r="GC138" i="23"/>
  <c r="GD138" i="23"/>
  <c r="GE138" i="23"/>
  <c r="GF138" i="23"/>
  <c r="GG138" i="23"/>
  <c r="GH138" i="23"/>
  <c r="GI138" i="23"/>
  <c r="GJ138" i="23"/>
  <c r="GK138" i="23"/>
  <c r="GL138" i="23"/>
  <c r="GM138" i="23"/>
  <c r="GN138" i="23"/>
  <c r="GO138" i="23"/>
  <c r="GP138" i="23"/>
  <c r="GQ138" i="23"/>
  <c r="GR138" i="23"/>
  <c r="GS138" i="23"/>
  <c r="GT138" i="23"/>
  <c r="GU138" i="23"/>
  <c r="GV138" i="23"/>
  <c r="GW138" i="23"/>
  <c r="GX138" i="23"/>
  <c r="GY138" i="23"/>
  <c r="GZ138" i="23"/>
  <c r="HA138" i="23"/>
  <c r="HB138" i="23"/>
  <c r="HC138" i="23"/>
  <c r="HD138" i="23"/>
  <c r="HE138" i="23"/>
  <c r="HF138" i="23"/>
  <c r="HG138" i="23"/>
  <c r="HH138" i="23"/>
  <c r="HI138" i="23"/>
  <c r="HJ138" i="23"/>
  <c r="HK138" i="23"/>
  <c r="HL138" i="23"/>
  <c r="HM138" i="23"/>
  <c r="HN138" i="23"/>
  <c r="HO138" i="23"/>
  <c r="HP138" i="23"/>
  <c r="HQ138" i="23"/>
  <c r="HR138" i="23"/>
  <c r="HS138" i="23"/>
  <c r="HT138" i="23"/>
  <c r="HU138" i="23"/>
  <c r="HV138" i="23"/>
  <c r="HW138" i="23"/>
  <c r="HX138" i="23"/>
  <c r="HY138" i="23"/>
  <c r="HZ138" i="23"/>
  <c r="IA138" i="23"/>
  <c r="IB138" i="23"/>
  <c r="IC138" i="23"/>
  <c r="ID138" i="23"/>
  <c r="IE138" i="23"/>
  <c r="IF138" i="23"/>
  <c r="IG138" i="23"/>
  <c r="IH138" i="23"/>
  <c r="II138" i="23"/>
  <c r="IJ138" i="23"/>
  <c r="IK138" i="23"/>
  <c r="IL138" i="23"/>
  <c r="IM138" i="23"/>
  <c r="IN138" i="23"/>
  <c r="IO138" i="23"/>
  <c r="IP138" i="23"/>
  <c r="IQ138" i="23"/>
  <c r="IR138" i="23"/>
  <c r="IS138" i="23"/>
  <c r="IT138" i="23"/>
  <c r="IU138" i="23"/>
  <c r="IV138" i="23"/>
  <c r="A137" i="23"/>
  <c r="B137" i="23"/>
  <c r="C137" i="23"/>
  <c r="D137" i="23"/>
  <c r="E137" i="23"/>
  <c r="F137" i="23"/>
  <c r="G137" i="23"/>
  <c r="H137" i="23"/>
  <c r="I137" i="23"/>
  <c r="J137" i="23"/>
  <c r="K137" i="23"/>
  <c r="L137" i="23"/>
  <c r="M137" i="23"/>
  <c r="N137" i="23"/>
  <c r="O137" i="23"/>
  <c r="P137" i="23"/>
  <c r="Q137" i="23"/>
  <c r="R137" i="23"/>
  <c r="S137" i="23"/>
  <c r="T137" i="23"/>
  <c r="U137" i="23"/>
  <c r="V137" i="23"/>
  <c r="W137" i="23"/>
  <c r="X137" i="23"/>
  <c r="Y137" i="23"/>
  <c r="Z137" i="23"/>
  <c r="AA137" i="23"/>
  <c r="AB137" i="23"/>
  <c r="AC137" i="23"/>
  <c r="AD137" i="23"/>
  <c r="AE137" i="23"/>
  <c r="AF137" i="23"/>
  <c r="AG137" i="23"/>
  <c r="AH137" i="23"/>
  <c r="AI137" i="23"/>
  <c r="AJ137" i="23"/>
  <c r="AK137" i="23"/>
  <c r="AL137" i="23"/>
  <c r="AM137" i="23"/>
  <c r="AN137" i="23"/>
  <c r="AO137" i="23"/>
  <c r="AP137" i="23"/>
  <c r="AQ137" i="23"/>
  <c r="AR137" i="23"/>
  <c r="AS137" i="23"/>
  <c r="AT137" i="23"/>
  <c r="AU137" i="23"/>
  <c r="AV137" i="23"/>
  <c r="AW137" i="23"/>
  <c r="AX137" i="23"/>
  <c r="AY137" i="23"/>
  <c r="AZ137" i="23"/>
  <c r="BA137" i="23"/>
  <c r="BB137" i="23"/>
  <c r="BC137" i="23"/>
  <c r="BD137" i="23"/>
  <c r="BE137" i="23"/>
  <c r="BF137" i="23"/>
  <c r="BG137" i="23"/>
  <c r="BH137" i="23"/>
  <c r="BI137" i="23"/>
  <c r="BJ137" i="23"/>
  <c r="BK137" i="23"/>
  <c r="BL137" i="23"/>
  <c r="BM137" i="23"/>
  <c r="BN137" i="23"/>
  <c r="BO137" i="23"/>
  <c r="BP137" i="23"/>
  <c r="BQ137" i="23"/>
  <c r="BR137" i="23"/>
  <c r="BS137" i="23"/>
  <c r="BT137" i="23"/>
  <c r="BU137" i="23"/>
  <c r="BV137" i="23"/>
  <c r="BW137" i="23"/>
  <c r="BX137" i="23"/>
  <c r="BY137" i="23"/>
  <c r="BZ137" i="23"/>
  <c r="CA137" i="23"/>
  <c r="CB137" i="23"/>
  <c r="CC137" i="23"/>
  <c r="CD137" i="23"/>
  <c r="CE137" i="23"/>
  <c r="CF137" i="23"/>
  <c r="CG137" i="23"/>
  <c r="CH137" i="23"/>
  <c r="CI137" i="23"/>
  <c r="CJ137" i="23"/>
  <c r="CK137" i="23"/>
  <c r="CL137" i="23"/>
  <c r="CM137" i="23"/>
  <c r="CN137" i="23"/>
  <c r="CO137" i="23"/>
  <c r="CP137" i="23"/>
  <c r="CQ137" i="23"/>
  <c r="CR137" i="23"/>
  <c r="CS137" i="23"/>
  <c r="CT137" i="23"/>
  <c r="CU137" i="23"/>
  <c r="CV137" i="23"/>
  <c r="CW137" i="23"/>
  <c r="CX137" i="23"/>
  <c r="CY137" i="23"/>
  <c r="CZ137" i="23"/>
  <c r="DA137" i="23"/>
  <c r="DB137" i="23"/>
  <c r="DC137" i="23"/>
  <c r="DD137" i="23"/>
  <c r="DE137" i="23"/>
  <c r="DF137" i="23"/>
  <c r="DG137" i="23"/>
  <c r="DH137" i="23"/>
  <c r="DI137" i="23"/>
  <c r="DJ137" i="23"/>
  <c r="DK137" i="23"/>
  <c r="DL137" i="23"/>
  <c r="DM137" i="23"/>
  <c r="DN137" i="23"/>
  <c r="DO137" i="23"/>
  <c r="DP137" i="23"/>
  <c r="DQ137" i="23"/>
  <c r="DR137" i="23"/>
  <c r="DS137" i="23"/>
  <c r="DT137" i="23"/>
  <c r="DU137" i="23"/>
  <c r="DV137" i="23"/>
  <c r="DW137" i="23"/>
  <c r="DX137" i="23"/>
  <c r="DY137" i="23"/>
  <c r="DZ137" i="23"/>
  <c r="EA137" i="23"/>
  <c r="EB137" i="23"/>
  <c r="EC137" i="23"/>
  <c r="ED137" i="23"/>
  <c r="EE137" i="23"/>
  <c r="EF137" i="23"/>
  <c r="EG137" i="23"/>
  <c r="EH137" i="23"/>
  <c r="EI137" i="23"/>
  <c r="EJ137" i="23"/>
  <c r="EK137" i="23"/>
  <c r="EL137" i="23"/>
  <c r="EM137" i="23"/>
  <c r="EN137" i="23"/>
  <c r="EO137" i="23"/>
  <c r="EP137" i="23"/>
  <c r="EQ137" i="23"/>
  <c r="ER137" i="23"/>
  <c r="ES137" i="23"/>
  <c r="ET137" i="23"/>
  <c r="EU137" i="23"/>
  <c r="EV137" i="23"/>
  <c r="EW137" i="23"/>
  <c r="EX137" i="23"/>
  <c r="EY137" i="23"/>
  <c r="EZ137" i="23"/>
  <c r="FA137" i="23"/>
  <c r="FB137" i="23"/>
  <c r="FC137" i="23"/>
  <c r="FD137" i="23"/>
  <c r="FE137" i="23"/>
  <c r="FF137" i="23"/>
  <c r="FG137" i="23"/>
  <c r="FH137" i="23"/>
  <c r="FI137" i="23"/>
  <c r="FJ137" i="23"/>
  <c r="FK137" i="23"/>
  <c r="FL137" i="23"/>
  <c r="FM137" i="23"/>
  <c r="FN137" i="23"/>
  <c r="FO137" i="23"/>
  <c r="FP137" i="23"/>
  <c r="FQ137" i="23"/>
  <c r="FR137" i="23"/>
  <c r="FS137" i="23"/>
  <c r="FT137" i="23"/>
  <c r="FU137" i="23"/>
  <c r="FV137" i="23"/>
  <c r="FW137" i="23"/>
  <c r="FX137" i="23"/>
  <c r="FY137" i="23"/>
  <c r="FZ137" i="23"/>
  <c r="GA137" i="23"/>
  <c r="GB137" i="23"/>
  <c r="GC137" i="23"/>
  <c r="GD137" i="23"/>
  <c r="GE137" i="23"/>
  <c r="GF137" i="23"/>
  <c r="GG137" i="23"/>
  <c r="GH137" i="23"/>
  <c r="GI137" i="23"/>
  <c r="GJ137" i="23"/>
  <c r="GK137" i="23"/>
  <c r="GL137" i="23"/>
  <c r="GM137" i="23"/>
  <c r="GN137" i="23"/>
  <c r="GO137" i="23"/>
  <c r="GP137" i="23"/>
  <c r="GQ137" i="23"/>
  <c r="GR137" i="23"/>
  <c r="GS137" i="23"/>
  <c r="GT137" i="23"/>
  <c r="GU137" i="23"/>
  <c r="GV137" i="23"/>
  <c r="GW137" i="23"/>
  <c r="GX137" i="23"/>
  <c r="GY137" i="23"/>
  <c r="GZ137" i="23"/>
  <c r="HA137" i="23"/>
  <c r="HB137" i="23"/>
  <c r="HC137" i="23"/>
  <c r="HD137" i="23"/>
  <c r="HE137" i="23"/>
  <c r="HF137" i="23"/>
  <c r="HG137" i="23"/>
  <c r="HH137" i="23"/>
  <c r="HI137" i="23"/>
  <c r="HJ137" i="23"/>
  <c r="HK137" i="23"/>
  <c r="HL137" i="23"/>
  <c r="HM137" i="23"/>
  <c r="HN137" i="23"/>
  <c r="HO137" i="23"/>
  <c r="HP137" i="23"/>
  <c r="HQ137" i="23"/>
  <c r="HR137" i="23"/>
  <c r="HS137" i="23"/>
  <c r="HT137" i="23"/>
  <c r="HU137" i="23"/>
  <c r="HV137" i="23"/>
  <c r="HW137" i="23"/>
  <c r="HX137" i="23"/>
  <c r="HY137" i="23"/>
  <c r="HZ137" i="23"/>
  <c r="IA137" i="23"/>
  <c r="IB137" i="23"/>
  <c r="IC137" i="23"/>
  <c r="ID137" i="23"/>
  <c r="IE137" i="23"/>
  <c r="IF137" i="23"/>
  <c r="IG137" i="23"/>
  <c r="IH137" i="23"/>
  <c r="II137" i="23"/>
  <c r="IJ137" i="23"/>
  <c r="IK137" i="23"/>
  <c r="IL137" i="23"/>
  <c r="IM137" i="23"/>
  <c r="IN137" i="23"/>
  <c r="IO137" i="23"/>
  <c r="IP137" i="23"/>
  <c r="IQ137" i="23"/>
  <c r="IR137" i="23"/>
  <c r="IS137" i="23"/>
  <c r="IT137" i="23"/>
  <c r="IU137" i="23"/>
  <c r="IV137" i="23"/>
  <c r="A136" i="23"/>
  <c r="B136" i="23"/>
  <c r="C136" i="23"/>
  <c r="D136" i="23"/>
  <c r="E136" i="23"/>
  <c r="F136" i="23"/>
  <c r="G136" i="23"/>
  <c r="H136" i="23"/>
  <c r="I136" i="23"/>
  <c r="J136" i="23"/>
  <c r="K136" i="23"/>
  <c r="L136" i="23"/>
  <c r="M136" i="23"/>
  <c r="N136" i="23"/>
  <c r="O136" i="23"/>
  <c r="P136" i="23"/>
  <c r="Q136" i="23"/>
  <c r="R136" i="23"/>
  <c r="S136" i="23"/>
  <c r="T136" i="23"/>
  <c r="U136" i="23"/>
  <c r="V136" i="23"/>
  <c r="W136" i="23"/>
  <c r="X136" i="23"/>
  <c r="Y136" i="23"/>
  <c r="Z136" i="23"/>
  <c r="AA136" i="23"/>
  <c r="AB136" i="23"/>
  <c r="AC136" i="23"/>
  <c r="AD136" i="23"/>
  <c r="AE136" i="23"/>
  <c r="AF136" i="23"/>
  <c r="AG136" i="23"/>
  <c r="AH136" i="23"/>
  <c r="AI136" i="23"/>
  <c r="AJ136" i="23"/>
  <c r="AK136" i="23"/>
  <c r="AL136" i="23"/>
  <c r="AM136" i="23"/>
  <c r="AN136" i="23"/>
  <c r="AO136" i="23"/>
  <c r="AP136" i="23"/>
  <c r="AQ136" i="23"/>
  <c r="AR136" i="23"/>
  <c r="AS136" i="23"/>
  <c r="AT136" i="23"/>
  <c r="AU136" i="23"/>
  <c r="AV136" i="23"/>
  <c r="AW136" i="23"/>
  <c r="AX136" i="23"/>
  <c r="AY136" i="23"/>
  <c r="AZ136" i="23"/>
  <c r="BA136" i="23"/>
  <c r="BB136" i="23"/>
  <c r="BC136" i="23"/>
  <c r="BD136" i="23"/>
  <c r="BE136" i="23"/>
  <c r="BF136" i="23"/>
  <c r="BG136" i="23"/>
  <c r="BH136" i="23"/>
  <c r="BI136" i="23"/>
  <c r="BJ136" i="23"/>
  <c r="BK136" i="23"/>
  <c r="BL136" i="23"/>
  <c r="BM136" i="23"/>
  <c r="BN136" i="23"/>
  <c r="BO136" i="23"/>
  <c r="BP136" i="23"/>
  <c r="BQ136" i="23"/>
  <c r="BR136" i="23"/>
  <c r="BS136" i="23"/>
  <c r="BT136" i="23"/>
  <c r="BU136" i="23"/>
  <c r="BV136" i="23"/>
  <c r="BW136" i="23"/>
  <c r="BX136" i="23"/>
  <c r="BY136" i="23"/>
  <c r="BZ136" i="23"/>
  <c r="CA136" i="23"/>
  <c r="CB136" i="23"/>
  <c r="CC136" i="23"/>
  <c r="CD136" i="23"/>
  <c r="CE136" i="23"/>
  <c r="CF136" i="23"/>
  <c r="CG136" i="23"/>
  <c r="CH136" i="23"/>
  <c r="CI136" i="23"/>
  <c r="CJ136" i="23"/>
  <c r="CK136" i="23"/>
  <c r="CL136" i="23"/>
  <c r="CM136" i="23"/>
  <c r="CN136" i="23"/>
  <c r="CO136" i="23"/>
  <c r="CP136" i="23"/>
  <c r="CQ136" i="23"/>
  <c r="CR136" i="23"/>
  <c r="CS136" i="23"/>
  <c r="CT136" i="23"/>
  <c r="CU136" i="23"/>
  <c r="CV136" i="23"/>
  <c r="CW136" i="23"/>
  <c r="CX136" i="23"/>
  <c r="CY136" i="23"/>
  <c r="CZ136" i="23"/>
  <c r="DA136" i="23"/>
  <c r="DB136" i="23"/>
  <c r="DC136" i="23"/>
  <c r="DD136" i="23"/>
  <c r="DE136" i="23"/>
  <c r="DF136" i="23"/>
  <c r="DG136" i="23"/>
  <c r="DH136" i="23"/>
  <c r="DI136" i="23"/>
  <c r="DJ136" i="23"/>
  <c r="DK136" i="23"/>
  <c r="DL136" i="23"/>
  <c r="DM136" i="23"/>
  <c r="DN136" i="23"/>
  <c r="DO136" i="23"/>
  <c r="DP136" i="23"/>
  <c r="DQ136" i="23"/>
  <c r="DR136" i="23"/>
  <c r="DS136" i="23"/>
  <c r="DT136" i="23"/>
  <c r="DU136" i="23"/>
  <c r="DV136" i="23"/>
  <c r="DW136" i="23"/>
  <c r="DX136" i="23"/>
  <c r="DY136" i="23"/>
  <c r="DZ136" i="23"/>
  <c r="EA136" i="23"/>
  <c r="EB136" i="23"/>
  <c r="EC136" i="23"/>
  <c r="ED136" i="23"/>
  <c r="EE136" i="23"/>
  <c r="EF136" i="23"/>
  <c r="EG136" i="23"/>
  <c r="EH136" i="23"/>
  <c r="EI136" i="23"/>
  <c r="EJ136" i="23"/>
  <c r="EK136" i="23"/>
  <c r="EL136" i="23"/>
  <c r="EM136" i="23"/>
  <c r="EN136" i="23"/>
  <c r="EO136" i="23"/>
  <c r="EP136" i="23"/>
  <c r="EQ136" i="23"/>
  <c r="ER136" i="23"/>
  <c r="ES136" i="23"/>
  <c r="ET136" i="23"/>
  <c r="EU136" i="23"/>
  <c r="EV136" i="23"/>
  <c r="EW136" i="23"/>
  <c r="EX136" i="23"/>
  <c r="EY136" i="23"/>
  <c r="EZ136" i="23"/>
  <c r="FA136" i="23"/>
  <c r="FB136" i="23"/>
  <c r="FC136" i="23"/>
  <c r="FD136" i="23"/>
  <c r="FE136" i="23"/>
  <c r="FF136" i="23"/>
  <c r="FG136" i="23"/>
  <c r="FH136" i="23"/>
  <c r="FI136" i="23"/>
  <c r="FJ136" i="23"/>
  <c r="FK136" i="23"/>
  <c r="FL136" i="23"/>
  <c r="FM136" i="23"/>
  <c r="FN136" i="23"/>
  <c r="FO136" i="23"/>
  <c r="FP136" i="23"/>
  <c r="FQ136" i="23"/>
  <c r="FR136" i="23"/>
  <c r="FS136" i="23"/>
  <c r="FT136" i="23"/>
  <c r="FU136" i="23"/>
  <c r="FV136" i="23"/>
  <c r="FW136" i="23"/>
  <c r="FX136" i="23"/>
  <c r="FY136" i="23"/>
  <c r="FZ136" i="23"/>
  <c r="GA136" i="23"/>
  <c r="GB136" i="23"/>
  <c r="GC136" i="23"/>
  <c r="GD136" i="23"/>
  <c r="GE136" i="23"/>
  <c r="GF136" i="23"/>
  <c r="GG136" i="23"/>
  <c r="GH136" i="23"/>
  <c r="GI136" i="23"/>
  <c r="GJ136" i="23"/>
  <c r="GK136" i="23"/>
  <c r="GL136" i="23"/>
  <c r="GM136" i="23"/>
  <c r="GN136" i="23"/>
  <c r="GO136" i="23"/>
  <c r="GP136" i="23"/>
  <c r="GQ136" i="23"/>
  <c r="GR136" i="23"/>
  <c r="GS136" i="23"/>
  <c r="GT136" i="23"/>
  <c r="GU136" i="23"/>
  <c r="GV136" i="23"/>
  <c r="GW136" i="23"/>
  <c r="GX136" i="23"/>
  <c r="GY136" i="23"/>
  <c r="GZ136" i="23"/>
  <c r="HA136" i="23"/>
  <c r="HB136" i="23"/>
  <c r="HC136" i="23"/>
  <c r="HD136" i="23"/>
  <c r="HE136" i="23"/>
  <c r="HF136" i="23"/>
  <c r="HG136" i="23"/>
  <c r="HH136" i="23"/>
  <c r="HI136" i="23"/>
  <c r="HJ136" i="23"/>
  <c r="HK136" i="23"/>
  <c r="HL136" i="23"/>
  <c r="HM136" i="23"/>
  <c r="HN136" i="23"/>
  <c r="HO136" i="23"/>
  <c r="HP136" i="23"/>
  <c r="HQ136" i="23"/>
  <c r="HR136" i="23"/>
  <c r="HS136" i="23"/>
  <c r="HT136" i="23"/>
  <c r="HU136" i="23"/>
  <c r="HV136" i="23"/>
  <c r="HW136" i="23"/>
  <c r="HX136" i="23"/>
  <c r="HY136" i="23"/>
  <c r="HZ136" i="23"/>
  <c r="IA136" i="23"/>
  <c r="IB136" i="23"/>
  <c r="IC136" i="23"/>
  <c r="ID136" i="23"/>
  <c r="IE136" i="23"/>
  <c r="IF136" i="23"/>
  <c r="IG136" i="23"/>
  <c r="IH136" i="23"/>
  <c r="II136" i="23"/>
  <c r="IJ136" i="23"/>
  <c r="IK136" i="23"/>
  <c r="IL136" i="23"/>
  <c r="IM136" i="23"/>
  <c r="IN136" i="23"/>
  <c r="IO136" i="23"/>
  <c r="IP136" i="23"/>
  <c r="IQ136" i="23"/>
  <c r="IR136" i="23"/>
  <c r="IS136" i="23"/>
  <c r="IT136" i="23"/>
  <c r="IU136" i="23"/>
  <c r="IV136" i="23"/>
  <c r="A135" i="23"/>
  <c r="B135" i="23"/>
  <c r="C135" i="23"/>
  <c r="D135" i="23"/>
  <c r="E135" i="23"/>
  <c r="F135" i="23"/>
  <c r="G135" i="23"/>
  <c r="H135" i="23"/>
  <c r="I135" i="23"/>
  <c r="J135" i="23"/>
  <c r="K135" i="23"/>
  <c r="L135" i="23"/>
  <c r="M135" i="23"/>
  <c r="N135" i="23"/>
  <c r="O135" i="23"/>
  <c r="P135" i="23"/>
  <c r="Q135" i="23"/>
  <c r="R135" i="23"/>
  <c r="S135" i="23"/>
  <c r="T135" i="23"/>
  <c r="U135" i="23"/>
  <c r="V135" i="23"/>
  <c r="W135" i="23"/>
  <c r="X135" i="23"/>
  <c r="Y135" i="23"/>
  <c r="Z135" i="23"/>
  <c r="AA135" i="23"/>
  <c r="AB135" i="23"/>
  <c r="AC135" i="23"/>
  <c r="AD135" i="23"/>
  <c r="AE135" i="23"/>
  <c r="AF135" i="23"/>
  <c r="AG135" i="23"/>
  <c r="AH135" i="23"/>
  <c r="AI135" i="23"/>
  <c r="AJ135" i="23"/>
  <c r="AK135" i="23"/>
  <c r="AL135" i="23"/>
  <c r="AM135" i="23"/>
  <c r="AN135" i="23"/>
  <c r="AO135" i="23"/>
  <c r="AP135" i="23"/>
  <c r="AQ135" i="23"/>
  <c r="AR135" i="23"/>
  <c r="AS135" i="23"/>
  <c r="AT135" i="23"/>
  <c r="AU135" i="23"/>
  <c r="AV135" i="23"/>
  <c r="AW135" i="23"/>
  <c r="AX135" i="23"/>
  <c r="AY135" i="23"/>
  <c r="AZ135" i="23"/>
  <c r="BA135" i="23"/>
  <c r="BB135" i="23"/>
  <c r="BC135" i="23"/>
  <c r="BD135" i="23"/>
  <c r="BE135" i="23"/>
  <c r="BF135" i="23"/>
  <c r="BG135" i="23"/>
  <c r="BH135" i="23"/>
  <c r="BI135" i="23"/>
  <c r="BJ135" i="23"/>
  <c r="BK135" i="23"/>
  <c r="BL135" i="23"/>
  <c r="BM135" i="23"/>
  <c r="BN135" i="23"/>
  <c r="BO135" i="23"/>
  <c r="BP135" i="23"/>
  <c r="BQ135" i="23"/>
  <c r="BR135" i="23"/>
  <c r="BS135" i="23"/>
  <c r="BT135" i="23"/>
  <c r="BU135" i="23"/>
  <c r="BV135" i="23"/>
  <c r="BW135" i="23"/>
  <c r="BX135" i="23"/>
  <c r="BY135" i="23"/>
  <c r="BZ135" i="23"/>
  <c r="CA135" i="23"/>
  <c r="CB135" i="23"/>
  <c r="CC135" i="23"/>
  <c r="CD135" i="23"/>
  <c r="CE135" i="23"/>
  <c r="CF135" i="23"/>
  <c r="CG135" i="23"/>
  <c r="CH135" i="23"/>
  <c r="CI135" i="23"/>
  <c r="CJ135" i="23"/>
  <c r="CK135" i="23"/>
  <c r="CL135" i="23"/>
  <c r="CM135" i="23"/>
  <c r="CN135" i="23"/>
  <c r="CO135" i="23"/>
  <c r="CP135" i="23"/>
  <c r="CQ135" i="23"/>
  <c r="CR135" i="23"/>
  <c r="CS135" i="23"/>
  <c r="CT135" i="23"/>
  <c r="CU135" i="23"/>
  <c r="CV135" i="23"/>
  <c r="CW135" i="23"/>
  <c r="CX135" i="23"/>
  <c r="CY135" i="23"/>
  <c r="CZ135" i="23"/>
  <c r="DA135" i="23"/>
  <c r="DB135" i="23"/>
  <c r="DC135" i="23"/>
  <c r="DD135" i="23"/>
  <c r="DE135" i="23"/>
  <c r="DF135" i="23"/>
  <c r="DG135" i="23"/>
  <c r="DH135" i="23"/>
  <c r="DI135" i="23"/>
  <c r="DJ135" i="23"/>
  <c r="DK135" i="23"/>
  <c r="DL135" i="23"/>
  <c r="DM135" i="23"/>
  <c r="DN135" i="23"/>
  <c r="DO135" i="23"/>
  <c r="DP135" i="23"/>
  <c r="DQ135" i="23"/>
  <c r="DR135" i="23"/>
  <c r="DS135" i="23"/>
  <c r="DT135" i="23"/>
  <c r="DU135" i="23"/>
  <c r="DV135" i="23"/>
  <c r="DW135" i="23"/>
  <c r="DX135" i="23"/>
  <c r="DY135" i="23"/>
  <c r="DZ135" i="23"/>
  <c r="EA135" i="23"/>
  <c r="EB135" i="23"/>
  <c r="EC135" i="23"/>
  <c r="ED135" i="23"/>
  <c r="EE135" i="23"/>
  <c r="EF135" i="23"/>
  <c r="EG135" i="23"/>
  <c r="EH135" i="23"/>
  <c r="EI135" i="23"/>
  <c r="EJ135" i="23"/>
  <c r="EK135" i="23"/>
  <c r="EL135" i="23"/>
  <c r="EM135" i="23"/>
  <c r="EN135" i="23"/>
  <c r="EO135" i="23"/>
  <c r="EP135" i="23"/>
  <c r="EQ135" i="23"/>
  <c r="ER135" i="23"/>
  <c r="ES135" i="23"/>
  <c r="ET135" i="23"/>
  <c r="EU135" i="23"/>
  <c r="EV135" i="23"/>
  <c r="EW135" i="23"/>
  <c r="EX135" i="23"/>
  <c r="EY135" i="23"/>
  <c r="EZ135" i="23"/>
  <c r="FA135" i="23"/>
  <c r="FB135" i="23"/>
  <c r="FC135" i="23"/>
  <c r="FD135" i="23"/>
  <c r="FE135" i="23"/>
  <c r="FF135" i="23"/>
  <c r="FG135" i="23"/>
  <c r="FH135" i="23"/>
  <c r="FI135" i="23"/>
  <c r="FJ135" i="23"/>
  <c r="FK135" i="23"/>
  <c r="FL135" i="23"/>
  <c r="FM135" i="23"/>
  <c r="FN135" i="23"/>
  <c r="FO135" i="23"/>
  <c r="FP135" i="23"/>
  <c r="FQ135" i="23"/>
  <c r="FR135" i="23"/>
  <c r="FS135" i="23"/>
  <c r="FT135" i="23"/>
  <c r="FU135" i="23"/>
  <c r="FV135" i="23"/>
  <c r="FW135" i="23"/>
  <c r="FX135" i="23"/>
  <c r="FY135" i="23"/>
  <c r="FZ135" i="23"/>
  <c r="GA135" i="23"/>
  <c r="GB135" i="23"/>
  <c r="GC135" i="23"/>
  <c r="GD135" i="23"/>
  <c r="GE135" i="23"/>
  <c r="GF135" i="23"/>
  <c r="GG135" i="23"/>
  <c r="GH135" i="23"/>
  <c r="GI135" i="23"/>
  <c r="GJ135" i="23"/>
  <c r="GK135" i="23"/>
  <c r="GL135" i="23"/>
  <c r="GM135" i="23"/>
  <c r="GN135" i="23"/>
  <c r="GO135" i="23"/>
  <c r="GP135" i="23"/>
  <c r="GQ135" i="23"/>
  <c r="GR135" i="23"/>
  <c r="GS135" i="23"/>
  <c r="GT135" i="23"/>
  <c r="GU135" i="23"/>
  <c r="GV135" i="23"/>
  <c r="GW135" i="23"/>
  <c r="GX135" i="23"/>
  <c r="GY135" i="23"/>
  <c r="GZ135" i="23"/>
  <c r="HA135" i="23"/>
  <c r="HB135" i="23"/>
  <c r="HC135" i="23"/>
  <c r="HD135" i="23"/>
  <c r="HE135" i="23"/>
  <c r="HF135" i="23"/>
  <c r="HG135" i="23"/>
  <c r="HH135" i="23"/>
  <c r="HI135" i="23"/>
  <c r="HJ135" i="23"/>
  <c r="HK135" i="23"/>
  <c r="HL135" i="23"/>
  <c r="HM135" i="23"/>
  <c r="HN135" i="23"/>
  <c r="HO135" i="23"/>
  <c r="HP135" i="23"/>
  <c r="HQ135" i="23"/>
  <c r="HR135" i="23"/>
  <c r="HS135" i="23"/>
  <c r="HT135" i="23"/>
  <c r="HU135" i="23"/>
  <c r="HV135" i="23"/>
  <c r="HW135" i="23"/>
  <c r="HX135" i="23"/>
  <c r="HY135" i="23"/>
  <c r="HZ135" i="23"/>
  <c r="IA135" i="23"/>
  <c r="IB135" i="23"/>
  <c r="IC135" i="23"/>
  <c r="ID135" i="23"/>
  <c r="IE135" i="23"/>
  <c r="IF135" i="23"/>
  <c r="IG135" i="23"/>
  <c r="IH135" i="23"/>
  <c r="II135" i="23"/>
  <c r="IJ135" i="23"/>
  <c r="IK135" i="23"/>
  <c r="IL135" i="23"/>
  <c r="IM135" i="23"/>
  <c r="IN135" i="23"/>
  <c r="IO135" i="23"/>
  <c r="IP135" i="23"/>
  <c r="IQ135" i="23"/>
  <c r="IR135" i="23"/>
  <c r="IS135" i="23"/>
  <c r="IT135" i="23"/>
  <c r="IU135" i="23"/>
  <c r="IV135" i="23"/>
  <c r="A134" i="23"/>
  <c r="B134" i="23"/>
  <c r="C134" i="23"/>
  <c r="D134" i="23"/>
  <c r="E134" i="23"/>
  <c r="F134" i="23"/>
  <c r="G134" i="23"/>
  <c r="H134" i="23"/>
  <c r="I134" i="23"/>
  <c r="J134" i="23"/>
  <c r="K134" i="23"/>
  <c r="L134" i="23"/>
  <c r="M134" i="23"/>
  <c r="N134" i="23"/>
  <c r="O134" i="23"/>
  <c r="P134" i="23"/>
  <c r="Q134" i="23"/>
  <c r="R134" i="23"/>
  <c r="S134" i="23"/>
  <c r="T134" i="23"/>
  <c r="U134" i="23"/>
  <c r="V134" i="23"/>
  <c r="W134" i="23"/>
  <c r="X134" i="23"/>
  <c r="Y134" i="23"/>
  <c r="Z134" i="23"/>
  <c r="AA134" i="23"/>
  <c r="AB134" i="23"/>
  <c r="AC134" i="23"/>
  <c r="AD134" i="23"/>
  <c r="AE134" i="23"/>
  <c r="AF134" i="23"/>
  <c r="AG134" i="23"/>
  <c r="AH134" i="23"/>
  <c r="AI134" i="23"/>
  <c r="AJ134" i="23"/>
  <c r="AK134" i="23"/>
  <c r="AL134" i="23"/>
  <c r="AM134" i="23"/>
  <c r="AN134" i="23"/>
  <c r="AO134" i="23"/>
  <c r="AP134" i="23"/>
  <c r="AQ134" i="23"/>
  <c r="AR134" i="23"/>
  <c r="AS134" i="23"/>
  <c r="AT134" i="23"/>
  <c r="AU134" i="23"/>
  <c r="AV134" i="23"/>
  <c r="AW134" i="23"/>
  <c r="AX134" i="23"/>
  <c r="AY134" i="23"/>
  <c r="AZ134" i="23"/>
  <c r="BA134" i="23"/>
  <c r="BB134" i="23"/>
  <c r="BC134" i="23"/>
  <c r="BD134" i="23"/>
  <c r="BE134" i="23"/>
  <c r="BF134" i="23"/>
  <c r="BG134" i="23"/>
  <c r="BH134" i="23"/>
  <c r="BI134" i="23"/>
  <c r="BJ134" i="23"/>
  <c r="BK134" i="23"/>
  <c r="BL134" i="23"/>
  <c r="BM134" i="23"/>
  <c r="BN134" i="23"/>
  <c r="BO134" i="23"/>
  <c r="BP134" i="23"/>
  <c r="BQ134" i="23"/>
  <c r="BR134" i="23"/>
  <c r="BS134" i="23"/>
  <c r="BT134" i="23"/>
  <c r="BU134" i="23"/>
  <c r="BV134" i="23"/>
  <c r="BW134" i="23"/>
  <c r="BX134" i="23"/>
  <c r="BY134" i="23"/>
  <c r="BZ134" i="23"/>
  <c r="CA134" i="23"/>
  <c r="CB134" i="23"/>
  <c r="CC134" i="23"/>
  <c r="CD134" i="23"/>
  <c r="CE134" i="23"/>
  <c r="CF134" i="23"/>
  <c r="CG134" i="23"/>
  <c r="CH134" i="23"/>
  <c r="CI134" i="23"/>
  <c r="CJ134" i="23"/>
  <c r="CK134" i="23"/>
  <c r="CL134" i="23"/>
  <c r="CM134" i="23"/>
  <c r="CN134" i="23"/>
  <c r="CO134" i="23"/>
  <c r="CP134" i="23"/>
  <c r="CQ134" i="23"/>
  <c r="CR134" i="23"/>
  <c r="CS134" i="23"/>
  <c r="CT134" i="23"/>
  <c r="CU134" i="23"/>
  <c r="CV134" i="23"/>
  <c r="CW134" i="23"/>
  <c r="CX134" i="23"/>
  <c r="CY134" i="23"/>
  <c r="CZ134" i="23"/>
  <c r="DA134" i="23"/>
  <c r="DB134" i="23"/>
  <c r="DC134" i="23"/>
  <c r="DD134" i="23"/>
  <c r="DE134" i="23"/>
  <c r="DF134" i="23"/>
  <c r="DG134" i="23"/>
  <c r="DH134" i="23"/>
  <c r="DI134" i="23"/>
  <c r="DJ134" i="23"/>
  <c r="DK134" i="23"/>
  <c r="DL134" i="23"/>
  <c r="DM134" i="23"/>
  <c r="DN134" i="23"/>
  <c r="DO134" i="23"/>
  <c r="DP134" i="23"/>
  <c r="DQ134" i="23"/>
  <c r="DR134" i="23"/>
  <c r="DS134" i="23"/>
  <c r="DT134" i="23"/>
  <c r="DU134" i="23"/>
  <c r="DV134" i="23"/>
  <c r="DW134" i="23"/>
  <c r="DX134" i="23"/>
  <c r="DY134" i="23"/>
  <c r="DZ134" i="23"/>
  <c r="EA134" i="23"/>
  <c r="EB134" i="23"/>
  <c r="EC134" i="23"/>
  <c r="ED134" i="23"/>
  <c r="EE134" i="23"/>
  <c r="EF134" i="23"/>
  <c r="EG134" i="23"/>
  <c r="EH134" i="23"/>
  <c r="EI134" i="23"/>
  <c r="EJ134" i="23"/>
  <c r="EK134" i="23"/>
  <c r="EL134" i="23"/>
  <c r="EM134" i="23"/>
  <c r="EN134" i="23"/>
  <c r="EO134" i="23"/>
  <c r="EP134" i="23"/>
  <c r="EQ134" i="23"/>
  <c r="ER134" i="23"/>
  <c r="ES134" i="23"/>
  <c r="ET134" i="23"/>
  <c r="EU134" i="23"/>
  <c r="EV134" i="23"/>
  <c r="EW134" i="23"/>
  <c r="EX134" i="23"/>
  <c r="EY134" i="23"/>
  <c r="EZ134" i="23"/>
  <c r="FA134" i="23"/>
  <c r="FB134" i="23"/>
  <c r="FC134" i="23"/>
  <c r="FD134" i="23"/>
  <c r="FE134" i="23"/>
  <c r="FF134" i="23"/>
  <c r="FG134" i="23"/>
  <c r="FH134" i="23"/>
  <c r="FI134" i="23"/>
  <c r="FJ134" i="23"/>
  <c r="FK134" i="23"/>
  <c r="FL134" i="23"/>
  <c r="FM134" i="23"/>
  <c r="FN134" i="23"/>
  <c r="FO134" i="23"/>
  <c r="FP134" i="23"/>
  <c r="FQ134" i="23"/>
  <c r="FR134" i="23"/>
  <c r="FS134" i="23"/>
  <c r="FT134" i="23"/>
  <c r="FU134" i="23"/>
  <c r="FV134" i="23"/>
  <c r="FW134" i="23"/>
  <c r="FX134" i="23"/>
  <c r="FY134" i="23"/>
  <c r="FZ134" i="23"/>
  <c r="GA134" i="23"/>
  <c r="GB134" i="23"/>
  <c r="GC134" i="23"/>
  <c r="GD134" i="23"/>
  <c r="GE134" i="23"/>
  <c r="GF134" i="23"/>
  <c r="GG134" i="23"/>
  <c r="GH134" i="23"/>
  <c r="GI134" i="23"/>
  <c r="GJ134" i="23"/>
  <c r="GK134" i="23"/>
  <c r="GL134" i="23"/>
  <c r="GM134" i="23"/>
  <c r="GN134" i="23"/>
  <c r="GO134" i="23"/>
  <c r="GP134" i="23"/>
  <c r="GQ134" i="23"/>
  <c r="GR134" i="23"/>
  <c r="GS134" i="23"/>
  <c r="GT134" i="23"/>
  <c r="GU134" i="23"/>
  <c r="GV134" i="23"/>
  <c r="GW134" i="23"/>
  <c r="GX134" i="23"/>
  <c r="GY134" i="23"/>
  <c r="GZ134" i="23"/>
  <c r="HA134" i="23"/>
  <c r="HB134" i="23"/>
  <c r="HC134" i="23"/>
  <c r="HD134" i="23"/>
  <c r="HE134" i="23"/>
  <c r="HF134" i="23"/>
  <c r="HG134" i="23"/>
  <c r="HH134" i="23"/>
  <c r="HI134" i="23"/>
  <c r="HJ134" i="23"/>
  <c r="HK134" i="23"/>
  <c r="HL134" i="23"/>
  <c r="HM134" i="23"/>
  <c r="HN134" i="23"/>
  <c r="HO134" i="23"/>
  <c r="HP134" i="23"/>
  <c r="HQ134" i="23"/>
  <c r="HR134" i="23"/>
  <c r="HS134" i="23"/>
  <c r="HT134" i="23"/>
  <c r="HU134" i="23"/>
  <c r="HV134" i="23"/>
  <c r="HW134" i="23"/>
  <c r="HX134" i="23"/>
  <c r="HY134" i="23"/>
  <c r="HZ134" i="23"/>
  <c r="IA134" i="23"/>
  <c r="IB134" i="23"/>
  <c r="IC134" i="23"/>
  <c r="ID134" i="23"/>
  <c r="IE134" i="23"/>
  <c r="IF134" i="23"/>
  <c r="IG134" i="23"/>
  <c r="IH134" i="23"/>
  <c r="II134" i="23"/>
  <c r="IJ134" i="23"/>
  <c r="IK134" i="23"/>
  <c r="IL134" i="23"/>
  <c r="IM134" i="23"/>
  <c r="IN134" i="23"/>
  <c r="IO134" i="23"/>
  <c r="IP134" i="23"/>
  <c r="IQ134" i="23"/>
  <c r="IR134" i="23"/>
  <c r="IS134" i="23"/>
  <c r="IT134" i="23"/>
  <c r="IU134" i="23"/>
  <c r="IV134" i="23"/>
  <c r="A133" i="23"/>
  <c r="B133" i="23"/>
  <c r="C133" i="23"/>
  <c r="D133" i="23"/>
  <c r="E133" i="23"/>
  <c r="F133" i="23"/>
  <c r="G133" i="23"/>
  <c r="H133" i="23"/>
  <c r="I133" i="23"/>
  <c r="J133" i="23"/>
  <c r="K133" i="23"/>
  <c r="L133" i="23"/>
  <c r="M133" i="23"/>
  <c r="N133" i="23"/>
  <c r="O133" i="23"/>
  <c r="P133" i="23"/>
  <c r="Q133" i="23"/>
  <c r="R133" i="23"/>
  <c r="S133" i="23"/>
  <c r="T133" i="23"/>
  <c r="U133" i="23"/>
  <c r="V133" i="23"/>
  <c r="W133" i="23"/>
  <c r="X133" i="23"/>
  <c r="Y133" i="23"/>
  <c r="Z133" i="23"/>
  <c r="AA133" i="23"/>
  <c r="AB133" i="23"/>
  <c r="AC133" i="23"/>
  <c r="AD133" i="23"/>
  <c r="AE133" i="23"/>
  <c r="AF133" i="23"/>
  <c r="AG133" i="23"/>
  <c r="AH133" i="23"/>
  <c r="AI133" i="23"/>
  <c r="AJ133" i="23"/>
  <c r="AK133" i="23"/>
  <c r="AL133" i="23"/>
  <c r="AM133" i="23"/>
  <c r="AN133" i="23"/>
  <c r="AO133" i="23"/>
  <c r="AP133" i="23"/>
  <c r="AQ133" i="23"/>
  <c r="AR133" i="23"/>
  <c r="AS133" i="23"/>
  <c r="AT133" i="23"/>
  <c r="AU133" i="23"/>
  <c r="AV133" i="23"/>
  <c r="AW133" i="23"/>
  <c r="AX133" i="23"/>
  <c r="AY133" i="23"/>
  <c r="AZ133" i="23"/>
  <c r="BA133" i="23"/>
  <c r="BB133" i="23"/>
  <c r="BC133" i="23"/>
  <c r="BD133" i="23"/>
  <c r="BE133" i="23"/>
  <c r="BF133" i="23"/>
  <c r="BG133" i="23"/>
  <c r="BH133" i="23"/>
  <c r="BI133" i="23"/>
  <c r="BJ133" i="23"/>
  <c r="BK133" i="23"/>
  <c r="BL133" i="23"/>
  <c r="BM133" i="23"/>
  <c r="BN133" i="23"/>
  <c r="BO133" i="23"/>
  <c r="BP133" i="23"/>
  <c r="BQ133" i="23"/>
  <c r="BR133" i="23"/>
  <c r="BS133" i="23"/>
  <c r="BT133" i="23"/>
  <c r="BU133" i="23"/>
  <c r="BV133" i="23"/>
  <c r="BW133" i="23"/>
  <c r="BX133" i="23"/>
  <c r="BY133" i="23"/>
  <c r="BZ133" i="23"/>
  <c r="CA133" i="23"/>
  <c r="CB133" i="23"/>
  <c r="CC133" i="23"/>
  <c r="CD133" i="23"/>
  <c r="CE133" i="23"/>
  <c r="CF133" i="23"/>
  <c r="CG133" i="23"/>
  <c r="CH133" i="23"/>
  <c r="CI133" i="23"/>
  <c r="CJ133" i="23"/>
  <c r="CK133" i="23"/>
  <c r="CL133" i="23"/>
  <c r="CM133" i="23"/>
  <c r="CN133" i="23"/>
  <c r="CO133" i="23"/>
  <c r="CP133" i="23"/>
  <c r="CQ133" i="23"/>
  <c r="CR133" i="23"/>
  <c r="CS133" i="23"/>
  <c r="CT133" i="23"/>
  <c r="CU133" i="23"/>
  <c r="CV133" i="23"/>
  <c r="CW133" i="23"/>
  <c r="CX133" i="23"/>
  <c r="CY133" i="23"/>
  <c r="CZ133" i="23"/>
  <c r="DA133" i="23"/>
  <c r="DB133" i="23"/>
  <c r="DC133" i="23"/>
  <c r="DD133" i="23"/>
  <c r="DE133" i="23"/>
  <c r="DF133" i="23"/>
  <c r="DG133" i="23"/>
  <c r="DH133" i="23"/>
  <c r="DI133" i="23"/>
  <c r="DJ133" i="23"/>
  <c r="DK133" i="23"/>
  <c r="DL133" i="23"/>
  <c r="DM133" i="23"/>
  <c r="DN133" i="23"/>
  <c r="DO133" i="23"/>
  <c r="DP133" i="23"/>
  <c r="DQ133" i="23"/>
  <c r="DR133" i="23"/>
  <c r="DS133" i="23"/>
  <c r="DT133" i="23"/>
  <c r="DU133" i="23"/>
  <c r="DV133" i="23"/>
  <c r="DW133" i="23"/>
  <c r="DX133" i="23"/>
  <c r="DY133" i="23"/>
  <c r="DZ133" i="23"/>
  <c r="EA133" i="23"/>
  <c r="EB133" i="23"/>
  <c r="EC133" i="23"/>
  <c r="ED133" i="23"/>
  <c r="EE133" i="23"/>
  <c r="EF133" i="23"/>
  <c r="EG133" i="23"/>
  <c r="EH133" i="23"/>
  <c r="EI133" i="23"/>
  <c r="EJ133" i="23"/>
  <c r="EK133" i="23"/>
  <c r="EL133" i="23"/>
  <c r="EM133" i="23"/>
  <c r="EN133" i="23"/>
  <c r="EO133" i="23"/>
  <c r="EP133" i="23"/>
  <c r="EQ133" i="23"/>
  <c r="ER133" i="23"/>
  <c r="ES133" i="23"/>
  <c r="ET133" i="23"/>
  <c r="EU133" i="23"/>
  <c r="EV133" i="23"/>
  <c r="EW133" i="23"/>
  <c r="EX133" i="23"/>
  <c r="EY133" i="23"/>
  <c r="EZ133" i="23"/>
  <c r="FA133" i="23"/>
  <c r="FB133" i="23"/>
  <c r="FC133" i="23"/>
  <c r="FD133" i="23"/>
  <c r="FE133" i="23"/>
  <c r="FF133" i="23"/>
  <c r="FG133" i="23"/>
  <c r="FH133" i="23"/>
  <c r="FI133" i="23"/>
  <c r="FJ133" i="23"/>
  <c r="FK133" i="23"/>
  <c r="FL133" i="23"/>
  <c r="FM133" i="23"/>
  <c r="FN133" i="23"/>
  <c r="FO133" i="23"/>
  <c r="FP133" i="23"/>
  <c r="FQ133" i="23"/>
  <c r="FR133" i="23"/>
  <c r="FS133" i="23"/>
  <c r="FT133" i="23"/>
  <c r="FU133" i="23"/>
  <c r="FV133" i="23"/>
  <c r="FW133" i="23"/>
  <c r="FX133" i="23"/>
  <c r="FY133" i="23"/>
  <c r="FZ133" i="23"/>
  <c r="GA133" i="23"/>
  <c r="GB133" i="23"/>
  <c r="GC133" i="23"/>
  <c r="GD133" i="23"/>
  <c r="GE133" i="23"/>
  <c r="GF133" i="23"/>
  <c r="GG133" i="23"/>
  <c r="GH133" i="23"/>
  <c r="GI133" i="23"/>
  <c r="GJ133" i="23"/>
  <c r="GK133" i="23"/>
  <c r="GL133" i="23"/>
  <c r="GM133" i="23"/>
  <c r="GN133" i="23"/>
  <c r="GO133" i="23"/>
  <c r="GP133" i="23"/>
  <c r="GQ133" i="23"/>
  <c r="GR133" i="23"/>
  <c r="GS133" i="23"/>
  <c r="GT133" i="23"/>
  <c r="GU133" i="23"/>
  <c r="GV133" i="23"/>
  <c r="GW133" i="23"/>
  <c r="GX133" i="23"/>
  <c r="GY133" i="23"/>
  <c r="GZ133" i="23"/>
  <c r="HA133" i="23"/>
  <c r="HB133" i="23"/>
  <c r="HC133" i="23"/>
  <c r="HD133" i="23"/>
  <c r="HE133" i="23"/>
  <c r="HF133" i="23"/>
  <c r="HG133" i="23"/>
  <c r="HH133" i="23"/>
  <c r="HI133" i="23"/>
  <c r="HJ133" i="23"/>
  <c r="HK133" i="23"/>
  <c r="HL133" i="23"/>
  <c r="HM133" i="23"/>
  <c r="HN133" i="23"/>
  <c r="HO133" i="23"/>
  <c r="HP133" i="23"/>
  <c r="HQ133" i="23"/>
  <c r="HR133" i="23"/>
  <c r="HS133" i="23"/>
  <c r="HT133" i="23"/>
  <c r="HU133" i="23"/>
  <c r="HV133" i="23"/>
  <c r="HW133" i="23"/>
  <c r="HX133" i="23"/>
  <c r="HY133" i="23"/>
  <c r="HZ133" i="23"/>
  <c r="IA133" i="23"/>
  <c r="IB133" i="23"/>
  <c r="IC133" i="23"/>
  <c r="ID133" i="23"/>
  <c r="IE133" i="23"/>
  <c r="IF133" i="23"/>
  <c r="IG133" i="23"/>
  <c r="IH133" i="23"/>
  <c r="II133" i="23"/>
  <c r="IJ133" i="23"/>
  <c r="IK133" i="23"/>
  <c r="IL133" i="23"/>
  <c r="IM133" i="23"/>
  <c r="IN133" i="23"/>
  <c r="IO133" i="23"/>
  <c r="IP133" i="23"/>
  <c r="IQ133" i="23"/>
  <c r="IR133" i="23"/>
  <c r="IS133" i="23"/>
  <c r="IT133" i="23"/>
  <c r="IU133" i="23"/>
  <c r="IV133" i="23"/>
  <c r="A132" i="23"/>
  <c r="B132" i="23"/>
  <c r="C132" i="23"/>
  <c r="D132" i="23"/>
  <c r="E132" i="23"/>
  <c r="F132" i="23"/>
  <c r="G132" i="23"/>
  <c r="H132" i="23"/>
  <c r="I132" i="23"/>
  <c r="J132" i="23"/>
  <c r="K132" i="23"/>
  <c r="L132" i="23"/>
  <c r="M132" i="23"/>
  <c r="N132" i="23"/>
  <c r="O132" i="23"/>
  <c r="P132" i="23"/>
  <c r="Q132" i="23"/>
  <c r="R132" i="23"/>
  <c r="S132" i="23"/>
  <c r="T132" i="23"/>
  <c r="U132" i="23"/>
  <c r="V132" i="23"/>
  <c r="W132" i="23"/>
  <c r="X132" i="23"/>
  <c r="Y132" i="23"/>
  <c r="Z132" i="23"/>
  <c r="AA132" i="23"/>
  <c r="AB132" i="23"/>
  <c r="AC132" i="23"/>
  <c r="AD132" i="23"/>
  <c r="AE132" i="23"/>
  <c r="AF132" i="23"/>
  <c r="AG132" i="23"/>
  <c r="AH132" i="23"/>
  <c r="AI132" i="23"/>
  <c r="AJ132" i="23"/>
  <c r="AK132" i="23"/>
  <c r="AL132" i="23"/>
  <c r="AM132" i="23"/>
  <c r="AN132" i="23"/>
  <c r="AO132" i="23"/>
  <c r="AP132" i="23"/>
  <c r="AQ132" i="23"/>
  <c r="AR132" i="23"/>
  <c r="AS132" i="23"/>
  <c r="AT132" i="23"/>
  <c r="AU132" i="23"/>
  <c r="AV132" i="23"/>
  <c r="AW132" i="23"/>
  <c r="AX132" i="23"/>
  <c r="AY132" i="23"/>
  <c r="AZ132" i="23"/>
  <c r="BA132" i="23"/>
  <c r="BB132" i="23"/>
  <c r="BC132" i="23"/>
  <c r="BD132" i="23"/>
  <c r="BE132" i="23"/>
  <c r="BF132" i="23"/>
  <c r="BG132" i="23"/>
  <c r="BH132" i="23"/>
  <c r="BI132" i="23"/>
  <c r="BJ132" i="23"/>
  <c r="BK132" i="23"/>
  <c r="BL132" i="23"/>
  <c r="BM132" i="23"/>
  <c r="BN132" i="23"/>
  <c r="BO132" i="23"/>
  <c r="BP132" i="23"/>
  <c r="BQ132" i="23"/>
  <c r="BR132" i="23"/>
  <c r="BS132" i="23"/>
  <c r="BT132" i="23"/>
  <c r="BU132" i="23"/>
  <c r="BV132" i="23"/>
  <c r="BW132" i="23"/>
  <c r="BX132" i="23"/>
  <c r="BY132" i="23"/>
  <c r="BZ132" i="23"/>
  <c r="CA132" i="23"/>
  <c r="CB132" i="23"/>
  <c r="CC132" i="23"/>
  <c r="CD132" i="23"/>
  <c r="CE132" i="23"/>
  <c r="CF132" i="23"/>
  <c r="CG132" i="23"/>
  <c r="CH132" i="23"/>
  <c r="CI132" i="23"/>
  <c r="CJ132" i="23"/>
  <c r="CK132" i="23"/>
  <c r="CL132" i="23"/>
  <c r="CM132" i="23"/>
  <c r="CN132" i="23"/>
  <c r="CO132" i="23"/>
  <c r="CP132" i="23"/>
  <c r="CQ132" i="23"/>
  <c r="CR132" i="23"/>
  <c r="CS132" i="23"/>
  <c r="CT132" i="23"/>
  <c r="CU132" i="23"/>
  <c r="CV132" i="23"/>
  <c r="CW132" i="23"/>
  <c r="CX132" i="23"/>
  <c r="CY132" i="23"/>
  <c r="CZ132" i="23"/>
  <c r="DA132" i="23"/>
  <c r="DB132" i="23"/>
  <c r="DC132" i="23"/>
  <c r="DD132" i="23"/>
  <c r="DE132" i="23"/>
  <c r="DF132" i="23"/>
  <c r="DG132" i="23"/>
  <c r="DH132" i="23"/>
  <c r="DI132" i="23"/>
  <c r="DJ132" i="23"/>
  <c r="DK132" i="23"/>
  <c r="DL132" i="23"/>
  <c r="DM132" i="23"/>
  <c r="DN132" i="23"/>
  <c r="DO132" i="23"/>
  <c r="DP132" i="23"/>
  <c r="DQ132" i="23"/>
  <c r="DR132" i="23"/>
  <c r="DS132" i="23"/>
  <c r="DT132" i="23"/>
  <c r="DU132" i="23"/>
  <c r="DV132" i="23"/>
  <c r="DW132" i="23"/>
  <c r="DX132" i="23"/>
  <c r="DY132" i="23"/>
  <c r="DZ132" i="23"/>
  <c r="EA132" i="23"/>
  <c r="EB132" i="23"/>
  <c r="EC132" i="23"/>
  <c r="ED132" i="23"/>
  <c r="EE132" i="23"/>
  <c r="EF132" i="23"/>
  <c r="EG132" i="23"/>
  <c r="EH132" i="23"/>
  <c r="EI132" i="23"/>
  <c r="EJ132" i="23"/>
  <c r="EK132" i="23"/>
  <c r="EL132" i="23"/>
  <c r="EM132" i="23"/>
  <c r="EN132" i="23"/>
  <c r="EO132" i="23"/>
  <c r="EP132" i="23"/>
  <c r="EQ132" i="23"/>
  <c r="ER132" i="23"/>
  <c r="ES132" i="23"/>
  <c r="ET132" i="23"/>
  <c r="EU132" i="23"/>
  <c r="EV132" i="23"/>
  <c r="EW132" i="23"/>
  <c r="EX132" i="23"/>
  <c r="EY132" i="23"/>
  <c r="EZ132" i="23"/>
  <c r="FA132" i="23"/>
  <c r="FB132" i="23"/>
  <c r="FC132" i="23"/>
  <c r="FD132" i="23"/>
  <c r="FE132" i="23"/>
  <c r="FF132" i="23"/>
  <c r="FG132" i="23"/>
  <c r="FH132" i="23"/>
  <c r="FI132" i="23"/>
  <c r="FJ132" i="23"/>
  <c r="FK132" i="23"/>
  <c r="FL132" i="23"/>
  <c r="FM132" i="23"/>
  <c r="FN132" i="23"/>
  <c r="FO132" i="23"/>
  <c r="FP132" i="23"/>
  <c r="FQ132" i="23"/>
  <c r="FR132" i="23"/>
  <c r="FS132" i="23"/>
  <c r="FT132" i="23"/>
  <c r="FU132" i="23"/>
  <c r="FV132" i="23"/>
  <c r="FW132" i="23"/>
  <c r="FX132" i="23"/>
  <c r="FY132" i="23"/>
  <c r="FZ132" i="23"/>
  <c r="GA132" i="23"/>
  <c r="GB132" i="23"/>
  <c r="GC132" i="23"/>
  <c r="GD132" i="23"/>
  <c r="GE132" i="23"/>
  <c r="GF132" i="23"/>
  <c r="GG132" i="23"/>
  <c r="GH132" i="23"/>
  <c r="GI132" i="23"/>
  <c r="GJ132" i="23"/>
  <c r="GK132" i="23"/>
  <c r="GL132" i="23"/>
  <c r="GM132" i="23"/>
  <c r="GN132" i="23"/>
  <c r="GO132" i="23"/>
  <c r="GP132" i="23"/>
  <c r="GQ132" i="23"/>
  <c r="GR132" i="23"/>
  <c r="GS132" i="23"/>
  <c r="GT132" i="23"/>
  <c r="GU132" i="23"/>
  <c r="GV132" i="23"/>
  <c r="GW132" i="23"/>
  <c r="GX132" i="23"/>
  <c r="GY132" i="23"/>
  <c r="GZ132" i="23"/>
  <c r="HA132" i="23"/>
  <c r="HB132" i="23"/>
  <c r="HC132" i="23"/>
  <c r="HD132" i="23"/>
  <c r="HE132" i="23"/>
  <c r="HF132" i="23"/>
  <c r="HG132" i="23"/>
  <c r="HH132" i="23"/>
  <c r="HI132" i="23"/>
  <c r="HJ132" i="23"/>
  <c r="HK132" i="23"/>
  <c r="HL132" i="23"/>
  <c r="HM132" i="23"/>
  <c r="HN132" i="23"/>
  <c r="HO132" i="23"/>
  <c r="HP132" i="23"/>
  <c r="HQ132" i="23"/>
  <c r="HR132" i="23"/>
  <c r="HS132" i="23"/>
  <c r="HT132" i="23"/>
  <c r="HU132" i="23"/>
  <c r="HV132" i="23"/>
  <c r="HW132" i="23"/>
  <c r="HX132" i="23"/>
  <c r="HY132" i="23"/>
  <c r="HZ132" i="23"/>
  <c r="IA132" i="23"/>
  <c r="IB132" i="23"/>
  <c r="IC132" i="23"/>
  <c r="ID132" i="23"/>
  <c r="IE132" i="23"/>
  <c r="IF132" i="23"/>
  <c r="IG132" i="23"/>
  <c r="IH132" i="23"/>
  <c r="II132" i="23"/>
  <c r="IJ132" i="23"/>
  <c r="IK132" i="23"/>
  <c r="IL132" i="23"/>
  <c r="IM132" i="23"/>
  <c r="IN132" i="23"/>
  <c r="IO132" i="23"/>
  <c r="IP132" i="23"/>
  <c r="IQ132" i="23"/>
  <c r="IR132" i="23"/>
  <c r="IS132" i="23"/>
  <c r="IT132" i="23"/>
  <c r="IU132" i="23"/>
  <c r="IV132" i="23"/>
  <c r="A131" i="23"/>
  <c r="B131" i="23"/>
  <c r="C131" i="23"/>
  <c r="D131" i="23"/>
  <c r="E131" i="23"/>
  <c r="F131" i="23"/>
  <c r="G131" i="23"/>
  <c r="H131" i="23"/>
  <c r="I131" i="23"/>
  <c r="J131" i="23"/>
  <c r="K131" i="23"/>
  <c r="L131" i="23"/>
  <c r="M131" i="23"/>
  <c r="N131" i="23"/>
  <c r="O131" i="23"/>
  <c r="P131" i="23"/>
  <c r="Q131" i="23"/>
  <c r="R131" i="23"/>
  <c r="S131" i="23"/>
  <c r="T131" i="23"/>
  <c r="U131" i="23"/>
  <c r="V131" i="23"/>
  <c r="W131" i="23"/>
  <c r="X131" i="23"/>
  <c r="Y131" i="23"/>
  <c r="Z131" i="23"/>
  <c r="AA131" i="23"/>
  <c r="AB131" i="23"/>
  <c r="AC131" i="23"/>
  <c r="AD131" i="23"/>
  <c r="AE131" i="23"/>
  <c r="AF131" i="23"/>
  <c r="AG131" i="23"/>
  <c r="AH131" i="23"/>
  <c r="AI131" i="23"/>
  <c r="AJ131" i="23"/>
  <c r="AK131" i="23"/>
  <c r="AL131" i="23"/>
  <c r="AM131" i="23"/>
  <c r="AN131" i="23"/>
  <c r="AO131" i="23"/>
  <c r="AP131" i="23"/>
  <c r="AQ131" i="23"/>
  <c r="AR131" i="23"/>
  <c r="AS131" i="23"/>
  <c r="AT131" i="23"/>
  <c r="AU131" i="23"/>
  <c r="AV131" i="23"/>
  <c r="AW131" i="23"/>
  <c r="AX131" i="23"/>
  <c r="AY131" i="23"/>
  <c r="AZ131" i="23"/>
  <c r="BA131" i="23"/>
  <c r="BB131" i="23"/>
  <c r="BC131" i="23"/>
  <c r="BD131" i="23"/>
  <c r="BE131" i="23"/>
  <c r="BF131" i="23"/>
  <c r="BG131" i="23"/>
  <c r="BH131" i="23"/>
  <c r="BI131" i="23"/>
  <c r="BJ131" i="23"/>
  <c r="BK131" i="23"/>
  <c r="BL131" i="23"/>
  <c r="BM131" i="23"/>
  <c r="BN131" i="23"/>
  <c r="BO131" i="23"/>
  <c r="BP131" i="23"/>
  <c r="BQ131" i="23"/>
  <c r="BR131" i="23"/>
  <c r="BS131" i="23"/>
  <c r="BT131" i="23"/>
  <c r="BU131" i="23"/>
  <c r="BV131" i="23"/>
  <c r="BW131" i="23"/>
  <c r="BX131" i="23"/>
  <c r="BY131" i="23"/>
  <c r="BZ131" i="23"/>
  <c r="CA131" i="23"/>
  <c r="CB131" i="23"/>
  <c r="CC131" i="23"/>
  <c r="CD131" i="23"/>
  <c r="CE131" i="23"/>
  <c r="CF131" i="23"/>
  <c r="CG131" i="23"/>
  <c r="CH131" i="23"/>
  <c r="CI131" i="23"/>
  <c r="CJ131" i="23"/>
  <c r="CK131" i="23"/>
  <c r="CL131" i="23"/>
  <c r="CM131" i="23"/>
  <c r="CN131" i="23"/>
  <c r="CO131" i="23"/>
  <c r="CP131" i="23"/>
  <c r="CQ131" i="23"/>
  <c r="CR131" i="23"/>
  <c r="CS131" i="23"/>
  <c r="CT131" i="23"/>
  <c r="CU131" i="23"/>
  <c r="CV131" i="23"/>
  <c r="CW131" i="23"/>
  <c r="CX131" i="23"/>
  <c r="CY131" i="23"/>
  <c r="CZ131" i="23"/>
  <c r="DA131" i="23"/>
  <c r="DB131" i="23"/>
  <c r="DC131" i="23"/>
  <c r="DD131" i="23"/>
  <c r="DE131" i="23"/>
  <c r="DF131" i="23"/>
  <c r="DG131" i="23"/>
  <c r="DH131" i="23"/>
  <c r="DI131" i="23"/>
  <c r="DJ131" i="23"/>
  <c r="DK131" i="23"/>
  <c r="DL131" i="23"/>
  <c r="DM131" i="23"/>
  <c r="DN131" i="23"/>
  <c r="DO131" i="23"/>
  <c r="DP131" i="23"/>
  <c r="DQ131" i="23"/>
  <c r="DR131" i="23"/>
  <c r="DS131" i="23"/>
  <c r="DT131" i="23"/>
  <c r="DU131" i="23"/>
  <c r="DV131" i="23"/>
  <c r="DW131" i="23"/>
  <c r="DX131" i="23"/>
  <c r="DY131" i="23"/>
  <c r="DZ131" i="23"/>
  <c r="EA131" i="23"/>
  <c r="EB131" i="23"/>
  <c r="EC131" i="23"/>
  <c r="ED131" i="23"/>
  <c r="EE131" i="23"/>
  <c r="EF131" i="23"/>
  <c r="EG131" i="23"/>
  <c r="EH131" i="23"/>
  <c r="EI131" i="23"/>
  <c r="EJ131" i="23"/>
  <c r="EK131" i="23"/>
  <c r="EL131" i="23"/>
  <c r="EM131" i="23"/>
  <c r="EN131" i="23"/>
  <c r="EO131" i="23"/>
  <c r="EP131" i="23"/>
  <c r="EQ131" i="23"/>
  <c r="ER131" i="23"/>
  <c r="ES131" i="23"/>
  <c r="ET131" i="23"/>
  <c r="EU131" i="23"/>
  <c r="EV131" i="23"/>
  <c r="EW131" i="23"/>
  <c r="EX131" i="23"/>
  <c r="EY131" i="23"/>
  <c r="EZ131" i="23"/>
  <c r="FA131" i="23"/>
  <c r="FB131" i="23"/>
  <c r="FC131" i="23"/>
  <c r="FD131" i="23"/>
  <c r="FE131" i="23"/>
  <c r="FF131" i="23"/>
  <c r="FG131" i="23"/>
  <c r="FH131" i="23"/>
  <c r="FI131" i="23"/>
  <c r="FJ131" i="23"/>
  <c r="FK131" i="23"/>
  <c r="FL131" i="23"/>
  <c r="FM131" i="23"/>
  <c r="FN131" i="23"/>
  <c r="FO131" i="23"/>
  <c r="FP131" i="23"/>
  <c r="FQ131" i="23"/>
  <c r="FR131" i="23"/>
  <c r="FS131" i="23"/>
  <c r="FT131" i="23"/>
  <c r="FU131" i="23"/>
  <c r="FV131" i="23"/>
  <c r="FW131" i="23"/>
  <c r="FX131" i="23"/>
  <c r="FY131" i="23"/>
  <c r="FZ131" i="23"/>
  <c r="GA131" i="23"/>
  <c r="GB131" i="23"/>
  <c r="GC131" i="23"/>
  <c r="GD131" i="23"/>
  <c r="GE131" i="23"/>
  <c r="GF131" i="23"/>
  <c r="GG131" i="23"/>
  <c r="GH131" i="23"/>
  <c r="GI131" i="23"/>
  <c r="GJ131" i="23"/>
  <c r="GK131" i="23"/>
  <c r="GL131" i="23"/>
  <c r="GM131" i="23"/>
  <c r="GN131" i="23"/>
  <c r="GO131" i="23"/>
  <c r="GP131" i="23"/>
  <c r="GQ131" i="23"/>
  <c r="GR131" i="23"/>
  <c r="GS131" i="23"/>
  <c r="GT131" i="23"/>
  <c r="GU131" i="23"/>
  <c r="GV131" i="23"/>
  <c r="GW131" i="23"/>
  <c r="GX131" i="23"/>
  <c r="GY131" i="23"/>
  <c r="GZ131" i="23"/>
  <c r="HA131" i="23"/>
  <c r="HB131" i="23"/>
  <c r="HC131" i="23"/>
  <c r="HD131" i="23"/>
  <c r="HE131" i="23"/>
  <c r="HF131" i="23"/>
  <c r="HG131" i="23"/>
  <c r="HH131" i="23"/>
  <c r="HI131" i="23"/>
  <c r="HJ131" i="23"/>
  <c r="HK131" i="23"/>
  <c r="HL131" i="23"/>
  <c r="HM131" i="23"/>
  <c r="HN131" i="23"/>
  <c r="HO131" i="23"/>
  <c r="HP131" i="23"/>
  <c r="HQ131" i="23"/>
  <c r="HR131" i="23"/>
  <c r="HS131" i="23"/>
  <c r="HT131" i="23"/>
  <c r="HU131" i="23"/>
  <c r="HV131" i="23"/>
  <c r="HW131" i="23"/>
  <c r="HX131" i="23"/>
  <c r="HY131" i="23"/>
  <c r="HZ131" i="23"/>
  <c r="IA131" i="23"/>
  <c r="IB131" i="23"/>
  <c r="IC131" i="23"/>
  <c r="ID131" i="23"/>
  <c r="IE131" i="23"/>
  <c r="IF131" i="23"/>
  <c r="IG131" i="23"/>
  <c r="IH131" i="23"/>
  <c r="II131" i="23"/>
  <c r="IJ131" i="23"/>
  <c r="IK131" i="23"/>
  <c r="IL131" i="23"/>
  <c r="IM131" i="23"/>
  <c r="IN131" i="23"/>
  <c r="IO131" i="23"/>
  <c r="IP131" i="23"/>
  <c r="IQ131" i="23"/>
  <c r="IR131" i="23"/>
  <c r="IS131" i="23"/>
  <c r="IT131" i="23"/>
  <c r="IU131" i="23"/>
  <c r="IV131" i="23"/>
  <c r="A130" i="23"/>
  <c r="B130" i="23"/>
  <c r="C130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AA130" i="23"/>
  <c r="AB130" i="23"/>
  <c r="AC130" i="23"/>
  <c r="AD130" i="23"/>
  <c r="AE130" i="23"/>
  <c r="AF130" i="23"/>
  <c r="AG130" i="23"/>
  <c r="AH130" i="23"/>
  <c r="AI130" i="23"/>
  <c r="AJ130" i="23"/>
  <c r="AK130" i="23"/>
  <c r="AL130" i="23"/>
  <c r="AM130" i="23"/>
  <c r="AN130" i="23"/>
  <c r="AO130" i="23"/>
  <c r="AP130" i="23"/>
  <c r="AQ130" i="23"/>
  <c r="AR130" i="23"/>
  <c r="AS130" i="23"/>
  <c r="AT130" i="23"/>
  <c r="AU130" i="23"/>
  <c r="AV130" i="23"/>
  <c r="AW130" i="23"/>
  <c r="AX130" i="23"/>
  <c r="AY130" i="23"/>
  <c r="AZ130" i="23"/>
  <c r="BA130" i="23"/>
  <c r="BB130" i="23"/>
  <c r="BC130" i="23"/>
  <c r="BD130" i="23"/>
  <c r="BE130" i="23"/>
  <c r="BF130" i="23"/>
  <c r="BG130" i="23"/>
  <c r="BH130" i="23"/>
  <c r="BI130" i="23"/>
  <c r="BJ130" i="23"/>
  <c r="BK130" i="23"/>
  <c r="BL130" i="23"/>
  <c r="BM130" i="23"/>
  <c r="BN130" i="23"/>
  <c r="BO130" i="23"/>
  <c r="BP130" i="23"/>
  <c r="BQ130" i="23"/>
  <c r="BR130" i="23"/>
  <c r="BS130" i="23"/>
  <c r="BT130" i="23"/>
  <c r="BU130" i="23"/>
  <c r="BV130" i="23"/>
  <c r="BW130" i="23"/>
  <c r="BX130" i="23"/>
  <c r="BY130" i="23"/>
  <c r="BZ130" i="23"/>
  <c r="CA130" i="23"/>
  <c r="CB130" i="23"/>
  <c r="CC130" i="23"/>
  <c r="CD130" i="23"/>
  <c r="CE130" i="23"/>
  <c r="CF130" i="23"/>
  <c r="CG130" i="23"/>
  <c r="CH130" i="23"/>
  <c r="CI130" i="23"/>
  <c r="CJ130" i="23"/>
  <c r="CK130" i="23"/>
  <c r="CL130" i="23"/>
  <c r="CM130" i="23"/>
  <c r="CN130" i="23"/>
  <c r="CO130" i="23"/>
  <c r="CP130" i="23"/>
  <c r="CQ130" i="23"/>
  <c r="CR130" i="23"/>
  <c r="CS130" i="23"/>
  <c r="CT130" i="23"/>
  <c r="CU130" i="23"/>
  <c r="CV130" i="23"/>
  <c r="CW130" i="23"/>
  <c r="CX130" i="23"/>
  <c r="CY130" i="23"/>
  <c r="CZ130" i="23"/>
  <c r="DA130" i="23"/>
  <c r="DB130" i="23"/>
  <c r="DC130" i="23"/>
  <c r="DD130" i="23"/>
  <c r="DE130" i="23"/>
  <c r="DF130" i="23"/>
  <c r="DG130" i="23"/>
  <c r="DH130" i="23"/>
  <c r="DI130" i="23"/>
  <c r="DJ130" i="23"/>
  <c r="DK130" i="23"/>
  <c r="DL130" i="23"/>
  <c r="DM130" i="23"/>
  <c r="DN130" i="23"/>
  <c r="DO130" i="23"/>
  <c r="DP130" i="23"/>
  <c r="DQ130" i="23"/>
  <c r="DR130" i="23"/>
  <c r="DS130" i="23"/>
  <c r="DT130" i="23"/>
  <c r="DU130" i="23"/>
  <c r="DV130" i="23"/>
  <c r="DW130" i="23"/>
  <c r="DX130" i="23"/>
  <c r="DY130" i="23"/>
  <c r="DZ130" i="23"/>
  <c r="EA130" i="23"/>
  <c r="EB130" i="23"/>
  <c r="EC130" i="23"/>
  <c r="ED130" i="23"/>
  <c r="EE130" i="23"/>
  <c r="EF130" i="23"/>
  <c r="EG130" i="23"/>
  <c r="EH130" i="23"/>
  <c r="EI130" i="23"/>
  <c r="EJ130" i="23"/>
  <c r="EK130" i="23"/>
  <c r="EL130" i="23"/>
  <c r="EM130" i="23"/>
  <c r="EN130" i="23"/>
  <c r="EO130" i="23"/>
  <c r="EP130" i="23"/>
  <c r="EQ130" i="23"/>
  <c r="ER130" i="23"/>
  <c r="ES130" i="23"/>
  <c r="ET130" i="23"/>
  <c r="EU130" i="23"/>
  <c r="EV130" i="23"/>
  <c r="EW130" i="23"/>
  <c r="EX130" i="23"/>
  <c r="EY130" i="23"/>
  <c r="EZ130" i="23"/>
  <c r="FA130" i="23"/>
  <c r="FB130" i="23"/>
  <c r="FC130" i="23"/>
  <c r="FD130" i="23"/>
  <c r="FE130" i="23"/>
  <c r="FF130" i="23"/>
  <c r="FG130" i="23"/>
  <c r="FH130" i="23"/>
  <c r="FI130" i="23"/>
  <c r="FJ130" i="23"/>
  <c r="FK130" i="23"/>
  <c r="FL130" i="23"/>
  <c r="FM130" i="23"/>
  <c r="FN130" i="23"/>
  <c r="FO130" i="23"/>
  <c r="FP130" i="23"/>
  <c r="FQ130" i="23"/>
  <c r="FR130" i="23"/>
  <c r="FS130" i="23"/>
  <c r="FT130" i="23"/>
  <c r="FU130" i="23"/>
  <c r="FV130" i="23"/>
  <c r="FW130" i="23"/>
  <c r="FX130" i="23"/>
  <c r="FY130" i="23"/>
  <c r="FZ130" i="23"/>
  <c r="GA130" i="23"/>
  <c r="GB130" i="23"/>
  <c r="GC130" i="23"/>
  <c r="GD130" i="23"/>
  <c r="GE130" i="23"/>
  <c r="GF130" i="23"/>
  <c r="GG130" i="23"/>
  <c r="GH130" i="23"/>
  <c r="GI130" i="23"/>
  <c r="GJ130" i="23"/>
  <c r="GK130" i="23"/>
  <c r="GL130" i="23"/>
  <c r="GM130" i="23"/>
  <c r="GN130" i="23"/>
  <c r="GO130" i="23"/>
  <c r="GP130" i="23"/>
  <c r="GQ130" i="23"/>
  <c r="GR130" i="23"/>
  <c r="GS130" i="23"/>
  <c r="GT130" i="23"/>
  <c r="GU130" i="23"/>
  <c r="GV130" i="23"/>
  <c r="GW130" i="23"/>
  <c r="GX130" i="23"/>
  <c r="GY130" i="23"/>
  <c r="GZ130" i="23"/>
  <c r="HA130" i="23"/>
  <c r="HB130" i="23"/>
  <c r="HC130" i="23"/>
  <c r="HD130" i="23"/>
  <c r="HE130" i="23"/>
  <c r="HF130" i="23"/>
  <c r="HG130" i="23"/>
  <c r="HH130" i="23"/>
  <c r="HI130" i="23"/>
  <c r="HJ130" i="23"/>
  <c r="HK130" i="23"/>
  <c r="HL130" i="23"/>
  <c r="HM130" i="23"/>
  <c r="HN130" i="23"/>
  <c r="HO130" i="23"/>
  <c r="HP130" i="23"/>
  <c r="HQ130" i="23"/>
  <c r="HR130" i="23"/>
  <c r="HS130" i="23"/>
  <c r="HT130" i="23"/>
  <c r="HU130" i="23"/>
  <c r="HV130" i="23"/>
  <c r="HW130" i="23"/>
  <c r="HX130" i="23"/>
  <c r="HY130" i="23"/>
  <c r="HZ130" i="23"/>
  <c r="IA130" i="23"/>
  <c r="IB130" i="23"/>
  <c r="IC130" i="23"/>
  <c r="ID130" i="23"/>
  <c r="IE130" i="23"/>
  <c r="IF130" i="23"/>
  <c r="IG130" i="23"/>
  <c r="IH130" i="23"/>
  <c r="II130" i="23"/>
  <c r="IJ130" i="23"/>
  <c r="IK130" i="23"/>
  <c r="IL130" i="23"/>
  <c r="IM130" i="23"/>
  <c r="IN130" i="23"/>
  <c r="IO130" i="23"/>
  <c r="IP130" i="23"/>
  <c r="IQ130" i="23"/>
  <c r="IR130" i="23"/>
  <c r="IS130" i="23"/>
  <c r="IT130" i="23"/>
  <c r="IU130" i="23"/>
  <c r="IV130" i="23"/>
  <c r="A129" i="23"/>
  <c r="B129" i="23"/>
  <c r="C129" i="23"/>
  <c r="D129" i="23"/>
  <c r="E129" i="23"/>
  <c r="F129" i="23"/>
  <c r="G129" i="23"/>
  <c r="H129" i="23"/>
  <c r="I129" i="23"/>
  <c r="J129" i="23"/>
  <c r="K129" i="23"/>
  <c r="L129" i="23"/>
  <c r="M129" i="23"/>
  <c r="N129" i="23"/>
  <c r="O129" i="23"/>
  <c r="P129" i="23"/>
  <c r="Q129" i="23"/>
  <c r="R129" i="23"/>
  <c r="S129" i="23"/>
  <c r="T129" i="23"/>
  <c r="U129" i="23"/>
  <c r="V129" i="23"/>
  <c r="W129" i="23"/>
  <c r="X129" i="23"/>
  <c r="Y129" i="23"/>
  <c r="Z129" i="23"/>
  <c r="AA129" i="23"/>
  <c r="AB129" i="23"/>
  <c r="AC129" i="23"/>
  <c r="AD129" i="23"/>
  <c r="AE129" i="23"/>
  <c r="AF129" i="23"/>
  <c r="AG129" i="23"/>
  <c r="AH129" i="23"/>
  <c r="AI129" i="23"/>
  <c r="AJ129" i="23"/>
  <c r="AK129" i="23"/>
  <c r="AL129" i="23"/>
  <c r="AM129" i="23"/>
  <c r="AN129" i="23"/>
  <c r="AO129" i="23"/>
  <c r="AP129" i="23"/>
  <c r="AQ129" i="23"/>
  <c r="AR129" i="23"/>
  <c r="AS129" i="23"/>
  <c r="AT129" i="23"/>
  <c r="AU129" i="23"/>
  <c r="AV129" i="23"/>
  <c r="AW129" i="23"/>
  <c r="AX129" i="23"/>
  <c r="AY129" i="23"/>
  <c r="AZ129" i="23"/>
  <c r="BA129" i="23"/>
  <c r="BB129" i="23"/>
  <c r="BC129" i="23"/>
  <c r="BD129" i="23"/>
  <c r="BE129" i="23"/>
  <c r="BF129" i="23"/>
  <c r="BG129" i="23"/>
  <c r="BH129" i="23"/>
  <c r="BI129" i="23"/>
  <c r="BJ129" i="23"/>
  <c r="BK129" i="23"/>
  <c r="BL129" i="23"/>
  <c r="BM129" i="23"/>
  <c r="BN129" i="23"/>
  <c r="BO129" i="23"/>
  <c r="BP129" i="23"/>
  <c r="BQ129" i="23"/>
  <c r="BR129" i="23"/>
  <c r="BS129" i="23"/>
  <c r="BT129" i="23"/>
  <c r="BU129" i="23"/>
  <c r="BV129" i="23"/>
  <c r="BW129" i="23"/>
  <c r="BX129" i="23"/>
  <c r="BY129" i="23"/>
  <c r="BZ129" i="23"/>
  <c r="CA129" i="23"/>
  <c r="CB129" i="23"/>
  <c r="CC129" i="23"/>
  <c r="CD129" i="23"/>
  <c r="CE129" i="23"/>
  <c r="CF129" i="23"/>
  <c r="CG129" i="23"/>
  <c r="CH129" i="23"/>
  <c r="CI129" i="23"/>
  <c r="CJ129" i="23"/>
  <c r="CK129" i="23"/>
  <c r="CL129" i="23"/>
  <c r="CM129" i="23"/>
  <c r="CN129" i="23"/>
  <c r="CO129" i="23"/>
  <c r="CP129" i="23"/>
  <c r="CQ129" i="23"/>
  <c r="CR129" i="23"/>
  <c r="CS129" i="23"/>
  <c r="CT129" i="23"/>
  <c r="CU129" i="23"/>
  <c r="CV129" i="23"/>
  <c r="CW129" i="23"/>
  <c r="CX129" i="23"/>
  <c r="CY129" i="23"/>
  <c r="CZ129" i="23"/>
  <c r="DA129" i="23"/>
  <c r="DB129" i="23"/>
  <c r="DC129" i="23"/>
  <c r="DD129" i="23"/>
  <c r="DE129" i="23"/>
  <c r="DF129" i="23"/>
  <c r="DG129" i="23"/>
  <c r="DH129" i="23"/>
  <c r="DI129" i="23"/>
  <c r="DJ129" i="23"/>
  <c r="DK129" i="23"/>
  <c r="DL129" i="23"/>
  <c r="DM129" i="23"/>
  <c r="DN129" i="23"/>
  <c r="DO129" i="23"/>
  <c r="DP129" i="23"/>
  <c r="DQ129" i="23"/>
  <c r="DR129" i="23"/>
  <c r="DS129" i="23"/>
  <c r="DT129" i="23"/>
  <c r="DU129" i="23"/>
  <c r="DV129" i="23"/>
  <c r="DW129" i="23"/>
  <c r="DX129" i="23"/>
  <c r="DY129" i="23"/>
  <c r="DZ129" i="23"/>
  <c r="EA129" i="23"/>
  <c r="EB129" i="23"/>
  <c r="EC129" i="23"/>
  <c r="ED129" i="23"/>
  <c r="EE129" i="23"/>
  <c r="EF129" i="23"/>
  <c r="EG129" i="23"/>
  <c r="EH129" i="23"/>
  <c r="EI129" i="23"/>
  <c r="EJ129" i="23"/>
  <c r="EK129" i="23"/>
  <c r="EL129" i="23"/>
  <c r="EM129" i="23"/>
  <c r="EN129" i="23"/>
  <c r="EO129" i="23"/>
  <c r="EP129" i="23"/>
  <c r="EQ129" i="23"/>
  <c r="ER129" i="23"/>
  <c r="ES129" i="23"/>
  <c r="ET129" i="23"/>
  <c r="EU129" i="23"/>
  <c r="EV129" i="23"/>
  <c r="EW129" i="23"/>
  <c r="EX129" i="23"/>
  <c r="EY129" i="23"/>
  <c r="EZ129" i="23"/>
  <c r="FA129" i="23"/>
  <c r="FB129" i="23"/>
  <c r="FC129" i="23"/>
  <c r="FD129" i="23"/>
  <c r="FE129" i="23"/>
  <c r="FF129" i="23"/>
  <c r="FG129" i="23"/>
  <c r="FH129" i="23"/>
  <c r="FI129" i="23"/>
  <c r="FJ129" i="23"/>
  <c r="FK129" i="23"/>
  <c r="FL129" i="23"/>
  <c r="FM129" i="23"/>
  <c r="FN129" i="23"/>
  <c r="FO129" i="23"/>
  <c r="FP129" i="23"/>
  <c r="FQ129" i="23"/>
  <c r="FR129" i="23"/>
  <c r="FS129" i="23"/>
  <c r="FT129" i="23"/>
  <c r="FU129" i="23"/>
  <c r="FV129" i="23"/>
  <c r="FW129" i="23"/>
  <c r="FX129" i="23"/>
  <c r="FY129" i="23"/>
  <c r="FZ129" i="23"/>
  <c r="GA129" i="23"/>
  <c r="GB129" i="23"/>
  <c r="GC129" i="23"/>
  <c r="GD129" i="23"/>
  <c r="GE129" i="23"/>
  <c r="GF129" i="23"/>
  <c r="GG129" i="23"/>
  <c r="GH129" i="23"/>
  <c r="GI129" i="23"/>
  <c r="GJ129" i="23"/>
  <c r="GK129" i="23"/>
  <c r="GL129" i="23"/>
  <c r="GM129" i="23"/>
  <c r="GN129" i="23"/>
  <c r="GO129" i="23"/>
  <c r="GP129" i="23"/>
  <c r="GQ129" i="23"/>
  <c r="GR129" i="23"/>
  <c r="GS129" i="23"/>
  <c r="GT129" i="23"/>
  <c r="GU129" i="23"/>
  <c r="GV129" i="23"/>
  <c r="GW129" i="23"/>
  <c r="GX129" i="23"/>
  <c r="GY129" i="23"/>
  <c r="GZ129" i="23"/>
  <c r="HA129" i="23"/>
  <c r="HB129" i="23"/>
  <c r="HC129" i="23"/>
  <c r="HD129" i="23"/>
  <c r="HE129" i="23"/>
  <c r="HF129" i="23"/>
  <c r="HG129" i="23"/>
  <c r="HH129" i="23"/>
  <c r="HI129" i="23"/>
  <c r="HJ129" i="23"/>
  <c r="HK129" i="23"/>
  <c r="HL129" i="23"/>
  <c r="HM129" i="23"/>
  <c r="HN129" i="23"/>
  <c r="HO129" i="23"/>
  <c r="HP129" i="23"/>
  <c r="HQ129" i="23"/>
  <c r="HR129" i="23"/>
  <c r="HS129" i="23"/>
  <c r="HT129" i="23"/>
  <c r="HU129" i="23"/>
  <c r="HV129" i="23"/>
  <c r="HW129" i="23"/>
  <c r="HX129" i="23"/>
  <c r="HY129" i="23"/>
  <c r="HZ129" i="23"/>
  <c r="IA129" i="23"/>
  <c r="IB129" i="23"/>
  <c r="IC129" i="23"/>
  <c r="ID129" i="23"/>
  <c r="IE129" i="23"/>
  <c r="IF129" i="23"/>
  <c r="IG129" i="23"/>
  <c r="IH129" i="23"/>
  <c r="II129" i="23"/>
  <c r="IJ129" i="23"/>
  <c r="IK129" i="23"/>
  <c r="IL129" i="23"/>
  <c r="IM129" i="23"/>
  <c r="IN129" i="23"/>
  <c r="IO129" i="23"/>
  <c r="IP129" i="23"/>
  <c r="IQ129" i="23"/>
  <c r="IR129" i="23"/>
  <c r="IS129" i="23"/>
  <c r="IT129" i="23"/>
  <c r="IU129" i="23"/>
  <c r="IV129" i="23"/>
  <c r="A128" i="23"/>
  <c r="B128" i="23"/>
  <c r="C128" i="23"/>
  <c r="D128" i="23"/>
  <c r="E128" i="23"/>
  <c r="F128" i="23"/>
  <c r="G128" i="23"/>
  <c r="H128" i="23"/>
  <c r="I128" i="23"/>
  <c r="J128" i="23"/>
  <c r="K128" i="23"/>
  <c r="L128" i="23"/>
  <c r="M128" i="23"/>
  <c r="N128" i="23"/>
  <c r="O128" i="23"/>
  <c r="P128" i="23"/>
  <c r="Q128" i="23"/>
  <c r="R128" i="23"/>
  <c r="S128" i="23"/>
  <c r="T128" i="23"/>
  <c r="U128" i="23"/>
  <c r="V128" i="23"/>
  <c r="W128" i="23"/>
  <c r="X128" i="23"/>
  <c r="Y128" i="23"/>
  <c r="Z128" i="23"/>
  <c r="AA128" i="23"/>
  <c r="AB128" i="23"/>
  <c r="AC128" i="23"/>
  <c r="AD128" i="23"/>
  <c r="AE128" i="23"/>
  <c r="AF128" i="23"/>
  <c r="AG128" i="23"/>
  <c r="AH128" i="23"/>
  <c r="AI128" i="23"/>
  <c r="AJ128" i="23"/>
  <c r="AK128" i="23"/>
  <c r="AL128" i="23"/>
  <c r="AM128" i="23"/>
  <c r="AN128" i="23"/>
  <c r="AO128" i="23"/>
  <c r="AP128" i="23"/>
  <c r="AQ128" i="23"/>
  <c r="AR128" i="23"/>
  <c r="AS128" i="23"/>
  <c r="AT128" i="23"/>
  <c r="AU128" i="23"/>
  <c r="AV128" i="23"/>
  <c r="AW128" i="23"/>
  <c r="AX128" i="23"/>
  <c r="AY128" i="23"/>
  <c r="AZ128" i="23"/>
  <c r="BA128" i="23"/>
  <c r="BB128" i="23"/>
  <c r="BC128" i="23"/>
  <c r="BD128" i="23"/>
  <c r="BE128" i="23"/>
  <c r="BF128" i="23"/>
  <c r="BG128" i="23"/>
  <c r="BH128" i="23"/>
  <c r="BI128" i="23"/>
  <c r="BJ128" i="23"/>
  <c r="BK128" i="23"/>
  <c r="BL128" i="23"/>
  <c r="BM128" i="23"/>
  <c r="BN128" i="23"/>
  <c r="BO128" i="23"/>
  <c r="BP128" i="23"/>
  <c r="BQ128" i="23"/>
  <c r="BR128" i="23"/>
  <c r="BS128" i="23"/>
  <c r="BT128" i="23"/>
  <c r="BU128" i="23"/>
  <c r="BV128" i="23"/>
  <c r="BW128" i="23"/>
  <c r="BX128" i="23"/>
  <c r="BY128" i="23"/>
  <c r="BZ128" i="23"/>
  <c r="CA128" i="23"/>
  <c r="CB128" i="23"/>
  <c r="CC128" i="23"/>
  <c r="CD128" i="23"/>
  <c r="CE128" i="23"/>
  <c r="CF128" i="23"/>
  <c r="CG128" i="23"/>
  <c r="CH128" i="23"/>
  <c r="CI128" i="23"/>
  <c r="CJ128" i="23"/>
  <c r="CK128" i="23"/>
  <c r="CL128" i="23"/>
  <c r="CM128" i="23"/>
  <c r="CN128" i="23"/>
  <c r="CO128" i="23"/>
  <c r="CP128" i="23"/>
  <c r="CQ128" i="23"/>
  <c r="CR128" i="23"/>
  <c r="CS128" i="23"/>
  <c r="CT128" i="23"/>
  <c r="CU128" i="23"/>
  <c r="CV128" i="23"/>
  <c r="CW128" i="23"/>
  <c r="CX128" i="23"/>
  <c r="CY128" i="23"/>
  <c r="CZ128" i="23"/>
  <c r="DA128" i="23"/>
  <c r="DB128" i="23"/>
  <c r="DC128" i="23"/>
  <c r="DD128" i="23"/>
  <c r="DE128" i="23"/>
  <c r="DF128" i="23"/>
  <c r="DG128" i="23"/>
  <c r="DH128" i="23"/>
  <c r="DI128" i="23"/>
  <c r="DJ128" i="23"/>
  <c r="DK128" i="23"/>
  <c r="DL128" i="23"/>
  <c r="DM128" i="23"/>
  <c r="DN128" i="23"/>
  <c r="DO128" i="23"/>
  <c r="DP128" i="23"/>
  <c r="DQ128" i="23"/>
  <c r="DR128" i="23"/>
  <c r="DS128" i="23"/>
  <c r="DT128" i="23"/>
  <c r="DU128" i="23"/>
  <c r="DV128" i="23"/>
  <c r="DW128" i="23"/>
  <c r="DX128" i="23"/>
  <c r="DY128" i="23"/>
  <c r="DZ128" i="23"/>
  <c r="EA128" i="23"/>
  <c r="EB128" i="23"/>
  <c r="EC128" i="23"/>
  <c r="ED128" i="23"/>
  <c r="EE128" i="23"/>
  <c r="EF128" i="23"/>
  <c r="EG128" i="23"/>
  <c r="EH128" i="23"/>
  <c r="EI128" i="23"/>
  <c r="EJ128" i="23"/>
  <c r="EK128" i="23"/>
  <c r="EL128" i="23"/>
  <c r="EM128" i="23"/>
  <c r="EN128" i="23"/>
  <c r="EO128" i="23"/>
  <c r="EP128" i="23"/>
  <c r="EQ128" i="23"/>
  <c r="ER128" i="23"/>
  <c r="ES128" i="23"/>
  <c r="ET128" i="23"/>
  <c r="EU128" i="23"/>
  <c r="EV128" i="23"/>
  <c r="EW128" i="23"/>
  <c r="EX128" i="23"/>
  <c r="EY128" i="23"/>
  <c r="EZ128" i="23"/>
  <c r="FA128" i="23"/>
  <c r="FB128" i="23"/>
  <c r="FC128" i="23"/>
  <c r="FD128" i="23"/>
  <c r="FE128" i="23"/>
  <c r="FF128" i="23"/>
  <c r="FG128" i="23"/>
  <c r="FH128" i="23"/>
  <c r="FI128" i="23"/>
  <c r="FJ128" i="23"/>
  <c r="FK128" i="23"/>
  <c r="FL128" i="23"/>
  <c r="FM128" i="23"/>
  <c r="FN128" i="23"/>
  <c r="FO128" i="23"/>
  <c r="FP128" i="23"/>
  <c r="FQ128" i="23"/>
  <c r="FR128" i="23"/>
  <c r="FS128" i="23"/>
  <c r="FT128" i="23"/>
  <c r="FU128" i="23"/>
  <c r="FV128" i="23"/>
  <c r="FW128" i="23"/>
  <c r="FX128" i="23"/>
  <c r="FY128" i="23"/>
  <c r="FZ128" i="23"/>
  <c r="GA128" i="23"/>
  <c r="GB128" i="23"/>
  <c r="GC128" i="23"/>
  <c r="GD128" i="23"/>
  <c r="GE128" i="23"/>
  <c r="GF128" i="23"/>
  <c r="GG128" i="23"/>
  <c r="GH128" i="23"/>
  <c r="GI128" i="23"/>
  <c r="GJ128" i="23"/>
  <c r="GK128" i="23"/>
  <c r="GL128" i="23"/>
  <c r="GM128" i="23"/>
  <c r="GN128" i="23"/>
  <c r="GO128" i="23"/>
  <c r="GP128" i="23"/>
  <c r="GQ128" i="23"/>
  <c r="GR128" i="23"/>
  <c r="GS128" i="23"/>
  <c r="GT128" i="23"/>
  <c r="GU128" i="23"/>
  <c r="GV128" i="23"/>
  <c r="GW128" i="23"/>
  <c r="GX128" i="23"/>
  <c r="GY128" i="23"/>
  <c r="GZ128" i="23"/>
  <c r="HA128" i="23"/>
  <c r="HB128" i="23"/>
  <c r="HC128" i="23"/>
  <c r="HD128" i="23"/>
  <c r="HE128" i="23"/>
  <c r="HF128" i="23"/>
  <c r="HG128" i="23"/>
  <c r="HH128" i="23"/>
  <c r="HI128" i="23"/>
  <c r="HJ128" i="23"/>
  <c r="HK128" i="23"/>
  <c r="HL128" i="23"/>
  <c r="HM128" i="23"/>
  <c r="HN128" i="23"/>
  <c r="HO128" i="23"/>
  <c r="HP128" i="23"/>
  <c r="HQ128" i="23"/>
  <c r="HR128" i="23"/>
  <c r="HS128" i="23"/>
  <c r="HT128" i="23"/>
  <c r="HU128" i="23"/>
  <c r="HV128" i="23"/>
  <c r="HW128" i="23"/>
  <c r="HX128" i="23"/>
  <c r="HY128" i="23"/>
  <c r="HZ128" i="23"/>
  <c r="IA128" i="23"/>
  <c r="IB128" i="23"/>
  <c r="IC128" i="23"/>
  <c r="ID128" i="23"/>
  <c r="IE128" i="23"/>
  <c r="IF128" i="23"/>
  <c r="IG128" i="23"/>
  <c r="IH128" i="23"/>
  <c r="II128" i="23"/>
  <c r="IJ128" i="23"/>
  <c r="IK128" i="23"/>
  <c r="IL128" i="23"/>
  <c r="IM128" i="23"/>
  <c r="IN128" i="23"/>
  <c r="IO128" i="23"/>
  <c r="IP128" i="23"/>
  <c r="IQ128" i="23"/>
  <c r="IR128" i="23"/>
  <c r="IS128" i="23"/>
  <c r="IT128" i="23"/>
  <c r="IU128" i="23"/>
  <c r="IV128" i="23"/>
  <c r="A127" i="23"/>
  <c r="B127" i="23"/>
  <c r="C127" i="23"/>
  <c r="D127" i="23"/>
  <c r="E127" i="23"/>
  <c r="F127" i="23"/>
  <c r="G127" i="23"/>
  <c r="H127" i="23"/>
  <c r="I127" i="23"/>
  <c r="J127" i="23"/>
  <c r="K127" i="23"/>
  <c r="L127" i="23"/>
  <c r="M127" i="23"/>
  <c r="N127" i="23"/>
  <c r="O127" i="23"/>
  <c r="P127" i="23"/>
  <c r="Q127" i="23"/>
  <c r="R127" i="23"/>
  <c r="S127" i="23"/>
  <c r="T127" i="23"/>
  <c r="U127" i="23"/>
  <c r="V127" i="23"/>
  <c r="W127" i="23"/>
  <c r="X127" i="23"/>
  <c r="Y127" i="23"/>
  <c r="Z127" i="23"/>
  <c r="AA127" i="23"/>
  <c r="AB127" i="23"/>
  <c r="AC127" i="23"/>
  <c r="AD127" i="23"/>
  <c r="AE127" i="23"/>
  <c r="AF127" i="23"/>
  <c r="AG127" i="23"/>
  <c r="AH127" i="23"/>
  <c r="AI127" i="23"/>
  <c r="AJ127" i="23"/>
  <c r="AK127" i="23"/>
  <c r="AL127" i="23"/>
  <c r="AM127" i="23"/>
  <c r="AN127" i="23"/>
  <c r="AO127" i="23"/>
  <c r="AP127" i="23"/>
  <c r="AQ127" i="23"/>
  <c r="AR127" i="23"/>
  <c r="AS127" i="23"/>
  <c r="AT127" i="23"/>
  <c r="AU127" i="23"/>
  <c r="AV127" i="23"/>
  <c r="AW127" i="23"/>
  <c r="AX127" i="23"/>
  <c r="AY127" i="23"/>
  <c r="AZ127" i="23"/>
  <c r="BA127" i="23"/>
  <c r="BB127" i="23"/>
  <c r="BC127" i="23"/>
  <c r="BD127" i="23"/>
  <c r="BE127" i="23"/>
  <c r="BF127" i="23"/>
  <c r="BG127" i="23"/>
  <c r="BH127" i="23"/>
  <c r="BI127" i="23"/>
  <c r="BJ127" i="23"/>
  <c r="BK127" i="23"/>
  <c r="BL127" i="23"/>
  <c r="BM127" i="23"/>
  <c r="BN127" i="23"/>
  <c r="BO127" i="23"/>
  <c r="BP127" i="23"/>
  <c r="BQ127" i="23"/>
  <c r="BR127" i="23"/>
  <c r="BS127" i="23"/>
  <c r="BT127" i="23"/>
  <c r="BU127" i="23"/>
  <c r="BV127" i="23"/>
  <c r="BW127" i="23"/>
  <c r="BX127" i="23"/>
  <c r="BY127" i="23"/>
  <c r="BZ127" i="23"/>
  <c r="CA127" i="23"/>
  <c r="CB127" i="23"/>
  <c r="CC127" i="23"/>
  <c r="CD127" i="23"/>
  <c r="CE127" i="23"/>
  <c r="CF127" i="23"/>
  <c r="CG127" i="23"/>
  <c r="CH127" i="23"/>
  <c r="CI127" i="23"/>
  <c r="CJ127" i="23"/>
  <c r="CK127" i="23"/>
  <c r="CL127" i="23"/>
  <c r="CM127" i="23"/>
  <c r="CN127" i="23"/>
  <c r="CO127" i="23"/>
  <c r="CP127" i="23"/>
  <c r="CQ127" i="23"/>
  <c r="CR127" i="23"/>
  <c r="CS127" i="23"/>
  <c r="CT127" i="23"/>
  <c r="CU127" i="23"/>
  <c r="CV127" i="23"/>
  <c r="CW127" i="23"/>
  <c r="CX127" i="23"/>
  <c r="CY127" i="23"/>
  <c r="CZ127" i="23"/>
  <c r="DA127" i="23"/>
  <c r="DB127" i="23"/>
  <c r="DC127" i="23"/>
  <c r="DD127" i="23"/>
  <c r="DE127" i="23"/>
  <c r="DF127" i="23"/>
  <c r="DG127" i="23"/>
  <c r="DH127" i="23"/>
  <c r="DI127" i="23"/>
  <c r="DJ127" i="23"/>
  <c r="DK127" i="23"/>
  <c r="DL127" i="23"/>
  <c r="DM127" i="23"/>
  <c r="DN127" i="23"/>
  <c r="DO127" i="23"/>
  <c r="DP127" i="23"/>
  <c r="DQ127" i="23"/>
  <c r="DR127" i="23"/>
  <c r="DS127" i="23"/>
  <c r="DT127" i="23"/>
  <c r="DU127" i="23"/>
  <c r="DV127" i="23"/>
  <c r="DW127" i="23"/>
  <c r="DX127" i="23"/>
  <c r="DY127" i="23"/>
  <c r="DZ127" i="23"/>
  <c r="EA127" i="23"/>
  <c r="EB127" i="23"/>
  <c r="EC127" i="23"/>
  <c r="ED127" i="23"/>
  <c r="EE127" i="23"/>
  <c r="EF127" i="23"/>
  <c r="EG127" i="23"/>
  <c r="EH127" i="23"/>
  <c r="EI127" i="23"/>
  <c r="EJ127" i="23"/>
  <c r="EK127" i="23"/>
  <c r="EL127" i="23"/>
  <c r="EM127" i="23"/>
  <c r="EN127" i="23"/>
  <c r="EO127" i="23"/>
  <c r="EP127" i="23"/>
  <c r="EQ127" i="23"/>
  <c r="ER127" i="23"/>
  <c r="ES127" i="23"/>
  <c r="ET127" i="23"/>
  <c r="EU127" i="23"/>
  <c r="EV127" i="23"/>
  <c r="EW127" i="23"/>
  <c r="EX127" i="23"/>
  <c r="EY127" i="23"/>
  <c r="EZ127" i="23"/>
  <c r="FA127" i="23"/>
  <c r="FB127" i="23"/>
  <c r="FC127" i="23"/>
  <c r="FD127" i="23"/>
  <c r="FE127" i="23"/>
  <c r="FF127" i="23"/>
  <c r="FG127" i="23"/>
  <c r="FH127" i="23"/>
  <c r="FI127" i="23"/>
  <c r="FJ127" i="23"/>
  <c r="FK127" i="23"/>
  <c r="FL127" i="23"/>
  <c r="FM127" i="23"/>
  <c r="FN127" i="23"/>
  <c r="FO127" i="23"/>
  <c r="FP127" i="23"/>
  <c r="FQ127" i="23"/>
  <c r="FR127" i="23"/>
  <c r="FS127" i="23"/>
  <c r="FT127" i="23"/>
  <c r="FU127" i="23"/>
  <c r="FV127" i="23"/>
  <c r="FW127" i="23"/>
  <c r="FX127" i="23"/>
  <c r="FY127" i="23"/>
  <c r="FZ127" i="23"/>
  <c r="GA127" i="23"/>
  <c r="GB127" i="23"/>
  <c r="GC127" i="23"/>
  <c r="GD127" i="23"/>
  <c r="GE127" i="23"/>
  <c r="GF127" i="23"/>
  <c r="GG127" i="23"/>
  <c r="GH127" i="23"/>
  <c r="GI127" i="23"/>
  <c r="GJ127" i="23"/>
  <c r="GK127" i="23"/>
  <c r="GL127" i="23"/>
  <c r="GM127" i="23"/>
  <c r="GN127" i="23"/>
  <c r="GO127" i="23"/>
  <c r="GP127" i="23"/>
  <c r="GQ127" i="23"/>
  <c r="GR127" i="23"/>
  <c r="GS127" i="23"/>
  <c r="GT127" i="23"/>
  <c r="GU127" i="23"/>
  <c r="GV127" i="23"/>
  <c r="GW127" i="23"/>
  <c r="GX127" i="23"/>
  <c r="GY127" i="23"/>
  <c r="GZ127" i="23"/>
  <c r="HA127" i="23"/>
  <c r="HB127" i="23"/>
  <c r="HC127" i="23"/>
  <c r="HD127" i="23"/>
  <c r="HE127" i="23"/>
  <c r="HF127" i="23"/>
  <c r="HG127" i="23"/>
  <c r="HH127" i="23"/>
  <c r="HI127" i="23"/>
  <c r="HJ127" i="23"/>
  <c r="HK127" i="23"/>
  <c r="HL127" i="23"/>
  <c r="HM127" i="23"/>
  <c r="HN127" i="23"/>
  <c r="HO127" i="23"/>
  <c r="HP127" i="23"/>
  <c r="HQ127" i="23"/>
  <c r="HR127" i="23"/>
  <c r="HS127" i="23"/>
  <c r="HT127" i="23"/>
  <c r="HU127" i="23"/>
  <c r="HV127" i="23"/>
  <c r="HW127" i="23"/>
  <c r="HX127" i="23"/>
  <c r="HY127" i="23"/>
  <c r="HZ127" i="23"/>
  <c r="IA127" i="23"/>
  <c r="IB127" i="23"/>
  <c r="IC127" i="23"/>
  <c r="ID127" i="23"/>
  <c r="IE127" i="23"/>
  <c r="IF127" i="23"/>
  <c r="IG127" i="23"/>
  <c r="IH127" i="23"/>
  <c r="II127" i="23"/>
  <c r="IJ127" i="23"/>
  <c r="IK127" i="23"/>
  <c r="IL127" i="23"/>
  <c r="IM127" i="23"/>
  <c r="IN127" i="23"/>
  <c r="IO127" i="23"/>
  <c r="IP127" i="23"/>
  <c r="IQ127" i="23"/>
  <c r="IR127" i="23"/>
  <c r="IS127" i="23"/>
  <c r="IT127" i="23"/>
  <c r="IU127" i="23"/>
  <c r="IV127" i="23"/>
  <c r="A126" i="23"/>
  <c r="B126" i="23"/>
  <c r="C126" i="23"/>
  <c r="D126" i="23"/>
  <c r="E126" i="23"/>
  <c r="F126" i="23"/>
  <c r="G126" i="23"/>
  <c r="H126" i="23"/>
  <c r="I126" i="23"/>
  <c r="J126" i="23"/>
  <c r="K126" i="23"/>
  <c r="L126" i="23"/>
  <c r="M126" i="23"/>
  <c r="N126" i="23"/>
  <c r="O126" i="23"/>
  <c r="P126" i="23"/>
  <c r="Q126" i="23"/>
  <c r="R126" i="23"/>
  <c r="S126" i="23"/>
  <c r="T126" i="23"/>
  <c r="U126" i="23"/>
  <c r="V126" i="23"/>
  <c r="W126" i="23"/>
  <c r="X126" i="23"/>
  <c r="Y126" i="23"/>
  <c r="Z126" i="23"/>
  <c r="AA126" i="23"/>
  <c r="AB126" i="23"/>
  <c r="AC126" i="23"/>
  <c r="AD126" i="23"/>
  <c r="AE126" i="23"/>
  <c r="AF126" i="23"/>
  <c r="AG126" i="23"/>
  <c r="AH126" i="23"/>
  <c r="AI126" i="23"/>
  <c r="AJ126" i="23"/>
  <c r="AK126" i="23"/>
  <c r="AL126" i="23"/>
  <c r="AM126" i="23"/>
  <c r="AN126" i="23"/>
  <c r="AO126" i="23"/>
  <c r="AP126" i="23"/>
  <c r="AQ126" i="23"/>
  <c r="AR126" i="23"/>
  <c r="AS126" i="23"/>
  <c r="AT126" i="23"/>
  <c r="AU126" i="23"/>
  <c r="AV126" i="23"/>
  <c r="AW126" i="23"/>
  <c r="AX126" i="23"/>
  <c r="AY126" i="23"/>
  <c r="AZ126" i="23"/>
  <c r="BA126" i="23"/>
  <c r="BB126" i="23"/>
  <c r="BC126" i="23"/>
  <c r="BD126" i="23"/>
  <c r="BE126" i="23"/>
  <c r="BF126" i="23"/>
  <c r="BG126" i="23"/>
  <c r="BH126" i="23"/>
  <c r="BI126" i="23"/>
  <c r="BJ126" i="23"/>
  <c r="BK126" i="23"/>
  <c r="BL126" i="23"/>
  <c r="BM126" i="23"/>
  <c r="BN126" i="23"/>
  <c r="BO126" i="23"/>
  <c r="BP126" i="23"/>
  <c r="BQ126" i="23"/>
  <c r="BR126" i="23"/>
  <c r="BS126" i="23"/>
  <c r="BT126" i="23"/>
  <c r="BU126" i="23"/>
  <c r="BV126" i="23"/>
  <c r="BW126" i="23"/>
  <c r="BX126" i="23"/>
  <c r="BY126" i="23"/>
  <c r="BZ126" i="23"/>
  <c r="CA126" i="23"/>
  <c r="CB126" i="23"/>
  <c r="CC126" i="23"/>
  <c r="CD126" i="23"/>
  <c r="CE126" i="23"/>
  <c r="CF126" i="23"/>
  <c r="CG126" i="23"/>
  <c r="CH126" i="23"/>
  <c r="CI126" i="23"/>
  <c r="CJ126" i="23"/>
  <c r="CK126" i="23"/>
  <c r="CL126" i="23"/>
  <c r="CM126" i="23"/>
  <c r="CN126" i="23"/>
  <c r="CO126" i="23"/>
  <c r="CP126" i="23"/>
  <c r="CQ126" i="23"/>
  <c r="CR126" i="23"/>
  <c r="CS126" i="23"/>
  <c r="CT126" i="23"/>
  <c r="CU126" i="23"/>
  <c r="CV126" i="23"/>
  <c r="CW126" i="23"/>
  <c r="CX126" i="23"/>
  <c r="CY126" i="23"/>
  <c r="CZ126" i="23"/>
  <c r="DA126" i="23"/>
  <c r="DB126" i="23"/>
  <c r="DC126" i="23"/>
  <c r="DD126" i="23"/>
  <c r="DE126" i="23"/>
  <c r="DF126" i="23"/>
  <c r="DG126" i="23"/>
  <c r="DH126" i="23"/>
  <c r="DI126" i="23"/>
  <c r="DJ126" i="23"/>
  <c r="DK126" i="23"/>
  <c r="DL126" i="23"/>
  <c r="DM126" i="23"/>
  <c r="DN126" i="23"/>
  <c r="DO126" i="23"/>
  <c r="DP126" i="23"/>
  <c r="DQ126" i="23"/>
  <c r="DR126" i="23"/>
  <c r="DS126" i="23"/>
  <c r="DT126" i="23"/>
  <c r="DU126" i="23"/>
  <c r="DV126" i="23"/>
  <c r="DW126" i="23"/>
  <c r="DX126" i="23"/>
  <c r="DY126" i="23"/>
  <c r="DZ126" i="23"/>
  <c r="EA126" i="23"/>
  <c r="EB126" i="23"/>
  <c r="EC126" i="23"/>
  <c r="ED126" i="23"/>
  <c r="EE126" i="23"/>
  <c r="EF126" i="23"/>
  <c r="EG126" i="23"/>
  <c r="EH126" i="23"/>
  <c r="EI126" i="23"/>
  <c r="EJ126" i="23"/>
  <c r="EK126" i="23"/>
  <c r="EL126" i="23"/>
  <c r="EM126" i="23"/>
  <c r="EN126" i="23"/>
  <c r="EO126" i="23"/>
  <c r="EP126" i="23"/>
  <c r="EQ126" i="23"/>
  <c r="ER126" i="23"/>
  <c r="ES126" i="23"/>
  <c r="ET126" i="23"/>
  <c r="EU126" i="23"/>
  <c r="EV126" i="23"/>
  <c r="EW126" i="23"/>
  <c r="EX126" i="23"/>
  <c r="EY126" i="23"/>
  <c r="EZ126" i="23"/>
  <c r="FA126" i="23"/>
  <c r="FB126" i="23"/>
  <c r="FC126" i="23"/>
  <c r="FD126" i="23"/>
  <c r="FE126" i="23"/>
  <c r="FF126" i="23"/>
  <c r="FG126" i="23"/>
  <c r="FH126" i="23"/>
  <c r="FI126" i="23"/>
  <c r="FJ126" i="23"/>
  <c r="FK126" i="23"/>
  <c r="FL126" i="23"/>
  <c r="FM126" i="23"/>
  <c r="FN126" i="23"/>
  <c r="FO126" i="23"/>
  <c r="FP126" i="23"/>
  <c r="FQ126" i="23"/>
  <c r="FR126" i="23"/>
  <c r="FS126" i="23"/>
  <c r="FT126" i="23"/>
  <c r="FU126" i="23"/>
  <c r="FV126" i="23"/>
  <c r="FW126" i="23"/>
  <c r="FX126" i="23"/>
  <c r="FY126" i="23"/>
  <c r="FZ126" i="23"/>
  <c r="GA126" i="23"/>
  <c r="GB126" i="23"/>
  <c r="GC126" i="23"/>
  <c r="GD126" i="23"/>
  <c r="GE126" i="23"/>
  <c r="GF126" i="23"/>
  <c r="GG126" i="23"/>
  <c r="GH126" i="23"/>
  <c r="GI126" i="23"/>
  <c r="GJ126" i="23"/>
  <c r="GK126" i="23"/>
  <c r="GL126" i="23"/>
  <c r="GM126" i="23"/>
  <c r="GN126" i="23"/>
  <c r="GO126" i="23"/>
  <c r="GP126" i="23"/>
  <c r="GQ126" i="23"/>
  <c r="GR126" i="23"/>
  <c r="GS126" i="23"/>
  <c r="GT126" i="23"/>
  <c r="GU126" i="23"/>
  <c r="GV126" i="23"/>
  <c r="GW126" i="23"/>
  <c r="GX126" i="23"/>
  <c r="GY126" i="23"/>
  <c r="GZ126" i="23"/>
  <c r="HA126" i="23"/>
  <c r="HB126" i="23"/>
  <c r="HC126" i="23"/>
  <c r="HD126" i="23"/>
  <c r="HE126" i="23"/>
  <c r="HF126" i="23"/>
  <c r="HG126" i="23"/>
  <c r="HH126" i="23"/>
  <c r="HI126" i="23"/>
  <c r="HJ126" i="23"/>
  <c r="HK126" i="23"/>
  <c r="HL126" i="23"/>
  <c r="HM126" i="23"/>
  <c r="HN126" i="23"/>
  <c r="HO126" i="23"/>
  <c r="HP126" i="23"/>
  <c r="HQ126" i="23"/>
  <c r="HR126" i="23"/>
  <c r="HS126" i="23"/>
  <c r="HT126" i="23"/>
  <c r="HU126" i="23"/>
  <c r="HV126" i="23"/>
  <c r="HW126" i="23"/>
  <c r="HX126" i="23"/>
  <c r="HY126" i="23"/>
  <c r="HZ126" i="23"/>
  <c r="IA126" i="23"/>
  <c r="IB126" i="23"/>
  <c r="IC126" i="23"/>
  <c r="ID126" i="23"/>
  <c r="IE126" i="23"/>
  <c r="IF126" i="23"/>
  <c r="IG126" i="23"/>
  <c r="IH126" i="23"/>
  <c r="II126" i="23"/>
  <c r="IJ126" i="23"/>
  <c r="IK126" i="23"/>
  <c r="IL126" i="23"/>
  <c r="IM126" i="23"/>
  <c r="IN126" i="23"/>
  <c r="IO126" i="23"/>
  <c r="IP126" i="23"/>
  <c r="IQ126" i="23"/>
  <c r="IR126" i="23"/>
  <c r="IS126" i="23"/>
  <c r="IT126" i="23"/>
  <c r="IU126" i="23"/>
  <c r="IV126" i="23"/>
  <c r="A125" i="23"/>
  <c r="B125" i="23"/>
  <c r="C125" i="23"/>
  <c r="D125" i="23"/>
  <c r="E125" i="23"/>
  <c r="F125" i="23"/>
  <c r="G125" i="23"/>
  <c r="H125" i="23"/>
  <c r="I125" i="23"/>
  <c r="J125" i="23"/>
  <c r="K125" i="23"/>
  <c r="L125" i="23"/>
  <c r="M125" i="23"/>
  <c r="N125" i="23"/>
  <c r="O125" i="23"/>
  <c r="P125" i="23"/>
  <c r="Q125" i="23"/>
  <c r="R125" i="23"/>
  <c r="S125" i="23"/>
  <c r="T125" i="23"/>
  <c r="U125" i="23"/>
  <c r="V125" i="23"/>
  <c r="W125" i="23"/>
  <c r="X125" i="23"/>
  <c r="Y125" i="23"/>
  <c r="Z125" i="23"/>
  <c r="AA125" i="23"/>
  <c r="AB125" i="23"/>
  <c r="AC125" i="23"/>
  <c r="AD125" i="23"/>
  <c r="AE125" i="23"/>
  <c r="AF125" i="23"/>
  <c r="AG125" i="23"/>
  <c r="AH125" i="23"/>
  <c r="AI125" i="23"/>
  <c r="AJ125" i="23"/>
  <c r="AK125" i="23"/>
  <c r="AL125" i="23"/>
  <c r="AM125" i="23"/>
  <c r="AN125" i="23"/>
  <c r="AO125" i="23"/>
  <c r="AP125" i="23"/>
  <c r="AQ125" i="23"/>
  <c r="AR125" i="23"/>
  <c r="AS125" i="23"/>
  <c r="AT125" i="23"/>
  <c r="AU125" i="23"/>
  <c r="AV125" i="23"/>
  <c r="AW125" i="23"/>
  <c r="AX125" i="23"/>
  <c r="AY125" i="23"/>
  <c r="AZ125" i="23"/>
  <c r="BA125" i="23"/>
  <c r="BB125" i="23"/>
  <c r="BC125" i="23"/>
  <c r="BD125" i="23"/>
  <c r="BE125" i="23"/>
  <c r="BF125" i="23"/>
  <c r="BG125" i="23"/>
  <c r="BH125" i="23"/>
  <c r="BI125" i="23"/>
  <c r="BJ125" i="23"/>
  <c r="BK125" i="23"/>
  <c r="BL125" i="23"/>
  <c r="BM125" i="23"/>
  <c r="BN125" i="23"/>
  <c r="BO125" i="23"/>
  <c r="BP125" i="23"/>
  <c r="BQ125" i="23"/>
  <c r="BR125" i="23"/>
  <c r="BS125" i="23"/>
  <c r="BT125" i="23"/>
  <c r="BU125" i="23"/>
  <c r="BV125" i="23"/>
  <c r="BW125" i="23"/>
  <c r="BX125" i="23"/>
  <c r="BY125" i="23"/>
  <c r="BZ125" i="23"/>
  <c r="CA125" i="23"/>
  <c r="CB125" i="23"/>
  <c r="CC125" i="23"/>
  <c r="CD125" i="23"/>
  <c r="CE125" i="23"/>
  <c r="CF125" i="23"/>
  <c r="CG125" i="23"/>
  <c r="CH125" i="23"/>
  <c r="CI125" i="23"/>
  <c r="CJ125" i="23"/>
  <c r="CK125" i="23"/>
  <c r="CL125" i="23"/>
  <c r="CM125" i="23"/>
  <c r="CN125" i="23"/>
  <c r="CO125" i="23"/>
  <c r="CP125" i="23"/>
  <c r="CQ125" i="23"/>
  <c r="CR125" i="23"/>
  <c r="CS125" i="23"/>
  <c r="CT125" i="23"/>
  <c r="CU125" i="23"/>
  <c r="CV125" i="23"/>
  <c r="CW125" i="23"/>
  <c r="CX125" i="23"/>
  <c r="CY125" i="23"/>
  <c r="CZ125" i="23"/>
  <c r="DA125" i="23"/>
  <c r="DB125" i="23"/>
  <c r="DC125" i="23"/>
  <c r="DD125" i="23"/>
  <c r="DE125" i="23"/>
  <c r="DF125" i="23"/>
  <c r="DG125" i="23"/>
  <c r="DH125" i="23"/>
  <c r="DI125" i="23"/>
  <c r="DJ125" i="23"/>
  <c r="DK125" i="23"/>
  <c r="DL125" i="23"/>
  <c r="DM125" i="23"/>
  <c r="DN125" i="23"/>
  <c r="DO125" i="23"/>
  <c r="DP125" i="23"/>
  <c r="DQ125" i="23"/>
  <c r="DR125" i="23"/>
  <c r="DS125" i="23"/>
  <c r="DT125" i="23"/>
  <c r="DU125" i="23"/>
  <c r="DV125" i="23"/>
  <c r="DW125" i="23"/>
  <c r="DX125" i="23"/>
  <c r="DY125" i="23"/>
  <c r="DZ125" i="23"/>
  <c r="EA125" i="23"/>
  <c r="EB125" i="23"/>
  <c r="EC125" i="23"/>
  <c r="ED125" i="23"/>
  <c r="EE125" i="23"/>
  <c r="EF125" i="23"/>
  <c r="EG125" i="23"/>
  <c r="EH125" i="23"/>
  <c r="EI125" i="23"/>
  <c r="EJ125" i="23"/>
  <c r="EK125" i="23"/>
  <c r="EL125" i="23"/>
  <c r="EM125" i="23"/>
  <c r="EN125" i="23"/>
  <c r="EO125" i="23"/>
  <c r="EP125" i="23"/>
  <c r="EQ125" i="23"/>
  <c r="ER125" i="23"/>
  <c r="ES125" i="23"/>
  <c r="ET125" i="23"/>
  <c r="EU125" i="23"/>
  <c r="EV125" i="23"/>
  <c r="EW125" i="23"/>
  <c r="EX125" i="23"/>
  <c r="EY125" i="23"/>
  <c r="EZ125" i="23"/>
  <c r="FA125" i="23"/>
  <c r="FB125" i="23"/>
  <c r="FC125" i="23"/>
  <c r="FD125" i="23"/>
  <c r="FE125" i="23"/>
  <c r="FF125" i="23"/>
  <c r="FG125" i="23"/>
  <c r="FH125" i="23"/>
  <c r="FI125" i="23"/>
  <c r="FJ125" i="23"/>
  <c r="FK125" i="23"/>
  <c r="FL125" i="23"/>
  <c r="FM125" i="23"/>
  <c r="FN125" i="23"/>
  <c r="FO125" i="23"/>
  <c r="FP125" i="23"/>
  <c r="FQ125" i="23"/>
  <c r="FR125" i="23"/>
  <c r="FS125" i="23"/>
  <c r="FT125" i="23"/>
  <c r="FU125" i="23"/>
  <c r="FV125" i="23"/>
  <c r="FW125" i="23"/>
  <c r="FX125" i="23"/>
  <c r="FY125" i="23"/>
  <c r="FZ125" i="23"/>
  <c r="GA125" i="23"/>
  <c r="GB125" i="23"/>
  <c r="GC125" i="23"/>
  <c r="GD125" i="23"/>
  <c r="GE125" i="23"/>
  <c r="GF125" i="23"/>
  <c r="GG125" i="23"/>
  <c r="GH125" i="23"/>
  <c r="GI125" i="23"/>
  <c r="GJ125" i="23"/>
  <c r="GK125" i="23"/>
  <c r="GL125" i="23"/>
  <c r="GM125" i="23"/>
  <c r="GN125" i="23"/>
  <c r="GO125" i="23"/>
  <c r="GP125" i="23"/>
  <c r="GQ125" i="23"/>
  <c r="GR125" i="23"/>
  <c r="GS125" i="23"/>
  <c r="GT125" i="23"/>
  <c r="GU125" i="23"/>
  <c r="GV125" i="23"/>
  <c r="GW125" i="23"/>
  <c r="GX125" i="23"/>
  <c r="GY125" i="23"/>
  <c r="GZ125" i="23"/>
  <c r="HA125" i="23"/>
  <c r="HB125" i="23"/>
  <c r="HC125" i="23"/>
  <c r="HD125" i="23"/>
  <c r="HE125" i="23"/>
  <c r="HF125" i="23"/>
  <c r="HG125" i="23"/>
  <c r="HH125" i="23"/>
  <c r="HI125" i="23"/>
  <c r="HJ125" i="23"/>
  <c r="HK125" i="23"/>
  <c r="HL125" i="23"/>
  <c r="HM125" i="23"/>
  <c r="HN125" i="23"/>
  <c r="HO125" i="23"/>
  <c r="HP125" i="23"/>
  <c r="HQ125" i="23"/>
  <c r="HR125" i="23"/>
  <c r="HS125" i="23"/>
  <c r="HT125" i="23"/>
  <c r="HU125" i="23"/>
  <c r="HV125" i="23"/>
  <c r="HW125" i="23"/>
  <c r="HX125" i="23"/>
  <c r="HY125" i="23"/>
  <c r="HZ125" i="23"/>
  <c r="IA125" i="23"/>
  <c r="IB125" i="23"/>
  <c r="IC125" i="23"/>
  <c r="ID125" i="23"/>
  <c r="IE125" i="23"/>
  <c r="IF125" i="23"/>
  <c r="IG125" i="23"/>
  <c r="IH125" i="23"/>
  <c r="II125" i="23"/>
  <c r="IJ125" i="23"/>
  <c r="IK125" i="23"/>
  <c r="IL125" i="23"/>
  <c r="IM125" i="23"/>
  <c r="IN125" i="23"/>
  <c r="IO125" i="23"/>
  <c r="IP125" i="23"/>
  <c r="IQ125" i="23"/>
  <c r="IR125" i="23"/>
  <c r="IS125" i="23"/>
  <c r="IT125" i="23"/>
  <c r="IU125" i="23"/>
  <c r="IV125" i="23"/>
  <c r="A124" i="23"/>
  <c r="B124" i="23"/>
  <c r="C124" i="23"/>
  <c r="D124" i="23"/>
  <c r="E124" i="23"/>
  <c r="F124" i="23"/>
  <c r="G124" i="23"/>
  <c r="H124" i="23"/>
  <c r="I124" i="23"/>
  <c r="J124" i="23"/>
  <c r="K124" i="23"/>
  <c r="L124" i="23"/>
  <c r="M124" i="23"/>
  <c r="N124" i="23"/>
  <c r="O124" i="23"/>
  <c r="P124" i="23"/>
  <c r="Q124" i="23"/>
  <c r="R124" i="23"/>
  <c r="S124" i="23"/>
  <c r="T124" i="23"/>
  <c r="U124" i="23"/>
  <c r="V124" i="23"/>
  <c r="W124" i="23"/>
  <c r="X124" i="23"/>
  <c r="Y124" i="23"/>
  <c r="Z124" i="23"/>
  <c r="AA124" i="23"/>
  <c r="AB124" i="23"/>
  <c r="AC124" i="23"/>
  <c r="AD124" i="23"/>
  <c r="AE124" i="23"/>
  <c r="AF124" i="23"/>
  <c r="AG124" i="23"/>
  <c r="AH124" i="23"/>
  <c r="AI124" i="23"/>
  <c r="AJ124" i="23"/>
  <c r="AK124" i="23"/>
  <c r="AL124" i="23"/>
  <c r="AM124" i="23"/>
  <c r="AN124" i="23"/>
  <c r="AO124" i="23"/>
  <c r="AP124" i="23"/>
  <c r="AQ124" i="23"/>
  <c r="AR124" i="23"/>
  <c r="AS124" i="23"/>
  <c r="AT124" i="23"/>
  <c r="AU124" i="23"/>
  <c r="AV124" i="23"/>
  <c r="AW124" i="23"/>
  <c r="AX124" i="23"/>
  <c r="AY124" i="23"/>
  <c r="AZ124" i="23"/>
  <c r="BA124" i="23"/>
  <c r="BB124" i="23"/>
  <c r="BC124" i="23"/>
  <c r="BD124" i="23"/>
  <c r="BE124" i="23"/>
  <c r="BF124" i="23"/>
  <c r="BG124" i="23"/>
  <c r="BH124" i="23"/>
  <c r="BI124" i="23"/>
  <c r="BJ124" i="23"/>
  <c r="BK124" i="23"/>
  <c r="BL124" i="23"/>
  <c r="BM124" i="23"/>
  <c r="BN124" i="23"/>
  <c r="BO124" i="23"/>
  <c r="BP124" i="23"/>
  <c r="BQ124" i="23"/>
  <c r="BR124" i="23"/>
  <c r="BS124" i="23"/>
  <c r="BT124" i="23"/>
  <c r="BU124" i="23"/>
  <c r="BV124" i="23"/>
  <c r="BW124" i="23"/>
  <c r="BX124" i="23"/>
  <c r="BY124" i="23"/>
  <c r="BZ124" i="23"/>
  <c r="CA124" i="23"/>
  <c r="CB124" i="23"/>
  <c r="CC124" i="23"/>
  <c r="CD124" i="23"/>
  <c r="CE124" i="23"/>
  <c r="CF124" i="23"/>
  <c r="CG124" i="23"/>
  <c r="CH124" i="23"/>
  <c r="CI124" i="23"/>
  <c r="CJ124" i="23"/>
  <c r="CK124" i="23"/>
  <c r="CL124" i="23"/>
  <c r="CM124" i="23"/>
  <c r="CN124" i="23"/>
  <c r="CO124" i="23"/>
  <c r="CP124" i="23"/>
  <c r="CQ124" i="23"/>
  <c r="CR124" i="23"/>
  <c r="CS124" i="23"/>
  <c r="CT124" i="23"/>
  <c r="CU124" i="23"/>
  <c r="CV124" i="23"/>
  <c r="CW124" i="23"/>
  <c r="CX124" i="23"/>
  <c r="CY124" i="23"/>
  <c r="CZ124" i="23"/>
  <c r="DA124" i="23"/>
  <c r="DB124" i="23"/>
  <c r="DC124" i="23"/>
  <c r="DD124" i="23"/>
  <c r="DE124" i="23"/>
  <c r="DF124" i="23"/>
  <c r="DG124" i="23"/>
  <c r="DH124" i="23"/>
  <c r="DI124" i="23"/>
  <c r="DJ124" i="23"/>
  <c r="DK124" i="23"/>
  <c r="DL124" i="23"/>
  <c r="DM124" i="23"/>
  <c r="DN124" i="23"/>
  <c r="DO124" i="23"/>
  <c r="DP124" i="23"/>
  <c r="DQ124" i="23"/>
  <c r="DR124" i="23"/>
  <c r="DS124" i="23"/>
  <c r="DT124" i="23"/>
  <c r="DU124" i="23"/>
  <c r="DV124" i="23"/>
  <c r="DW124" i="23"/>
  <c r="DX124" i="23"/>
  <c r="DY124" i="23"/>
  <c r="DZ124" i="23"/>
  <c r="EA124" i="23"/>
  <c r="EB124" i="23"/>
  <c r="EC124" i="23"/>
  <c r="ED124" i="23"/>
  <c r="EE124" i="23"/>
  <c r="EF124" i="23"/>
  <c r="EG124" i="23"/>
  <c r="EH124" i="23"/>
  <c r="EI124" i="23"/>
  <c r="EJ124" i="23"/>
  <c r="EK124" i="23"/>
  <c r="EL124" i="23"/>
  <c r="EM124" i="23"/>
  <c r="EN124" i="23"/>
  <c r="EO124" i="23"/>
  <c r="EP124" i="23"/>
  <c r="EQ124" i="23"/>
  <c r="ER124" i="23"/>
  <c r="ES124" i="23"/>
  <c r="ET124" i="23"/>
  <c r="EU124" i="23"/>
  <c r="EV124" i="23"/>
  <c r="EW124" i="23"/>
  <c r="EX124" i="23"/>
  <c r="EY124" i="23"/>
  <c r="EZ124" i="23"/>
  <c r="FA124" i="23"/>
  <c r="FB124" i="23"/>
  <c r="FC124" i="23"/>
  <c r="FD124" i="23"/>
  <c r="FE124" i="23"/>
  <c r="FF124" i="23"/>
  <c r="FG124" i="23"/>
  <c r="FH124" i="23"/>
  <c r="FI124" i="23"/>
  <c r="FJ124" i="23"/>
  <c r="FK124" i="23"/>
  <c r="FL124" i="23"/>
  <c r="FM124" i="23"/>
  <c r="FN124" i="23"/>
  <c r="FO124" i="23"/>
  <c r="FP124" i="23"/>
  <c r="FQ124" i="23"/>
  <c r="FR124" i="23"/>
  <c r="FS124" i="23"/>
  <c r="FT124" i="23"/>
  <c r="FU124" i="23"/>
  <c r="FV124" i="23"/>
  <c r="FW124" i="23"/>
  <c r="FX124" i="23"/>
  <c r="FY124" i="23"/>
  <c r="FZ124" i="23"/>
  <c r="GA124" i="23"/>
  <c r="GB124" i="23"/>
  <c r="GC124" i="23"/>
  <c r="GD124" i="23"/>
  <c r="GE124" i="23"/>
  <c r="GF124" i="23"/>
  <c r="GG124" i="23"/>
  <c r="GH124" i="23"/>
  <c r="GI124" i="23"/>
  <c r="GJ124" i="23"/>
  <c r="GK124" i="23"/>
  <c r="GL124" i="23"/>
  <c r="GM124" i="23"/>
  <c r="GN124" i="23"/>
  <c r="GO124" i="23"/>
  <c r="GP124" i="23"/>
  <c r="GQ124" i="23"/>
  <c r="GR124" i="23"/>
  <c r="GS124" i="23"/>
  <c r="GT124" i="23"/>
  <c r="GU124" i="23"/>
  <c r="GV124" i="23"/>
  <c r="GW124" i="23"/>
  <c r="GX124" i="23"/>
  <c r="GY124" i="23"/>
  <c r="GZ124" i="23"/>
  <c r="HA124" i="23"/>
  <c r="HB124" i="23"/>
  <c r="HC124" i="23"/>
  <c r="HD124" i="23"/>
  <c r="HE124" i="23"/>
  <c r="HF124" i="23"/>
  <c r="HG124" i="23"/>
  <c r="HH124" i="23"/>
  <c r="HI124" i="23"/>
  <c r="HJ124" i="23"/>
  <c r="HK124" i="23"/>
  <c r="HL124" i="23"/>
  <c r="HM124" i="23"/>
  <c r="HN124" i="23"/>
  <c r="HO124" i="23"/>
  <c r="HP124" i="23"/>
  <c r="HQ124" i="23"/>
  <c r="HR124" i="23"/>
  <c r="HS124" i="23"/>
  <c r="HT124" i="23"/>
  <c r="HU124" i="23"/>
  <c r="HV124" i="23"/>
  <c r="HW124" i="23"/>
  <c r="HX124" i="23"/>
  <c r="HY124" i="23"/>
  <c r="HZ124" i="23"/>
  <c r="IA124" i="23"/>
  <c r="IB124" i="23"/>
  <c r="IC124" i="23"/>
  <c r="ID124" i="23"/>
  <c r="IE124" i="23"/>
  <c r="IF124" i="23"/>
  <c r="IG124" i="23"/>
  <c r="IH124" i="23"/>
  <c r="II124" i="23"/>
  <c r="IJ124" i="23"/>
  <c r="IK124" i="23"/>
  <c r="IL124" i="23"/>
  <c r="IM124" i="23"/>
  <c r="IN124" i="23"/>
  <c r="IO124" i="23"/>
  <c r="IP124" i="23"/>
  <c r="IQ124" i="23"/>
  <c r="IR124" i="23"/>
  <c r="IS124" i="23"/>
  <c r="IT124" i="23"/>
  <c r="IU124" i="23"/>
  <c r="IV124" i="23"/>
  <c r="A123" i="23"/>
  <c r="B123" i="23"/>
  <c r="C123" i="23"/>
  <c r="D123" i="23"/>
  <c r="E123" i="23"/>
  <c r="F123" i="23"/>
  <c r="G123" i="23"/>
  <c r="H123" i="23"/>
  <c r="I123" i="23"/>
  <c r="J123" i="23"/>
  <c r="K123" i="23"/>
  <c r="L123" i="23"/>
  <c r="M123" i="23"/>
  <c r="N123" i="23"/>
  <c r="O123" i="23"/>
  <c r="P123" i="23"/>
  <c r="Q123" i="23"/>
  <c r="R123" i="23"/>
  <c r="S123" i="23"/>
  <c r="T123" i="23"/>
  <c r="U123" i="23"/>
  <c r="V123" i="23"/>
  <c r="W123" i="23"/>
  <c r="X123" i="23"/>
  <c r="Y123" i="23"/>
  <c r="Z123" i="23"/>
  <c r="AA123" i="23"/>
  <c r="AB123" i="23"/>
  <c r="AC123" i="23"/>
  <c r="AD123" i="23"/>
  <c r="AE123" i="23"/>
  <c r="AF123" i="23"/>
  <c r="AG123" i="23"/>
  <c r="AH123" i="23"/>
  <c r="AI123" i="23"/>
  <c r="AJ123" i="23"/>
  <c r="AK123" i="23"/>
  <c r="AL123" i="23"/>
  <c r="AM123" i="23"/>
  <c r="AN123" i="23"/>
  <c r="AO123" i="23"/>
  <c r="AP123" i="23"/>
  <c r="AQ123" i="23"/>
  <c r="AR123" i="23"/>
  <c r="AS123" i="23"/>
  <c r="AT123" i="23"/>
  <c r="AU123" i="23"/>
  <c r="AV123" i="23"/>
  <c r="AW123" i="23"/>
  <c r="AX123" i="23"/>
  <c r="AY123" i="23"/>
  <c r="AZ123" i="23"/>
  <c r="BA123" i="23"/>
  <c r="BB123" i="23"/>
  <c r="BC123" i="23"/>
  <c r="BD123" i="23"/>
  <c r="BE123" i="23"/>
  <c r="BF123" i="23"/>
  <c r="BG123" i="23"/>
  <c r="BH123" i="23"/>
  <c r="BI123" i="23"/>
  <c r="BJ123" i="23"/>
  <c r="BK123" i="23"/>
  <c r="BL123" i="23"/>
  <c r="BM123" i="23"/>
  <c r="BN123" i="23"/>
  <c r="BO123" i="23"/>
  <c r="BP123" i="23"/>
  <c r="BQ123" i="23"/>
  <c r="BR123" i="23"/>
  <c r="BS123" i="23"/>
  <c r="BT123" i="23"/>
  <c r="BU123" i="23"/>
  <c r="BV123" i="23"/>
  <c r="BW123" i="23"/>
  <c r="BX123" i="23"/>
  <c r="BY123" i="23"/>
  <c r="BZ123" i="23"/>
  <c r="CA123" i="23"/>
  <c r="CB123" i="23"/>
  <c r="CC123" i="23"/>
  <c r="CD123" i="23"/>
  <c r="CE123" i="23"/>
  <c r="CF123" i="23"/>
  <c r="CG123" i="23"/>
  <c r="CH123" i="23"/>
  <c r="CI123" i="23"/>
  <c r="CJ123" i="23"/>
  <c r="CK123" i="23"/>
  <c r="CL123" i="23"/>
  <c r="CM123" i="23"/>
  <c r="CN123" i="23"/>
  <c r="CO123" i="23"/>
  <c r="CP123" i="23"/>
  <c r="CQ123" i="23"/>
  <c r="CR123" i="23"/>
  <c r="CS123" i="23"/>
  <c r="CT123" i="23"/>
  <c r="CU123" i="23"/>
  <c r="CV123" i="23"/>
  <c r="CW123" i="23"/>
  <c r="CX123" i="23"/>
  <c r="CY123" i="23"/>
  <c r="CZ123" i="23"/>
  <c r="DA123" i="23"/>
  <c r="DB123" i="23"/>
  <c r="DC123" i="23"/>
  <c r="DD123" i="23"/>
  <c r="DE123" i="23"/>
  <c r="DF123" i="23"/>
  <c r="DG123" i="23"/>
  <c r="DH123" i="23"/>
  <c r="DI123" i="23"/>
  <c r="DJ123" i="23"/>
  <c r="DK123" i="23"/>
  <c r="DL123" i="23"/>
  <c r="DM123" i="23"/>
  <c r="DN123" i="23"/>
  <c r="DO123" i="23"/>
  <c r="DP123" i="23"/>
  <c r="DQ123" i="23"/>
  <c r="DR123" i="23"/>
  <c r="DS123" i="23"/>
  <c r="DT123" i="23"/>
  <c r="DU123" i="23"/>
  <c r="DV123" i="23"/>
  <c r="DW123" i="23"/>
  <c r="DX123" i="23"/>
  <c r="DY123" i="23"/>
  <c r="DZ123" i="23"/>
  <c r="EA123" i="23"/>
  <c r="EB123" i="23"/>
  <c r="EC123" i="23"/>
  <c r="ED123" i="23"/>
  <c r="EE123" i="23"/>
  <c r="EF123" i="23"/>
  <c r="EG123" i="23"/>
  <c r="EH123" i="23"/>
  <c r="EI123" i="23"/>
  <c r="EJ123" i="23"/>
  <c r="EK123" i="23"/>
  <c r="EL123" i="23"/>
  <c r="EM123" i="23"/>
  <c r="EN123" i="23"/>
  <c r="EO123" i="23"/>
  <c r="EP123" i="23"/>
  <c r="EQ123" i="23"/>
  <c r="ER123" i="23"/>
  <c r="ES123" i="23"/>
  <c r="ET123" i="23"/>
  <c r="EU123" i="23"/>
  <c r="EV123" i="23"/>
  <c r="EW123" i="23"/>
  <c r="EX123" i="23"/>
  <c r="EY123" i="23"/>
  <c r="EZ123" i="23"/>
  <c r="FA123" i="23"/>
  <c r="FB123" i="23"/>
  <c r="FC123" i="23"/>
  <c r="FD123" i="23"/>
  <c r="FE123" i="23"/>
  <c r="FF123" i="23"/>
  <c r="FG123" i="23"/>
  <c r="FH123" i="23"/>
  <c r="FI123" i="23"/>
  <c r="FJ123" i="23"/>
  <c r="FK123" i="23"/>
  <c r="FL123" i="23"/>
  <c r="FM123" i="23"/>
  <c r="FN123" i="23"/>
  <c r="FO123" i="23"/>
  <c r="FP123" i="23"/>
  <c r="FQ123" i="23"/>
  <c r="FR123" i="23"/>
  <c r="FS123" i="23"/>
  <c r="FT123" i="23"/>
  <c r="FU123" i="23"/>
  <c r="FV123" i="23"/>
  <c r="FW123" i="23"/>
  <c r="FX123" i="23"/>
  <c r="FY123" i="23"/>
  <c r="FZ123" i="23"/>
  <c r="GA123" i="23"/>
  <c r="GB123" i="23"/>
  <c r="GC123" i="23"/>
  <c r="GD123" i="23"/>
  <c r="GE123" i="23"/>
  <c r="GF123" i="23"/>
  <c r="GG123" i="23"/>
  <c r="GH123" i="23"/>
  <c r="GI123" i="23"/>
  <c r="GJ123" i="23"/>
  <c r="GK123" i="23"/>
  <c r="GL123" i="23"/>
  <c r="GM123" i="23"/>
  <c r="GN123" i="23"/>
  <c r="GO123" i="23"/>
  <c r="GP123" i="23"/>
  <c r="GQ123" i="23"/>
  <c r="GR123" i="23"/>
  <c r="GS123" i="23"/>
  <c r="GT123" i="23"/>
  <c r="GU123" i="23"/>
  <c r="GV123" i="23"/>
  <c r="GW123" i="23"/>
  <c r="GX123" i="23"/>
  <c r="GY123" i="23"/>
  <c r="GZ123" i="23"/>
  <c r="HA123" i="23"/>
  <c r="HB123" i="23"/>
  <c r="HC123" i="23"/>
  <c r="HD123" i="23"/>
  <c r="HE123" i="23"/>
  <c r="HF123" i="23"/>
  <c r="HG123" i="23"/>
  <c r="HH123" i="23"/>
  <c r="HI123" i="23"/>
  <c r="HJ123" i="23"/>
  <c r="HK123" i="23"/>
  <c r="HL123" i="23"/>
  <c r="HM123" i="23"/>
  <c r="HN123" i="23"/>
  <c r="HO123" i="23"/>
  <c r="HP123" i="23"/>
  <c r="HQ123" i="23"/>
  <c r="HR123" i="23"/>
  <c r="HS123" i="23"/>
  <c r="HT123" i="23"/>
  <c r="HU123" i="23"/>
  <c r="HV123" i="23"/>
  <c r="HW123" i="23"/>
  <c r="HX123" i="23"/>
  <c r="HY123" i="23"/>
  <c r="HZ123" i="23"/>
  <c r="IA123" i="23"/>
  <c r="IB123" i="23"/>
  <c r="IC123" i="23"/>
  <c r="ID123" i="23"/>
  <c r="IE123" i="23"/>
  <c r="IF123" i="23"/>
  <c r="IG123" i="23"/>
  <c r="IH123" i="23"/>
  <c r="II123" i="23"/>
  <c r="IJ123" i="23"/>
  <c r="IK123" i="23"/>
  <c r="IL123" i="23"/>
  <c r="IM123" i="23"/>
  <c r="IN123" i="23"/>
  <c r="IO123" i="23"/>
  <c r="IP123" i="23"/>
  <c r="IQ123" i="23"/>
  <c r="IR123" i="23"/>
  <c r="IS123" i="23"/>
  <c r="IT123" i="23"/>
  <c r="IU123" i="23"/>
  <c r="IV123" i="23"/>
  <c r="A122" i="23"/>
  <c r="B122" i="23"/>
  <c r="C122" i="23"/>
  <c r="D122" i="23"/>
  <c r="E122" i="23"/>
  <c r="F122" i="23"/>
  <c r="G122" i="23"/>
  <c r="H122" i="23"/>
  <c r="I122" i="23"/>
  <c r="J122" i="23"/>
  <c r="K122" i="23"/>
  <c r="L122" i="23"/>
  <c r="M122" i="23"/>
  <c r="N122" i="23"/>
  <c r="O122" i="23"/>
  <c r="P122" i="23"/>
  <c r="Q122" i="23"/>
  <c r="R122" i="23"/>
  <c r="S122" i="23"/>
  <c r="T122" i="23"/>
  <c r="U122" i="23"/>
  <c r="V122" i="23"/>
  <c r="W122" i="23"/>
  <c r="X122" i="23"/>
  <c r="Y122" i="23"/>
  <c r="Z122" i="23"/>
  <c r="AA122" i="23"/>
  <c r="AB122" i="23"/>
  <c r="AC122" i="23"/>
  <c r="AD122" i="23"/>
  <c r="AE122" i="23"/>
  <c r="AF122" i="23"/>
  <c r="AG122" i="23"/>
  <c r="AH122" i="23"/>
  <c r="AI122" i="23"/>
  <c r="AJ122" i="23"/>
  <c r="AK122" i="23"/>
  <c r="AL122" i="23"/>
  <c r="AM122" i="23"/>
  <c r="AN122" i="23"/>
  <c r="AO122" i="23"/>
  <c r="AP122" i="23"/>
  <c r="AQ122" i="23"/>
  <c r="AR122" i="23"/>
  <c r="AS122" i="23"/>
  <c r="AT122" i="23"/>
  <c r="AU122" i="23"/>
  <c r="AV122" i="23"/>
  <c r="AW122" i="23"/>
  <c r="AX122" i="23"/>
  <c r="AY122" i="23"/>
  <c r="AZ122" i="23"/>
  <c r="BA122" i="23"/>
  <c r="BB122" i="23"/>
  <c r="BC122" i="23"/>
  <c r="BD122" i="23"/>
  <c r="BE122" i="23"/>
  <c r="BF122" i="23"/>
  <c r="BG122" i="23"/>
  <c r="BH122" i="23"/>
  <c r="BI122" i="23"/>
  <c r="BJ122" i="23"/>
  <c r="BK122" i="23"/>
  <c r="BL122" i="23"/>
  <c r="BM122" i="23"/>
  <c r="BN122" i="23"/>
  <c r="BO122" i="23"/>
  <c r="BP122" i="23"/>
  <c r="BQ122" i="23"/>
  <c r="BR122" i="23"/>
  <c r="BS122" i="23"/>
  <c r="BT122" i="23"/>
  <c r="BU122" i="23"/>
  <c r="BV122" i="23"/>
  <c r="BW122" i="23"/>
  <c r="BX122" i="23"/>
  <c r="BY122" i="23"/>
  <c r="BZ122" i="23"/>
  <c r="CA122" i="23"/>
  <c r="CB122" i="23"/>
  <c r="CC122" i="23"/>
  <c r="CD122" i="23"/>
  <c r="CE122" i="23"/>
  <c r="CF122" i="23"/>
  <c r="CG122" i="23"/>
  <c r="CH122" i="23"/>
  <c r="CI122" i="23"/>
  <c r="CJ122" i="23"/>
  <c r="CK122" i="23"/>
  <c r="CL122" i="23"/>
  <c r="CM122" i="23"/>
  <c r="CN122" i="23"/>
  <c r="CO122" i="23"/>
  <c r="CP122" i="23"/>
  <c r="CQ122" i="23"/>
  <c r="CR122" i="23"/>
  <c r="CS122" i="23"/>
  <c r="CT122" i="23"/>
  <c r="CU122" i="23"/>
  <c r="CV122" i="23"/>
  <c r="CW122" i="23"/>
  <c r="CX122" i="23"/>
  <c r="CY122" i="23"/>
  <c r="CZ122" i="23"/>
  <c r="DA122" i="23"/>
  <c r="DB122" i="23"/>
  <c r="DC122" i="23"/>
  <c r="DD122" i="23"/>
  <c r="DE122" i="23"/>
  <c r="DF122" i="23"/>
  <c r="DG122" i="23"/>
  <c r="DH122" i="23"/>
  <c r="DI122" i="23"/>
  <c r="DJ122" i="23"/>
  <c r="DK122" i="23"/>
  <c r="DL122" i="23"/>
  <c r="DM122" i="23"/>
  <c r="DN122" i="23"/>
  <c r="DO122" i="23"/>
  <c r="DP122" i="23"/>
  <c r="DQ122" i="23"/>
  <c r="DR122" i="23"/>
  <c r="DS122" i="23"/>
  <c r="DT122" i="23"/>
  <c r="DU122" i="23"/>
  <c r="DV122" i="23"/>
  <c r="DW122" i="23"/>
  <c r="DX122" i="23"/>
  <c r="DY122" i="23"/>
  <c r="DZ122" i="23"/>
  <c r="EA122" i="23"/>
  <c r="EB122" i="23"/>
  <c r="EC122" i="23"/>
  <c r="ED122" i="23"/>
  <c r="EE122" i="23"/>
  <c r="EF122" i="23"/>
  <c r="EG122" i="23"/>
  <c r="EH122" i="23"/>
  <c r="EI122" i="23"/>
  <c r="EJ122" i="23"/>
  <c r="EK122" i="23"/>
  <c r="EL122" i="23"/>
  <c r="EM122" i="23"/>
  <c r="EN122" i="23"/>
  <c r="EO122" i="23"/>
  <c r="EP122" i="23"/>
  <c r="EQ122" i="23"/>
  <c r="ER122" i="23"/>
  <c r="ES122" i="23"/>
  <c r="ET122" i="23"/>
  <c r="EU122" i="23"/>
  <c r="EV122" i="23"/>
  <c r="EW122" i="23"/>
  <c r="EX122" i="23"/>
  <c r="EY122" i="23"/>
  <c r="EZ122" i="23"/>
  <c r="FA122" i="23"/>
  <c r="FB122" i="23"/>
  <c r="FC122" i="23"/>
  <c r="FD122" i="23"/>
  <c r="FE122" i="23"/>
  <c r="FF122" i="23"/>
  <c r="FG122" i="23"/>
  <c r="FH122" i="23"/>
  <c r="FI122" i="23"/>
  <c r="FJ122" i="23"/>
  <c r="FK122" i="23"/>
  <c r="FL122" i="23"/>
  <c r="FM122" i="23"/>
  <c r="FN122" i="23"/>
  <c r="FO122" i="23"/>
  <c r="FP122" i="23"/>
  <c r="FQ122" i="23"/>
  <c r="FR122" i="23"/>
  <c r="FS122" i="23"/>
  <c r="FT122" i="23"/>
  <c r="FU122" i="23"/>
  <c r="FV122" i="23"/>
  <c r="FW122" i="23"/>
  <c r="FX122" i="23"/>
  <c r="FY122" i="23"/>
  <c r="FZ122" i="23"/>
  <c r="GA122" i="23"/>
  <c r="GB122" i="23"/>
  <c r="GC122" i="23"/>
  <c r="GD122" i="23"/>
  <c r="GE122" i="23"/>
  <c r="GF122" i="23"/>
  <c r="GG122" i="23"/>
  <c r="GH122" i="23"/>
  <c r="GI122" i="23"/>
  <c r="GJ122" i="23"/>
  <c r="GK122" i="23"/>
  <c r="GL122" i="23"/>
  <c r="GM122" i="23"/>
  <c r="GN122" i="23"/>
  <c r="GO122" i="23"/>
  <c r="GP122" i="23"/>
  <c r="GQ122" i="23"/>
  <c r="GR122" i="23"/>
  <c r="GS122" i="23"/>
  <c r="GT122" i="23"/>
  <c r="GU122" i="23"/>
  <c r="GV122" i="23"/>
  <c r="GW122" i="23"/>
  <c r="GX122" i="23"/>
  <c r="GY122" i="23"/>
  <c r="GZ122" i="23"/>
  <c r="HA122" i="23"/>
  <c r="HB122" i="23"/>
  <c r="HC122" i="23"/>
  <c r="HD122" i="23"/>
  <c r="HE122" i="23"/>
  <c r="HF122" i="23"/>
  <c r="HG122" i="23"/>
  <c r="HH122" i="23"/>
  <c r="HI122" i="23"/>
  <c r="HJ122" i="23"/>
  <c r="HK122" i="23"/>
  <c r="HL122" i="23"/>
  <c r="HM122" i="23"/>
  <c r="HN122" i="23"/>
  <c r="HO122" i="23"/>
  <c r="HP122" i="23"/>
  <c r="HQ122" i="23"/>
  <c r="HR122" i="23"/>
  <c r="HS122" i="23"/>
  <c r="HT122" i="23"/>
  <c r="HU122" i="23"/>
  <c r="HV122" i="23"/>
  <c r="HW122" i="23"/>
  <c r="HX122" i="23"/>
  <c r="HY122" i="23"/>
  <c r="HZ122" i="23"/>
  <c r="IA122" i="23"/>
  <c r="IB122" i="23"/>
  <c r="IC122" i="23"/>
  <c r="ID122" i="23"/>
  <c r="IE122" i="23"/>
  <c r="IF122" i="23"/>
  <c r="IG122" i="23"/>
  <c r="IH122" i="23"/>
  <c r="II122" i="23"/>
  <c r="IJ122" i="23"/>
  <c r="IK122" i="23"/>
  <c r="IL122" i="23"/>
  <c r="IM122" i="23"/>
  <c r="IN122" i="23"/>
  <c r="IO122" i="23"/>
  <c r="IP122" i="23"/>
  <c r="IQ122" i="23"/>
  <c r="IR122" i="23"/>
  <c r="IS122" i="23"/>
  <c r="IT122" i="23"/>
  <c r="IU122" i="23"/>
  <c r="IV122" i="23"/>
  <c r="A121" i="23"/>
  <c r="B121" i="23"/>
  <c r="C121" i="23"/>
  <c r="D121" i="23"/>
  <c r="E121" i="23"/>
  <c r="F121" i="23"/>
  <c r="G121" i="23"/>
  <c r="H121" i="23"/>
  <c r="I121" i="23"/>
  <c r="J121" i="23"/>
  <c r="K121" i="23"/>
  <c r="L121" i="23"/>
  <c r="M121" i="23"/>
  <c r="N121" i="23"/>
  <c r="O121" i="23"/>
  <c r="P121" i="23"/>
  <c r="Q121" i="23"/>
  <c r="R121" i="23"/>
  <c r="S121" i="23"/>
  <c r="T121" i="23"/>
  <c r="U121" i="23"/>
  <c r="V121" i="23"/>
  <c r="W121" i="23"/>
  <c r="X121" i="23"/>
  <c r="Y121" i="23"/>
  <c r="Z121" i="23"/>
  <c r="AA121" i="23"/>
  <c r="AB121" i="23"/>
  <c r="AC121" i="23"/>
  <c r="AD121" i="23"/>
  <c r="AE121" i="23"/>
  <c r="AF121" i="23"/>
  <c r="AG121" i="23"/>
  <c r="AH121" i="23"/>
  <c r="AI121" i="23"/>
  <c r="AJ121" i="23"/>
  <c r="AK121" i="23"/>
  <c r="AL121" i="23"/>
  <c r="AM121" i="23"/>
  <c r="AN121" i="23"/>
  <c r="AO121" i="23"/>
  <c r="AP121" i="23"/>
  <c r="AQ121" i="23"/>
  <c r="AR121" i="23"/>
  <c r="AS121" i="23"/>
  <c r="AT121" i="23"/>
  <c r="AU121" i="23"/>
  <c r="AV121" i="23"/>
  <c r="AW121" i="23"/>
  <c r="AX121" i="23"/>
  <c r="AY121" i="23"/>
  <c r="AZ121" i="23"/>
  <c r="BA121" i="23"/>
  <c r="BB121" i="23"/>
  <c r="BC121" i="23"/>
  <c r="BD121" i="23"/>
  <c r="BE121" i="23"/>
  <c r="BF121" i="23"/>
  <c r="BG121" i="23"/>
  <c r="BH121" i="23"/>
  <c r="BI121" i="23"/>
  <c r="BJ121" i="23"/>
  <c r="BK121" i="23"/>
  <c r="BL121" i="23"/>
  <c r="BM121" i="23"/>
  <c r="BN121" i="23"/>
  <c r="BO121" i="23"/>
  <c r="BP121" i="23"/>
  <c r="BQ121" i="23"/>
  <c r="BR121" i="23"/>
  <c r="BS121" i="23"/>
  <c r="BT121" i="23"/>
  <c r="BU121" i="23"/>
  <c r="BV121" i="23"/>
  <c r="BW121" i="23"/>
  <c r="BX121" i="23"/>
  <c r="BY121" i="23"/>
  <c r="BZ121" i="23"/>
  <c r="CA121" i="23"/>
  <c r="CB121" i="23"/>
  <c r="CC121" i="23"/>
  <c r="CD121" i="23"/>
  <c r="CE121" i="23"/>
  <c r="CF121" i="23"/>
  <c r="CG121" i="23"/>
  <c r="CH121" i="23"/>
  <c r="CI121" i="23"/>
  <c r="CJ121" i="23"/>
  <c r="CK121" i="23"/>
  <c r="CL121" i="23"/>
  <c r="CM121" i="23"/>
  <c r="CN121" i="23"/>
  <c r="CO121" i="23"/>
  <c r="CP121" i="23"/>
  <c r="CQ121" i="23"/>
  <c r="CR121" i="23"/>
  <c r="CS121" i="23"/>
  <c r="CT121" i="23"/>
  <c r="CU121" i="23"/>
  <c r="CV121" i="23"/>
  <c r="CW121" i="23"/>
  <c r="CX121" i="23"/>
  <c r="CY121" i="23"/>
  <c r="CZ121" i="23"/>
  <c r="DA121" i="23"/>
  <c r="DB121" i="23"/>
  <c r="DC121" i="23"/>
  <c r="DD121" i="23"/>
  <c r="DE121" i="23"/>
  <c r="DF121" i="23"/>
  <c r="DG121" i="23"/>
  <c r="DH121" i="23"/>
  <c r="DI121" i="23"/>
  <c r="DJ121" i="23"/>
  <c r="DK121" i="23"/>
  <c r="DL121" i="23"/>
  <c r="DM121" i="23"/>
  <c r="DN121" i="23"/>
  <c r="DO121" i="23"/>
  <c r="DP121" i="23"/>
  <c r="DQ121" i="23"/>
  <c r="DR121" i="23"/>
  <c r="DS121" i="23"/>
  <c r="DT121" i="23"/>
  <c r="DU121" i="23"/>
  <c r="DV121" i="23"/>
  <c r="DW121" i="23"/>
  <c r="DX121" i="23"/>
  <c r="DY121" i="23"/>
  <c r="DZ121" i="23"/>
  <c r="EA121" i="23"/>
  <c r="EB121" i="23"/>
  <c r="EC121" i="23"/>
  <c r="ED121" i="23"/>
  <c r="EE121" i="23"/>
  <c r="EF121" i="23"/>
  <c r="EG121" i="23"/>
  <c r="EH121" i="23"/>
  <c r="EI121" i="23"/>
  <c r="EJ121" i="23"/>
  <c r="EK121" i="23"/>
  <c r="EL121" i="23"/>
  <c r="EM121" i="23"/>
  <c r="EN121" i="23"/>
  <c r="EO121" i="23"/>
  <c r="EP121" i="23"/>
  <c r="EQ121" i="23"/>
  <c r="ER121" i="23"/>
  <c r="ES121" i="23"/>
  <c r="ET121" i="23"/>
  <c r="EU121" i="23"/>
  <c r="EV121" i="23"/>
  <c r="EW121" i="23"/>
  <c r="EX121" i="23"/>
  <c r="EY121" i="23"/>
  <c r="EZ121" i="23"/>
  <c r="FA121" i="23"/>
  <c r="FB121" i="23"/>
  <c r="FC121" i="23"/>
  <c r="FD121" i="23"/>
  <c r="FE121" i="23"/>
  <c r="FF121" i="23"/>
  <c r="FG121" i="23"/>
  <c r="FH121" i="23"/>
  <c r="FI121" i="23"/>
  <c r="FJ121" i="23"/>
  <c r="FK121" i="23"/>
  <c r="FL121" i="23"/>
  <c r="FM121" i="23"/>
  <c r="FN121" i="23"/>
  <c r="FO121" i="23"/>
  <c r="FP121" i="23"/>
  <c r="FQ121" i="23"/>
  <c r="FR121" i="23"/>
  <c r="FS121" i="23"/>
  <c r="FT121" i="23"/>
  <c r="FU121" i="23"/>
  <c r="FV121" i="23"/>
  <c r="FW121" i="23"/>
  <c r="FX121" i="23"/>
  <c r="FY121" i="23"/>
  <c r="FZ121" i="23"/>
  <c r="GA121" i="23"/>
  <c r="GB121" i="23"/>
  <c r="GC121" i="23"/>
  <c r="GD121" i="23"/>
  <c r="GE121" i="23"/>
  <c r="GF121" i="23"/>
  <c r="GG121" i="23"/>
  <c r="GH121" i="23"/>
  <c r="GI121" i="23"/>
  <c r="GJ121" i="23"/>
  <c r="GK121" i="23"/>
  <c r="GL121" i="23"/>
  <c r="GM121" i="23"/>
  <c r="GN121" i="23"/>
  <c r="GO121" i="23"/>
  <c r="GP121" i="23"/>
  <c r="GQ121" i="23"/>
  <c r="GR121" i="23"/>
  <c r="GS121" i="23"/>
  <c r="GT121" i="23"/>
  <c r="GU121" i="23"/>
  <c r="GV121" i="23"/>
  <c r="GW121" i="23"/>
  <c r="GX121" i="23"/>
  <c r="GY121" i="23"/>
  <c r="GZ121" i="23"/>
  <c r="HA121" i="23"/>
  <c r="HB121" i="23"/>
  <c r="HC121" i="23"/>
  <c r="HD121" i="23"/>
  <c r="HE121" i="23"/>
  <c r="HF121" i="23"/>
  <c r="HG121" i="23"/>
  <c r="HH121" i="23"/>
  <c r="HI121" i="23"/>
  <c r="HJ121" i="23"/>
  <c r="HK121" i="23"/>
  <c r="HL121" i="23"/>
  <c r="HM121" i="23"/>
  <c r="HN121" i="23"/>
  <c r="HO121" i="23"/>
  <c r="HP121" i="23"/>
  <c r="HQ121" i="23"/>
  <c r="HR121" i="23"/>
  <c r="HS121" i="23"/>
  <c r="HT121" i="23"/>
  <c r="HU121" i="23"/>
  <c r="HV121" i="23"/>
  <c r="HW121" i="23"/>
  <c r="HX121" i="23"/>
  <c r="HY121" i="23"/>
  <c r="HZ121" i="23"/>
  <c r="IA121" i="23"/>
  <c r="IB121" i="23"/>
  <c r="IC121" i="23"/>
  <c r="ID121" i="23"/>
  <c r="IE121" i="23"/>
  <c r="IF121" i="23"/>
  <c r="IG121" i="23"/>
  <c r="IH121" i="23"/>
  <c r="II121" i="23"/>
  <c r="IJ121" i="23"/>
  <c r="IK121" i="23"/>
  <c r="IL121" i="23"/>
  <c r="IM121" i="23"/>
  <c r="IN121" i="23"/>
  <c r="IO121" i="23"/>
  <c r="IP121" i="23"/>
  <c r="IQ121" i="23"/>
  <c r="IR121" i="23"/>
  <c r="IS121" i="23"/>
  <c r="IT121" i="23"/>
  <c r="IU121" i="23"/>
  <c r="IV121" i="23"/>
  <c r="A120" i="23"/>
  <c r="B120" i="23"/>
  <c r="C120" i="23"/>
  <c r="D120" i="23"/>
  <c r="E120" i="23"/>
  <c r="F120" i="23"/>
  <c r="G120" i="23"/>
  <c r="H120" i="23"/>
  <c r="I120" i="23"/>
  <c r="J120" i="23"/>
  <c r="K120" i="23"/>
  <c r="L120" i="23"/>
  <c r="M120" i="23"/>
  <c r="N120" i="23"/>
  <c r="O120" i="23"/>
  <c r="P120" i="23"/>
  <c r="Q120" i="23"/>
  <c r="R120" i="23"/>
  <c r="S120" i="23"/>
  <c r="T120" i="23"/>
  <c r="U120" i="23"/>
  <c r="V120" i="23"/>
  <c r="W120" i="23"/>
  <c r="X120" i="23"/>
  <c r="Y120" i="23"/>
  <c r="Z120" i="23"/>
  <c r="AA120" i="23"/>
  <c r="AB120" i="23"/>
  <c r="AC120" i="23"/>
  <c r="AD120" i="23"/>
  <c r="AE120" i="23"/>
  <c r="AF120" i="23"/>
  <c r="AG120" i="23"/>
  <c r="AH120" i="23"/>
  <c r="AI120" i="23"/>
  <c r="AJ120" i="23"/>
  <c r="AK120" i="23"/>
  <c r="AL120" i="23"/>
  <c r="AM120" i="23"/>
  <c r="AN120" i="23"/>
  <c r="AO120" i="23"/>
  <c r="AP120" i="23"/>
  <c r="AQ120" i="23"/>
  <c r="AR120" i="23"/>
  <c r="AS120" i="23"/>
  <c r="AT120" i="23"/>
  <c r="AU120" i="23"/>
  <c r="AV120" i="23"/>
  <c r="AW120" i="23"/>
  <c r="AX120" i="23"/>
  <c r="AY120" i="23"/>
  <c r="AZ120" i="23"/>
  <c r="BA120" i="23"/>
  <c r="BB120" i="23"/>
  <c r="BC120" i="23"/>
  <c r="BD120" i="23"/>
  <c r="BE120" i="23"/>
  <c r="BF120" i="23"/>
  <c r="BG120" i="23"/>
  <c r="BH120" i="23"/>
  <c r="BI120" i="23"/>
  <c r="BJ120" i="23"/>
  <c r="BK120" i="23"/>
  <c r="BL120" i="23"/>
  <c r="BM120" i="23"/>
  <c r="BN120" i="23"/>
  <c r="BO120" i="23"/>
  <c r="BP120" i="23"/>
  <c r="BQ120" i="23"/>
  <c r="BR120" i="23"/>
  <c r="BS120" i="23"/>
  <c r="BT120" i="23"/>
  <c r="BU120" i="23"/>
  <c r="BV120" i="23"/>
  <c r="BW120" i="23"/>
  <c r="BX120" i="23"/>
  <c r="BY120" i="23"/>
  <c r="BZ120" i="23"/>
  <c r="CA120" i="23"/>
  <c r="CB120" i="23"/>
  <c r="CC120" i="23"/>
  <c r="CD120" i="23"/>
  <c r="CE120" i="23"/>
  <c r="CF120" i="23"/>
  <c r="CG120" i="23"/>
  <c r="CH120" i="23"/>
  <c r="CI120" i="23"/>
  <c r="CJ120" i="23"/>
  <c r="CK120" i="23"/>
  <c r="CL120" i="23"/>
  <c r="CM120" i="23"/>
  <c r="CN120" i="23"/>
  <c r="CO120" i="23"/>
  <c r="CP120" i="23"/>
  <c r="CQ120" i="23"/>
  <c r="CR120" i="23"/>
  <c r="CS120" i="23"/>
  <c r="CT120" i="23"/>
  <c r="CU120" i="23"/>
  <c r="CV120" i="23"/>
  <c r="CW120" i="23"/>
  <c r="CX120" i="23"/>
  <c r="CY120" i="23"/>
  <c r="CZ120" i="23"/>
  <c r="DA120" i="23"/>
  <c r="DB120" i="23"/>
  <c r="DC120" i="23"/>
  <c r="DD120" i="23"/>
  <c r="DE120" i="23"/>
  <c r="DF120" i="23"/>
  <c r="DG120" i="23"/>
  <c r="DH120" i="23"/>
  <c r="DI120" i="23"/>
  <c r="DJ120" i="23"/>
  <c r="DK120" i="23"/>
  <c r="DL120" i="23"/>
  <c r="DM120" i="23"/>
  <c r="DN120" i="23"/>
  <c r="DO120" i="23"/>
  <c r="DP120" i="23"/>
  <c r="DQ120" i="23"/>
  <c r="DR120" i="23"/>
  <c r="DS120" i="23"/>
  <c r="DT120" i="23"/>
  <c r="DU120" i="23"/>
  <c r="DV120" i="23"/>
  <c r="DW120" i="23"/>
  <c r="DX120" i="23"/>
  <c r="DY120" i="23"/>
  <c r="DZ120" i="23"/>
  <c r="EA120" i="23"/>
  <c r="EB120" i="23"/>
  <c r="EC120" i="23"/>
  <c r="ED120" i="23"/>
  <c r="EE120" i="23"/>
  <c r="EF120" i="23"/>
  <c r="EG120" i="23"/>
  <c r="EH120" i="23"/>
  <c r="EI120" i="23"/>
  <c r="EJ120" i="23"/>
  <c r="EK120" i="23"/>
  <c r="EL120" i="23"/>
  <c r="EM120" i="23"/>
  <c r="EN120" i="23"/>
  <c r="EO120" i="23"/>
  <c r="EP120" i="23"/>
  <c r="EQ120" i="23"/>
  <c r="ER120" i="23"/>
  <c r="ES120" i="23"/>
  <c r="ET120" i="23"/>
  <c r="EU120" i="23"/>
  <c r="EV120" i="23"/>
  <c r="EW120" i="23"/>
  <c r="EX120" i="23"/>
  <c r="EY120" i="23"/>
  <c r="EZ120" i="23"/>
  <c r="FA120" i="23"/>
  <c r="FB120" i="23"/>
  <c r="FC120" i="23"/>
  <c r="FD120" i="23"/>
  <c r="FE120" i="23"/>
  <c r="FF120" i="23"/>
  <c r="FG120" i="23"/>
  <c r="FH120" i="23"/>
  <c r="FI120" i="23"/>
  <c r="FJ120" i="23"/>
  <c r="FK120" i="23"/>
  <c r="FL120" i="23"/>
  <c r="FM120" i="23"/>
  <c r="FN120" i="23"/>
  <c r="FO120" i="23"/>
  <c r="FP120" i="23"/>
  <c r="FQ120" i="23"/>
  <c r="FR120" i="23"/>
  <c r="FS120" i="23"/>
  <c r="FT120" i="23"/>
  <c r="FU120" i="23"/>
  <c r="FV120" i="23"/>
  <c r="FW120" i="23"/>
  <c r="FX120" i="23"/>
  <c r="FY120" i="23"/>
  <c r="FZ120" i="23"/>
  <c r="GA120" i="23"/>
  <c r="GB120" i="23"/>
  <c r="GC120" i="23"/>
  <c r="GD120" i="23"/>
  <c r="GE120" i="23"/>
  <c r="GF120" i="23"/>
  <c r="GG120" i="23"/>
  <c r="GH120" i="23"/>
  <c r="GI120" i="23"/>
  <c r="GJ120" i="23"/>
  <c r="GK120" i="23"/>
  <c r="GL120" i="23"/>
  <c r="GM120" i="23"/>
  <c r="GN120" i="23"/>
  <c r="GO120" i="23"/>
  <c r="GP120" i="23"/>
  <c r="GQ120" i="23"/>
  <c r="GR120" i="23"/>
  <c r="GS120" i="23"/>
  <c r="GT120" i="23"/>
  <c r="GU120" i="23"/>
  <c r="GV120" i="23"/>
  <c r="GW120" i="23"/>
  <c r="GX120" i="23"/>
  <c r="GY120" i="23"/>
  <c r="GZ120" i="23"/>
  <c r="HA120" i="23"/>
  <c r="HB120" i="23"/>
  <c r="HC120" i="23"/>
  <c r="HD120" i="23"/>
  <c r="HE120" i="23"/>
  <c r="HF120" i="23"/>
  <c r="HG120" i="23"/>
  <c r="HH120" i="23"/>
  <c r="HI120" i="23"/>
  <c r="HJ120" i="23"/>
  <c r="HK120" i="23"/>
  <c r="HL120" i="23"/>
  <c r="HM120" i="23"/>
  <c r="HN120" i="23"/>
  <c r="HO120" i="23"/>
  <c r="HP120" i="23"/>
  <c r="HQ120" i="23"/>
  <c r="HR120" i="23"/>
  <c r="HS120" i="23"/>
  <c r="HT120" i="23"/>
  <c r="HU120" i="23"/>
  <c r="HV120" i="23"/>
  <c r="HW120" i="23"/>
  <c r="HX120" i="23"/>
  <c r="HY120" i="23"/>
  <c r="HZ120" i="23"/>
  <c r="IA120" i="23"/>
  <c r="IB120" i="23"/>
  <c r="IC120" i="23"/>
  <c r="ID120" i="23"/>
  <c r="IE120" i="23"/>
  <c r="IF120" i="23"/>
  <c r="IG120" i="23"/>
  <c r="IH120" i="23"/>
  <c r="II120" i="23"/>
  <c r="IJ120" i="23"/>
  <c r="IK120" i="23"/>
  <c r="IL120" i="23"/>
  <c r="IM120" i="23"/>
  <c r="IN120" i="23"/>
  <c r="IO120" i="23"/>
  <c r="IP120" i="23"/>
  <c r="IQ120" i="23"/>
  <c r="IR120" i="23"/>
  <c r="IS120" i="23"/>
  <c r="IT120" i="23"/>
  <c r="IU120" i="23"/>
  <c r="IV120" i="23"/>
  <c r="A119" i="23"/>
  <c r="B119" i="23"/>
  <c r="C119" i="23"/>
  <c r="D119" i="23"/>
  <c r="E119" i="23"/>
  <c r="F119" i="23"/>
  <c r="G119" i="23"/>
  <c r="H119" i="23"/>
  <c r="I119" i="23"/>
  <c r="J119" i="23"/>
  <c r="K119" i="23"/>
  <c r="L119" i="23"/>
  <c r="M119" i="23"/>
  <c r="N119" i="23"/>
  <c r="O119" i="23"/>
  <c r="P119" i="23"/>
  <c r="Q119" i="23"/>
  <c r="R119" i="23"/>
  <c r="S119" i="23"/>
  <c r="T119" i="23"/>
  <c r="U119" i="23"/>
  <c r="V119" i="23"/>
  <c r="W119" i="23"/>
  <c r="X119" i="23"/>
  <c r="Y119" i="23"/>
  <c r="Z119" i="23"/>
  <c r="AA119" i="23"/>
  <c r="AB119" i="23"/>
  <c r="AC119" i="23"/>
  <c r="AD119" i="23"/>
  <c r="AE119" i="23"/>
  <c r="AF119" i="23"/>
  <c r="AG119" i="23"/>
  <c r="AH119" i="23"/>
  <c r="AI119" i="23"/>
  <c r="AJ119" i="23"/>
  <c r="AK119" i="23"/>
  <c r="AL119" i="23"/>
  <c r="AM119" i="23"/>
  <c r="AN119" i="23"/>
  <c r="AO119" i="23"/>
  <c r="AP119" i="23"/>
  <c r="AQ119" i="23"/>
  <c r="AR119" i="23"/>
  <c r="AS119" i="23"/>
  <c r="AT119" i="23"/>
  <c r="AU119" i="23"/>
  <c r="AV119" i="23"/>
  <c r="AW119" i="23"/>
  <c r="AX119" i="23"/>
  <c r="AY119" i="23"/>
  <c r="AZ119" i="23"/>
  <c r="BA119" i="23"/>
  <c r="BB119" i="23"/>
  <c r="BC119" i="23"/>
  <c r="BD119" i="23"/>
  <c r="BE119" i="23"/>
  <c r="BF119" i="23"/>
  <c r="BG119" i="23"/>
  <c r="BH119" i="23"/>
  <c r="BI119" i="23"/>
  <c r="BJ119" i="23"/>
  <c r="BK119" i="23"/>
  <c r="BL119" i="23"/>
  <c r="BM119" i="23"/>
  <c r="BN119" i="23"/>
  <c r="BO119" i="23"/>
  <c r="BP119" i="23"/>
  <c r="BQ119" i="23"/>
  <c r="BR119" i="23"/>
  <c r="BS119" i="23"/>
  <c r="BT119" i="23"/>
  <c r="BU119" i="23"/>
  <c r="BV119" i="23"/>
  <c r="BW119" i="23"/>
  <c r="BX119" i="23"/>
  <c r="BY119" i="23"/>
  <c r="BZ119" i="23"/>
  <c r="CA119" i="23"/>
  <c r="CB119" i="23"/>
  <c r="CC119" i="23"/>
  <c r="CD119" i="23"/>
  <c r="CE119" i="23"/>
  <c r="CF119" i="23"/>
  <c r="CG119" i="23"/>
  <c r="CH119" i="23"/>
  <c r="CI119" i="23"/>
  <c r="CJ119" i="23"/>
  <c r="CK119" i="23"/>
  <c r="CL119" i="23"/>
  <c r="CM119" i="23"/>
  <c r="CN119" i="23"/>
  <c r="CO119" i="23"/>
  <c r="CP119" i="23"/>
  <c r="CQ119" i="23"/>
  <c r="CR119" i="23"/>
  <c r="CS119" i="23"/>
  <c r="CT119" i="23"/>
  <c r="CU119" i="23"/>
  <c r="CV119" i="23"/>
  <c r="CW119" i="23"/>
  <c r="CX119" i="23"/>
  <c r="CY119" i="23"/>
  <c r="CZ119" i="23"/>
  <c r="DA119" i="23"/>
  <c r="DB119" i="23"/>
  <c r="DC119" i="23"/>
  <c r="DD119" i="23"/>
  <c r="DE119" i="23"/>
  <c r="DF119" i="23"/>
  <c r="DG119" i="23"/>
  <c r="DH119" i="23"/>
  <c r="DI119" i="23"/>
  <c r="DJ119" i="23"/>
  <c r="DK119" i="23"/>
  <c r="DL119" i="23"/>
  <c r="DM119" i="23"/>
  <c r="DN119" i="23"/>
  <c r="DO119" i="23"/>
  <c r="DP119" i="23"/>
  <c r="DQ119" i="23"/>
  <c r="DR119" i="23"/>
  <c r="DS119" i="23"/>
  <c r="DT119" i="23"/>
  <c r="DU119" i="23"/>
  <c r="DV119" i="23"/>
  <c r="DW119" i="23"/>
  <c r="DX119" i="23"/>
  <c r="DY119" i="23"/>
  <c r="DZ119" i="23"/>
  <c r="EA119" i="23"/>
  <c r="EB119" i="23"/>
  <c r="EC119" i="23"/>
  <c r="ED119" i="23"/>
  <c r="EE119" i="23"/>
  <c r="EF119" i="23"/>
  <c r="EG119" i="23"/>
  <c r="EH119" i="23"/>
  <c r="EI119" i="23"/>
  <c r="EJ119" i="23"/>
  <c r="EK119" i="23"/>
  <c r="EL119" i="23"/>
  <c r="EM119" i="23"/>
  <c r="EN119" i="23"/>
  <c r="EO119" i="23"/>
  <c r="EP119" i="23"/>
  <c r="EQ119" i="23"/>
  <c r="ER119" i="23"/>
  <c r="ES119" i="23"/>
  <c r="ET119" i="23"/>
  <c r="EU119" i="23"/>
  <c r="EV119" i="23"/>
  <c r="EW119" i="23"/>
  <c r="EX119" i="23"/>
  <c r="EY119" i="23"/>
  <c r="EZ119" i="23"/>
  <c r="FA119" i="23"/>
  <c r="FB119" i="23"/>
  <c r="FC119" i="23"/>
  <c r="FD119" i="23"/>
  <c r="FE119" i="23"/>
  <c r="FF119" i="23"/>
  <c r="FG119" i="23"/>
  <c r="FH119" i="23"/>
  <c r="FI119" i="23"/>
  <c r="FJ119" i="23"/>
  <c r="FK119" i="23"/>
  <c r="FL119" i="23"/>
  <c r="FM119" i="23"/>
  <c r="FN119" i="23"/>
  <c r="FO119" i="23"/>
  <c r="FP119" i="23"/>
  <c r="FQ119" i="23"/>
  <c r="FR119" i="23"/>
  <c r="FS119" i="23"/>
  <c r="FT119" i="23"/>
  <c r="FU119" i="23"/>
  <c r="FV119" i="23"/>
  <c r="FW119" i="23"/>
  <c r="FX119" i="23"/>
  <c r="FY119" i="23"/>
  <c r="FZ119" i="23"/>
  <c r="GA119" i="23"/>
  <c r="GB119" i="23"/>
  <c r="GC119" i="23"/>
  <c r="GD119" i="23"/>
  <c r="GE119" i="23"/>
  <c r="GF119" i="23"/>
  <c r="GG119" i="23"/>
  <c r="GH119" i="23"/>
  <c r="GI119" i="23"/>
  <c r="GJ119" i="23"/>
  <c r="GK119" i="23"/>
  <c r="GL119" i="23"/>
  <c r="GM119" i="23"/>
  <c r="GN119" i="23"/>
  <c r="GO119" i="23"/>
  <c r="GP119" i="23"/>
  <c r="GQ119" i="23"/>
  <c r="GR119" i="23"/>
  <c r="GS119" i="23"/>
  <c r="GT119" i="23"/>
  <c r="GU119" i="23"/>
  <c r="GV119" i="23"/>
  <c r="GW119" i="23"/>
  <c r="GX119" i="23"/>
  <c r="GY119" i="23"/>
  <c r="GZ119" i="23"/>
  <c r="HA119" i="23"/>
  <c r="HB119" i="23"/>
  <c r="HC119" i="23"/>
  <c r="HD119" i="23"/>
  <c r="HE119" i="23"/>
  <c r="HF119" i="23"/>
  <c r="HG119" i="23"/>
  <c r="HH119" i="23"/>
  <c r="HI119" i="23"/>
  <c r="HJ119" i="23"/>
  <c r="HK119" i="23"/>
  <c r="HL119" i="23"/>
  <c r="HM119" i="23"/>
  <c r="HN119" i="23"/>
  <c r="HO119" i="23"/>
  <c r="HP119" i="23"/>
  <c r="HQ119" i="23"/>
  <c r="HR119" i="23"/>
  <c r="HS119" i="23"/>
  <c r="HT119" i="23"/>
  <c r="HU119" i="23"/>
  <c r="HV119" i="23"/>
  <c r="HW119" i="23"/>
  <c r="HX119" i="23"/>
  <c r="HY119" i="23"/>
  <c r="HZ119" i="23"/>
  <c r="IA119" i="23"/>
  <c r="IB119" i="23"/>
  <c r="IC119" i="23"/>
  <c r="ID119" i="23"/>
  <c r="IE119" i="23"/>
  <c r="IF119" i="23"/>
  <c r="IG119" i="23"/>
  <c r="IH119" i="23"/>
  <c r="II119" i="23"/>
  <c r="IJ119" i="23"/>
  <c r="IK119" i="23"/>
  <c r="IL119" i="23"/>
  <c r="IM119" i="23"/>
  <c r="IN119" i="23"/>
  <c r="IO119" i="23"/>
  <c r="IP119" i="23"/>
  <c r="IQ119" i="23"/>
  <c r="IR119" i="23"/>
  <c r="IS119" i="23"/>
  <c r="IT119" i="23"/>
  <c r="IU119" i="23"/>
  <c r="IV119" i="23"/>
  <c r="A118" i="23"/>
  <c r="B118" i="23"/>
  <c r="C118" i="23"/>
  <c r="D118" i="23"/>
  <c r="E118" i="23"/>
  <c r="F118" i="23"/>
  <c r="G118" i="23"/>
  <c r="H118" i="23"/>
  <c r="I118" i="23"/>
  <c r="J118" i="23"/>
  <c r="K118" i="23"/>
  <c r="L118" i="23"/>
  <c r="M118" i="23"/>
  <c r="N118" i="23"/>
  <c r="O118" i="23"/>
  <c r="P118" i="23"/>
  <c r="Q118" i="23"/>
  <c r="R118" i="23"/>
  <c r="S118" i="23"/>
  <c r="T118" i="23"/>
  <c r="U118" i="23"/>
  <c r="V118" i="23"/>
  <c r="W118" i="23"/>
  <c r="X118" i="23"/>
  <c r="Y118" i="23"/>
  <c r="Z118" i="23"/>
  <c r="AA118" i="23"/>
  <c r="AB118" i="23"/>
  <c r="AC118" i="23"/>
  <c r="AD118" i="23"/>
  <c r="AE118" i="23"/>
  <c r="AF118" i="23"/>
  <c r="AG118" i="23"/>
  <c r="AH118" i="23"/>
  <c r="AI118" i="23"/>
  <c r="AJ118" i="23"/>
  <c r="AK118" i="23"/>
  <c r="AL118" i="23"/>
  <c r="AM118" i="23"/>
  <c r="AN118" i="23"/>
  <c r="AO118" i="23"/>
  <c r="AP118" i="23"/>
  <c r="AQ118" i="23"/>
  <c r="AR118" i="23"/>
  <c r="AS118" i="23"/>
  <c r="AT118" i="23"/>
  <c r="AU118" i="23"/>
  <c r="AV118" i="23"/>
  <c r="AW118" i="23"/>
  <c r="AX118" i="23"/>
  <c r="AY118" i="23"/>
  <c r="AZ118" i="23"/>
  <c r="BA118" i="23"/>
  <c r="BB118" i="23"/>
  <c r="BC118" i="23"/>
  <c r="BD118" i="23"/>
  <c r="BE118" i="23"/>
  <c r="BF118" i="23"/>
  <c r="BG118" i="23"/>
  <c r="BH118" i="23"/>
  <c r="BI118" i="23"/>
  <c r="BJ118" i="23"/>
  <c r="BK118" i="23"/>
  <c r="BL118" i="23"/>
  <c r="BM118" i="23"/>
  <c r="BN118" i="23"/>
  <c r="BO118" i="23"/>
  <c r="BP118" i="23"/>
  <c r="BQ118" i="23"/>
  <c r="BR118" i="23"/>
  <c r="BS118" i="23"/>
  <c r="BT118" i="23"/>
  <c r="BU118" i="23"/>
  <c r="BV118" i="23"/>
  <c r="BW118" i="23"/>
  <c r="BX118" i="23"/>
  <c r="BY118" i="23"/>
  <c r="BZ118" i="23"/>
  <c r="CA118" i="23"/>
  <c r="CB118" i="23"/>
  <c r="CC118" i="23"/>
  <c r="CD118" i="23"/>
  <c r="CE118" i="23"/>
  <c r="CF118" i="23"/>
  <c r="CG118" i="23"/>
  <c r="CH118" i="23"/>
  <c r="CI118" i="23"/>
  <c r="CJ118" i="23"/>
  <c r="CK118" i="23"/>
  <c r="CL118" i="23"/>
  <c r="CM118" i="23"/>
  <c r="CN118" i="23"/>
  <c r="CO118" i="23"/>
  <c r="CP118" i="23"/>
  <c r="CQ118" i="23"/>
  <c r="CR118" i="23"/>
  <c r="CS118" i="23"/>
  <c r="CT118" i="23"/>
  <c r="CU118" i="23"/>
  <c r="CV118" i="23"/>
  <c r="CW118" i="23"/>
  <c r="CX118" i="23"/>
  <c r="CY118" i="23"/>
  <c r="CZ118" i="23"/>
  <c r="DA118" i="23"/>
  <c r="DB118" i="23"/>
  <c r="DC118" i="23"/>
  <c r="DD118" i="23"/>
  <c r="DE118" i="23"/>
  <c r="DF118" i="23"/>
  <c r="DG118" i="23"/>
  <c r="DH118" i="23"/>
  <c r="DI118" i="23"/>
  <c r="DJ118" i="23"/>
  <c r="DK118" i="23"/>
  <c r="DL118" i="23"/>
  <c r="DM118" i="23"/>
  <c r="DN118" i="23"/>
  <c r="DO118" i="23"/>
  <c r="DP118" i="23"/>
  <c r="DQ118" i="23"/>
  <c r="DR118" i="23"/>
  <c r="DS118" i="23"/>
  <c r="DT118" i="23"/>
  <c r="DU118" i="23"/>
  <c r="DV118" i="23"/>
  <c r="DW118" i="23"/>
  <c r="DX118" i="23"/>
  <c r="DY118" i="23"/>
  <c r="DZ118" i="23"/>
  <c r="EA118" i="23"/>
  <c r="EB118" i="23"/>
  <c r="EC118" i="23"/>
  <c r="ED118" i="23"/>
  <c r="EE118" i="23"/>
  <c r="EF118" i="23"/>
  <c r="EG118" i="23"/>
  <c r="EH118" i="23"/>
  <c r="EI118" i="23"/>
  <c r="EJ118" i="23"/>
  <c r="EK118" i="23"/>
  <c r="EL118" i="23"/>
  <c r="EM118" i="23"/>
  <c r="EN118" i="23"/>
  <c r="EO118" i="23"/>
  <c r="EP118" i="23"/>
  <c r="EQ118" i="23"/>
  <c r="ER118" i="23"/>
  <c r="ES118" i="23"/>
  <c r="ET118" i="23"/>
  <c r="EU118" i="23"/>
  <c r="EV118" i="23"/>
  <c r="EW118" i="23"/>
  <c r="EX118" i="23"/>
  <c r="EY118" i="23"/>
  <c r="EZ118" i="23"/>
  <c r="FA118" i="23"/>
  <c r="FB118" i="23"/>
  <c r="FC118" i="23"/>
  <c r="FD118" i="23"/>
  <c r="FE118" i="23"/>
  <c r="FF118" i="23"/>
  <c r="FG118" i="23"/>
  <c r="FH118" i="23"/>
  <c r="FI118" i="23"/>
  <c r="FJ118" i="23"/>
  <c r="FK118" i="23"/>
  <c r="FL118" i="23"/>
  <c r="FM118" i="23"/>
  <c r="FN118" i="23"/>
  <c r="FO118" i="23"/>
  <c r="FP118" i="23"/>
  <c r="FQ118" i="23"/>
  <c r="FR118" i="23"/>
  <c r="FS118" i="23"/>
  <c r="FT118" i="23"/>
  <c r="FU118" i="23"/>
  <c r="FV118" i="23"/>
  <c r="FW118" i="23"/>
  <c r="FX118" i="23"/>
  <c r="FY118" i="23"/>
  <c r="FZ118" i="23"/>
  <c r="GA118" i="23"/>
  <c r="GB118" i="23"/>
  <c r="GC118" i="23"/>
  <c r="GD118" i="23"/>
  <c r="GE118" i="23"/>
  <c r="GF118" i="23"/>
  <c r="GG118" i="23"/>
  <c r="GH118" i="23"/>
  <c r="GI118" i="23"/>
  <c r="GJ118" i="23"/>
  <c r="GK118" i="23"/>
  <c r="GL118" i="23"/>
  <c r="GM118" i="23"/>
  <c r="GN118" i="23"/>
  <c r="GO118" i="23"/>
  <c r="GP118" i="23"/>
  <c r="GQ118" i="23"/>
  <c r="GR118" i="23"/>
  <c r="GS118" i="23"/>
  <c r="GT118" i="23"/>
  <c r="GU118" i="23"/>
  <c r="GV118" i="23"/>
  <c r="GW118" i="23"/>
  <c r="GX118" i="23"/>
  <c r="GY118" i="23"/>
  <c r="GZ118" i="23"/>
  <c r="HA118" i="23"/>
  <c r="HB118" i="23"/>
  <c r="HC118" i="23"/>
  <c r="HD118" i="23"/>
  <c r="HE118" i="23"/>
  <c r="HF118" i="23"/>
  <c r="HG118" i="23"/>
  <c r="HH118" i="23"/>
  <c r="HI118" i="23"/>
  <c r="HJ118" i="23"/>
  <c r="HK118" i="23"/>
  <c r="HL118" i="23"/>
  <c r="HM118" i="23"/>
  <c r="HN118" i="23"/>
  <c r="HO118" i="23"/>
  <c r="HP118" i="23"/>
  <c r="HQ118" i="23"/>
  <c r="HR118" i="23"/>
  <c r="HS118" i="23"/>
  <c r="HT118" i="23"/>
  <c r="HU118" i="23"/>
  <c r="HV118" i="23"/>
  <c r="HW118" i="23"/>
  <c r="HX118" i="23"/>
  <c r="HY118" i="23"/>
  <c r="HZ118" i="23"/>
  <c r="IA118" i="23"/>
  <c r="IB118" i="23"/>
  <c r="IC118" i="23"/>
  <c r="ID118" i="23"/>
  <c r="IE118" i="23"/>
  <c r="IF118" i="23"/>
  <c r="IG118" i="23"/>
  <c r="IH118" i="23"/>
  <c r="II118" i="23"/>
  <c r="IJ118" i="23"/>
  <c r="IK118" i="23"/>
  <c r="IL118" i="23"/>
  <c r="IM118" i="23"/>
  <c r="IN118" i="23"/>
  <c r="IO118" i="23"/>
  <c r="IP118" i="23"/>
  <c r="IQ118" i="23"/>
  <c r="IR118" i="23"/>
  <c r="IS118" i="23"/>
  <c r="IT118" i="23"/>
  <c r="IU118" i="23"/>
  <c r="IV118" i="23"/>
  <c r="A117" i="23"/>
  <c r="B117" i="23"/>
  <c r="C117" i="23"/>
  <c r="D117" i="23"/>
  <c r="E117" i="23"/>
  <c r="F117" i="23"/>
  <c r="G117" i="23"/>
  <c r="H117" i="23"/>
  <c r="I117" i="23"/>
  <c r="J117" i="23"/>
  <c r="K117" i="23"/>
  <c r="L117" i="23"/>
  <c r="M117" i="23"/>
  <c r="N117" i="23"/>
  <c r="O117" i="23"/>
  <c r="P117" i="23"/>
  <c r="Q117" i="23"/>
  <c r="R117" i="23"/>
  <c r="S117" i="23"/>
  <c r="T117" i="23"/>
  <c r="U117" i="23"/>
  <c r="V117" i="23"/>
  <c r="W117" i="23"/>
  <c r="X117" i="23"/>
  <c r="Y117" i="23"/>
  <c r="Z117" i="23"/>
  <c r="AA117" i="23"/>
  <c r="AB117" i="23"/>
  <c r="AC117" i="23"/>
  <c r="AD117" i="23"/>
  <c r="AE117" i="23"/>
  <c r="AF117" i="23"/>
  <c r="AG117" i="23"/>
  <c r="AH117" i="23"/>
  <c r="AI117" i="23"/>
  <c r="AJ117" i="23"/>
  <c r="AK117" i="23"/>
  <c r="AL117" i="23"/>
  <c r="AM117" i="23"/>
  <c r="AN117" i="23"/>
  <c r="AO117" i="23"/>
  <c r="AP117" i="23"/>
  <c r="AQ117" i="23"/>
  <c r="AR117" i="23"/>
  <c r="AS117" i="23"/>
  <c r="AT117" i="23"/>
  <c r="AU117" i="23"/>
  <c r="AV117" i="23"/>
  <c r="AW117" i="23"/>
  <c r="AX117" i="23"/>
  <c r="AY117" i="23"/>
  <c r="AZ117" i="23"/>
  <c r="BA117" i="23"/>
  <c r="BB117" i="23"/>
  <c r="BC117" i="23"/>
  <c r="BD117" i="23"/>
  <c r="BE117" i="23"/>
  <c r="BF117" i="23"/>
  <c r="BG117" i="23"/>
  <c r="BH117" i="23"/>
  <c r="BI117" i="23"/>
  <c r="BJ117" i="23"/>
  <c r="BK117" i="23"/>
  <c r="BL117" i="23"/>
  <c r="BM117" i="23"/>
  <c r="BN117" i="23"/>
  <c r="BO117" i="23"/>
  <c r="BP117" i="23"/>
  <c r="BQ117" i="23"/>
  <c r="BR117" i="23"/>
  <c r="BS117" i="23"/>
  <c r="BT117" i="23"/>
  <c r="BU117" i="23"/>
  <c r="BV117" i="23"/>
  <c r="BW117" i="23"/>
  <c r="BX117" i="23"/>
  <c r="BY117" i="23"/>
  <c r="BZ117" i="23"/>
  <c r="CA117" i="23"/>
  <c r="CB117" i="23"/>
  <c r="CC117" i="23"/>
  <c r="CD117" i="23"/>
  <c r="CE117" i="23"/>
  <c r="CF117" i="23"/>
  <c r="CG117" i="23"/>
  <c r="CH117" i="23"/>
  <c r="CI117" i="23"/>
  <c r="CJ117" i="23"/>
  <c r="CK117" i="23"/>
  <c r="CL117" i="23"/>
  <c r="CM117" i="23"/>
  <c r="CN117" i="23"/>
  <c r="CO117" i="23"/>
  <c r="CP117" i="23"/>
  <c r="CQ117" i="23"/>
  <c r="CR117" i="23"/>
  <c r="CS117" i="23"/>
  <c r="CT117" i="23"/>
  <c r="CU117" i="23"/>
  <c r="CV117" i="23"/>
  <c r="CW117" i="23"/>
  <c r="CX117" i="23"/>
  <c r="CY117" i="23"/>
  <c r="CZ117" i="23"/>
  <c r="DA117" i="23"/>
  <c r="DB117" i="23"/>
  <c r="DC117" i="23"/>
  <c r="DD117" i="23"/>
  <c r="DE117" i="23"/>
  <c r="DF117" i="23"/>
  <c r="DG117" i="23"/>
  <c r="DH117" i="23"/>
  <c r="DI117" i="23"/>
  <c r="DJ117" i="23"/>
  <c r="DK117" i="23"/>
  <c r="DL117" i="23"/>
  <c r="DM117" i="23"/>
  <c r="DN117" i="23"/>
  <c r="DO117" i="23"/>
  <c r="DP117" i="23"/>
  <c r="DQ117" i="23"/>
  <c r="DR117" i="23"/>
  <c r="DS117" i="23"/>
  <c r="DT117" i="23"/>
  <c r="DU117" i="23"/>
  <c r="DV117" i="23"/>
  <c r="DW117" i="23"/>
  <c r="DX117" i="23"/>
  <c r="DY117" i="23"/>
  <c r="DZ117" i="23"/>
  <c r="EA117" i="23"/>
  <c r="EB117" i="23"/>
  <c r="EC117" i="23"/>
  <c r="ED117" i="23"/>
  <c r="EE117" i="23"/>
  <c r="EF117" i="23"/>
  <c r="EG117" i="23"/>
  <c r="EH117" i="23"/>
  <c r="EI117" i="23"/>
  <c r="EJ117" i="23"/>
  <c r="EK117" i="23"/>
  <c r="EL117" i="23"/>
  <c r="EM117" i="23"/>
  <c r="EN117" i="23"/>
  <c r="EO117" i="23"/>
  <c r="EP117" i="23"/>
  <c r="EQ117" i="23"/>
  <c r="ER117" i="23"/>
  <c r="ES117" i="23"/>
  <c r="ET117" i="23"/>
  <c r="EU117" i="23"/>
  <c r="EV117" i="23"/>
  <c r="EW117" i="23"/>
  <c r="EX117" i="23"/>
  <c r="EY117" i="23"/>
  <c r="EZ117" i="23"/>
  <c r="FA117" i="23"/>
  <c r="FB117" i="23"/>
  <c r="FC117" i="23"/>
  <c r="FD117" i="23"/>
  <c r="FE117" i="23"/>
  <c r="FF117" i="23"/>
  <c r="FG117" i="23"/>
  <c r="FH117" i="23"/>
  <c r="FI117" i="23"/>
  <c r="FJ117" i="23"/>
  <c r="FK117" i="23"/>
  <c r="FL117" i="23"/>
  <c r="FM117" i="23"/>
  <c r="FN117" i="23"/>
  <c r="FO117" i="23"/>
  <c r="FP117" i="23"/>
  <c r="FQ117" i="23"/>
  <c r="FR117" i="23"/>
  <c r="FS117" i="23"/>
  <c r="FT117" i="23"/>
  <c r="FU117" i="23"/>
  <c r="FV117" i="23"/>
  <c r="FW117" i="23"/>
  <c r="FX117" i="23"/>
  <c r="FY117" i="23"/>
  <c r="FZ117" i="23"/>
  <c r="GA117" i="23"/>
  <c r="GB117" i="23"/>
  <c r="GC117" i="23"/>
  <c r="GD117" i="23"/>
  <c r="GE117" i="23"/>
  <c r="GF117" i="23"/>
  <c r="GG117" i="23"/>
  <c r="GH117" i="23"/>
  <c r="GI117" i="23"/>
  <c r="GJ117" i="23"/>
  <c r="GK117" i="23"/>
  <c r="GL117" i="23"/>
  <c r="GM117" i="23"/>
  <c r="GN117" i="23"/>
  <c r="GO117" i="23"/>
  <c r="GP117" i="23"/>
  <c r="GQ117" i="23"/>
  <c r="GR117" i="23"/>
  <c r="GS117" i="23"/>
  <c r="GT117" i="23"/>
  <c r="GU117" i="23"/>
  <c r="GV117" i="23"/>
  <c r="GW117" i="23"/>
  <c r="GX117" i="23"/>
  <c r="GY117" i="23"/>
  <c r="GZ117" i="23"/>
  <c r="HA117" i="23"/>
  <c r="HB117" i="23"/>
  <c r="HC117" i="23"/>
  <c r="HD117" i="23"/>
  <c r="HE117" i="23"/>
  <c r="HF117" i="23"/>
  <c r="HG117" i="23"/>
  <c r="HH117" i="23"/>
  <c r="HI117" i="23"/>
  <c r="HJ117" i="23"/>
  <c r="HK117" i="23"/>
  <c r="HL117" i="23"/>
  <c r="HM117" i="23"/>
  <c r="HN117" i="23"/>
  <c r="HO117" i="23"/>
  <c r="HP117" i="23"/>
  <c r="HQ117" i="23"/>
  <c r="HR117" i="23"/>
  <c r="HS117" i="23"/>
  <c r="HT117" i="23"/>
  <c r="HU117" i="23"/>
  <c r="HV117" i="23"/>
  <c r="HW117" i="23"/>
  <c r="HX117" i="23"/>
  <c r="HY117" i="23"/>
  <c r="HZ117" i="23"/>
  <c r="IA117" i="23"/>
  <c r="IB117" i="23"/>
  <c r="IC117" i="23"/>
  <c r="ID117" i="23"/>
  <c r="IE117" i="23"/>
  <c r="IF117" i="23"/>
  <c r="IG117" i="23"/>
  <c r="IH117" i="23"/>
  <c r="II117" i="23"/>
  <c r="IJ117" i="23"/>
  <c r="IK117" i="23"/>
  <c r="IL117" i="23"/>
  <c r="IM117" i="23"/>
  <c r="IN117" i="23"/>
  <c r="IO117" i="23"/>
  <c r="IP117" i="23"/>
  <c r="IQ117" i="23"/>
  <c r="IR117" i="23"/>
  <c r="IS117" i="23"/>
  <c r="IT117" i="23"/>
  <c r="IU117" i="23"/>
  <c r="IV117" i="23"/>
  <c r="A116" i="23"/>
  <c r="B116" i="23"/>
  <c r="C116" i="23"/>
  <c r="D116" i="23"/>
  <c r="E116" i="23"/>
  <c r="F116" i="23"/>
  <c r="G116" i="23"/>
  <c r="H116" i="23"/>
  <c r="I116" i="23"/>
  <c r="J116" i="23"/>
  <c r="K116" i="23"/>
  <c r="L116" i="23"/>
  <c r="M116" i="23"/>
  <c r="N116" i="23"/>
  <c r="O116" i="23"/>
  <c r="P116" i="23"/>
  <c r="Q116" i="23"/>
  <c r="R116" i="23"/>
  <c r="S116" i="23"/>
  <c r="T116" i="23"/>
  <c r="U116" i="23"/>
  <c r="V116" i="23"/>
  <c r="W116" i="23"/>
  <c r="X116" i="23"/>
  <c r="Y116" i="23"/>
  <c r="Z116" i="23"/>
  <c r="AA116" i="23"/>
  <c r="AB116" i="23"/>
  <c r="AC116" i="23"/>
  <c r="AD116" i="23"/>
  <c r="AE116" i="23"/>
  <c r="AF116" i="23"/>
  <c r="AG116" i="23"/>
  <c r="AH116" i="23"/>
  <c r="AI116" i="23"/>
  <c r="AJ116" i="23"/>
  <c r="AK116" i="23"/>
  <c r="AL116" i="23"/>
  <c r="AM116" i="23"/>
  <c r="AN116" i="23"/>
  <c r="AO116" i="23"/>
  <c r="AP116" i="23"/>
  <c r="AQ116" i="23"/>
  <c r="AR116" i="23"/>
  <c r="AS116" i="23"/>
  <c r="AT116" i="23"/>
  <c r="AU116" i="23"/>
  <c r="AV116" i="23"/>
  <c r="AW116" i="23"/>
  <c r="AX116" i="23"/>
  <c r="AY116" i="23"/>
  <c r="AZ116" i="23"/>
  <c r="BA116" i="23"/>
  <c r="BB116" i="23"/>
  <c r="BC116" i="23"/>
  <c r="BD116" i="23"/>
  <c r="BE116" i="23"/>
  <c r="BF116" i="23"/>
  <c r="BG116" i="23"/>
  <c r="BH116" i="23"/>
  <c r="BI116" i="23"/>
  <c r="BJ116" i="23"/>
  <c r="BK116" i="23"/>
  <c r="BL116" i="23"/>
  <c r="BM116" i="23"/>
  <c r="BN116" i="23"/>
  <c r="BO116" i="23"/>
  <c r="BP116" i="23"/>
  <c r="BQ116" i="23"/>
  <c r="BR116" i="23"/>
  <c r="BS116" i="23"/>
  <c r="BT116" i="23"/>
  <c r="BU116" i="23"/>
  <c r="BV116" i="23"/>
  <c r="BW116" i="23"/>
  <c r="BX116" i="23"/>
  <c r="BY116" i="23"/>
  <c r="BZ116" i="23"/>
  <c r="CA116" i="23"/>
  <c r="CB116" i="23"/>
  <c r="CC116" i="23"/>
  <c r="CD116" i="23"/>
  <c r="CE116" i="23"/>
  <c r="CF116" i="23"/>
  <c r="CG116" i="23"/>
  <c r="CH116" i="23"/>
  <c r="CI116" i="23"/>
  <c r="CJ116" i="23"/>
  <c r="CK116" i="23"/>
  <c r="CL116" i="23"/>
  <c r="CM116" i="23"/>
  <c r="CN116" i="23"/>
  <c r="CO116" i="23"/>
  <c r="CP116" i="23"/>
  <c r="CQ116" i="23"/>
  <c r="CR116" i="23"/>
  <c r="CS116" i="23"/>
  <c r="CT116" i="23"/>
  <c r="CU116" i="23"/>
  <c r="CV116" i="23"/>
  <c r="CW116" i="23"/>
  <c r="CX116" i="23"/>
  <c r="CY116" i="23"/>
  <c r="CZ116" i="23"/>
  <c r="DA116" i="23"/>
  <c r="DB116" i="23"/>
  <c r="DC116" i="23"/>
  <c r="DD116" i="23"/>
  <c r="DE116" i="23"/>
  <c r="DF116" i="23"/>
  <c r="DG116" i="23"/>
  <c r="DH116" i="23"/>
  <c r="DI116" i="23"/>
  <c r="DJ116" i="23"/>
  <c r="DK116" i="23"/>
  <c r="DL116" i="23"/>
  <c r="DM116" i="23"/>
  <c r="DN116" i="23"/>
  <c r="DO116" i="23"/>
  <c r="DP116" i="23"/>
  <c r="DQ116" i="23"/>
  <c r="DR116" i="23"/>
  <c r="DS116" i="23"/>
  <c r="DT116" i="23"/>
  <c r="DU116" i="23"/>
  <c r="DV116" i="23"/>
  <c r="DW116" i="23"/>
  <c r="DX116" i="23"/>
  <c r="DY116" i="23"/>
  <c r="DZ116" i="23"/>
  <c r="EA116" i="23"/>
  <c r="EB116" i="23"/>
  <c r="EC116" i="23"/>
  <c r="ED116" i="23"/>
  <c r="EE116" i="23"/>
  <c r="EF116" i="23"/>
  <c r="EG116" i="23"/>
  <c r="EH116" i="23"/>
  <c r="EI116" i="23"/>
  <c r="EJ116" i="23"/>
  <c r="EK116" i="23"/>
  <c r="EL116" i="23"/>
  <c r="EM116" i="23"/>
  <c r="EN116" i="23"/>
  <c r="EO116" i="23"/>
  <c r="EP116" i="23"/>
  <c r="EQ116" i="23"/>
  <c r="ER116" i="23"/>
  <c r="ES116" i="23"/>
  <c r="ET116" i="23"/>
  <c r="EU116" i="23"/>
  <c r="EV116" i="23"/>
  <c r="EW116" i="23"/>
  <c r="EX116" i="23"/>
  <c r="EY116" i="23"/>
  <c r="EZ116" i="23"/>
  <c r="FA116" i="23"/>
  <c r="FB116" i="23"/>
  <c r="FC116" i="23"/>
  <c r="FD116" i="23"/>
  <c r="FE116" i="23"/>
  <c r="FF116" i="23"/>
  <c r="FG116" i="23"/>
  <c r="FH116" i="23"/>
  <c r="FI116" i="23"/>
  <c r="FJ116" i="23"/>
  <c r="FK116" i="23"/>
  <c r="FL116" i="23"/>
  <c r="FM116" i="23"/>
  <c r="FN116" i="23"/>
  <c r="FO116" i="23"/>
  <c r="FP116" i="23"/>
  <c r="FQ116" i="23"/>
  <c r="FR116" i="23"/>
  <c r="FS116" i="23"/>
  <c r="FT116" i="23"/>
  <c r="FU116" i="23"/>
  <c r="FV116" i="23"/>
  <c r="FW116" i="23"/>
  <c r="FX116" i="23"/>
  <c r="FY116" i="23"/>
  <c r="FZ116" i="23"/>
  <c r="GA116" i="23"/>
  <c r="GB116" i="23"/>
  <c r="GC116" i="23"/>
  <c r="GD116" i="23"/>
  <c r="GE116" i="23"/>
  <c r="GF116" i="23"/>
  <c r="GG116" i="23"/>
  <c r="GH116" i="23"/>
  <c r="GI116" i="23"/>
  <c r="GJ116" i="23"/>
  <c r="GK116" i="23"/>
  <c r="GL116" i="23"/>
  <c r="GM116" i="23"/>
  <c r="GN116" i="23"/>
  <c r="GO116" i="23"/>
  <c r="GP116" i="23"/>
  <c r="GQ116" i="23"/>
  <c r="GR116" i="23"/>
  <c r="GS116" i="23"/>
  <c r="GT116" i="23"/>
  <c r="GU116" i="23"/>
  <c r="GV116" i="23"/>
  <c r="GW116" i="23"/>
  <c r="GX116" i="23"/>
  <c r="GY116" i="23"/>
  <c r="GZ116" i="23"/>
  <c r="HA116" i="23"/>
  <c r="HB116" i="23"/>
  <c r="HC116" i="23"/>
  <c r="HD116" i="23"/>
  <c r="HE116" i="23"/>
  <c r="HF116" i="23"/>
  <c r="HG116" i="23"/>
  <c r="HH116" i="23"/>
  <c r="HI116" i="23"/>
  <c r="HJ116" i="23"/>
  <c r="HK116" i="23"/>
  <c r="HL116" i="23"/>
  <c r="HM116" i="23"/>
  <c r="HN116" i="23"/>
  <c r="HO116" i="23"/>
  <c r="HP116" i="23"/>
  <c r="HQ116" i="23"/>
  <c r="HR116" i="23"/>
  <c r="HS116" i="23"/>
  <c r="HT116" i="23"/>
  <c r="HU116" i="23"/>
  <c r="HV116" i="23"/>
  <c r="HW116" i="23"/>
  <c r="HX116" i="23"/>
  <c r="HY116" i="23"/>
  <c r="HZ116" i="23"/>
  <c r="IA116" i="23"/>
  <c r="IB116" i="23"/>
  <c r="IC116" i="23"/>
  <c r="ID116" i="23"/>
  <c r="IE116" i="23"/>
  <c r="IF116" i="23"/>
  <c r="IG116" i="23"/>
  <c r="IH116" i="23"/>
  <c r="II116" i="23"/>
  <c r="IJ116" i="23"/>
  <c r="IK116" i="23"/>
  <c r="IL116" i="23"/>
  <c r="IM116" i="23"/>
  <c r="IN116" i="23"/>
  <c r="IO116" i="23"/>
  <c r="IP116" i="23"/>
  <c r="IQ116" i="23"/>
  <c r="IR116" i="23"/>
  <c r="IS116" i="23"/>
  <c r="IT116" i="23"/>
  <c r="IU116" i="23"/>
  <c r="IV116" i="23"/>
  <c r="A115" i="23"/>
  <c r="B115" i="23"/>
  <c r="C115" i="23"/>
  <c r="D115" i="23"/>
  <c r="E115" i="23"/>
  <c r="F115" i="23"/>
  <c r="G115" i="23"/>
  <c r="H115" i="23"/>
  <c r="I115" i="23"/>
  <c r="J115" i="23"/>
  <c r="K115" i="23"/>
  <c r="L115" i="23"/>
  <c r="M115" i="23"/>
  <c r="N115" i="23"/>
  <c r="O115" i="23"/>
  <c r="P115" i="23"/>
  <c r="Q115" i="23"/>
  <c r="R115" i="23"/>
  <c r="S115" i="23"/>
  <c r="T115" i="23"/>
  <c r="U115" i="23"/>
  <c r="V115" i="23"/>
  <c r="W115" i="23"/>
  <c r="X115" i="23"/>
  <c r="Y115" i="23"/>
  <c r="Z115" i="23"/>
  <c r="AA115" i="23"/>
  <c r="AB115" i="23"/>
  <c r="AC115" i="23"/>
  <c r="AD115" i="23"/>
  <c r="AE115" i="23"/>
  <c r="AF115" i="23"/>
  <c r="AG115" i="23"/>
  <c r="AH115" i="23"/>
  <c r="AI115" i="23"/>
  <c r="AJ115" i="23"/>
  <c r="AK115" i="23"/>
  <c r="AL115" i="23"/>
  <c r="AM115" i="23"/>
  <c r="AN115" i="23"/>
  <c r="AO115" i="23"/>
  <c r="AP115" i="23"/>
  <c r="AQ115" i="23"/>
  <c r="AR115" i="23"/>
  <c r="AS115" i="23"/>
  <c r="AT115" i="23"/>
  <c r="AU115" i="23"/>
  <c r="AV115" i="23"/>
  <c r="AW115" i="23"/>
  <c r="AX115" i="23"/>
  <c r="AY115" i="23"/>
  <c r="AZ115" i="23"/>
  <c r="BA115" i="23"/>
  <c r="BB115" i="23"/>
  <c r="BC115" i="23"/>
  <c r="BD115" i="23"/>
  <c r="BE115" i="23"/>
  <c r="BF115" i="23"/>
  <c r="BG115" i="23"/>
  <c r="BH115" i="23"/>
  <c r="BI115" i="23"/>
  <c r="BJ115" i="23"/>
  <c r="BK115" i="23"/>
  <c r="BL115" i="23"/>
  <c r="BM115" i="23"/>
  <c r="BN115" i="23"/>
  <c r="BO115" i="23"/>
  <c r="BP115" i="23"/>
  <c r="BQ115" i="23"/>
  <c r="BR115" i="23"/>
  <c r="BS115" i="23"/>
  <c r="BT115" i="23"/>
  <c r="BU115" i="23"/>
  <c r="BV115" i="23"/>
  <c r="BW115" i="23"/>
  <c r="BX115" i="23"/>
  <c r="BY115" i="23"/>
  <c r="BZ115" i="23"/>
  <c r="CA115" i="23"/>
  <c r="CB115" i="23"/>
  <c r="CC115" i="23"/>
  <c r="CD115" i="23"/>
  <c r="CE115" i="23"/>
  <c r="CF115" i="23"/>
  <c r="CG115" i="23"/>
  <c r="CH115" i="23"/>
  <c r="CI115" i="23"/>
  <c r="CJ115" i="23"/>
  <c r="CK115" i="23"/>
  <c r="CL115" i="23"/>
  <c r="CM115" i="23"/>
  <c r="CN115" i="23"/>
  <c r="CO115" i="23"/>
  <c r="CP115" i="23"/>
  <c r="CQ115" i="23"/>
  <c r="CR115" i="23"/>
  <c r="CS115" i="23"/>
  <c r="CT115" i="23"/>
  <c r="CU115" i="23"/>
  <c r="CV115" i="23"/>
  <c r="CW115" i="23"/>
  <c r="CX115" i="23"/>
  <c r="CY115" i="23"/>
  <c r="CZ115" i="23"/>
  <c r="DA115" i="23"/>
  <c r="DB115" i="23"/>
  <c r="DC115" i="23"/>
  <c r="DD115" i="23"/>
  <c r="DE115" i="23"/>
  <c r="DF115" i="23"/>
  <c r="DG115" i="23"/>
  <c r="DH115" i="23"/>
  <c r="DI115" i="23"/>
  <c r="DJ115" i="23"/>
  <c r="DK115" i="23"/>
  <c r="DL115" i="23"/>
  <c r="DM115" i="23"/>
  <c r="DN115" i="23"/>
  <c r="DO115" i="23"/>
  <c r="DP115" i="23"/>
  <c r="DQ115" i="23"/>
  <c r="DR115" i="23"/>
  <c r="DS115" i="23"/>
  <c r="DT115" i="23"/>
  <c r="DU115" i="23"/>
  <c r="DV115" i="23"/>
  <c r="DW115" i="23"/>
  <c r="DX115" i="23"/>
  <c r="DY115" i="23"/>
  <c r="DZ115" i="23"/>
  <c r="EA115" i="23"/>
  <c r="EB115" i="23"/>
  <c r="EC115" i="23"/>
  <c r="ED115" i="23"/>
  <c r="EE115" i="23"/>
  <c r="EF115" i="23"/>
  <c r="EG115" i="23"/>
  <c r="EH115" i="23"/>
  <c r="EI115" i="23"/>
  <c r="EJ115" i="23"/>
  <c r="EK115" i="23"/>
  <c r="EL115" i="23"/>
  <c r="EM115" i="23"/>
  <c r="EN115" i="23"/>
  <c r="EO115" i="23"/>
  <c r="EP115" i="23"/>
  <c r="EQ115" i="23"/>
  <c r="ER115" i="23"/>
  <c r="ES115" i="23"/>
  <c r="ET115" i="23"/>
  <c r="EU115" i="23"/>
  <c r="EV115" i="23"/>
  <c r="EW115" i="23"/>
  <c r="EX115" i="23"/>
  <c r="EY115" i="23"/>
  <c r="EZ115" i="23"/>
  <c r="FA115" i="23"/>
  <c r="FB115" i="23"/>
  <c r="FC115" i="23"/>
  <c r="FD115" i="23"/>
  <c r="FE115" i="23"/>
  <c r="FF115" i="23"/>
  <c r="FG115" i="23"/>
  <c r="FH115" i="23"/>
  <c r="FI115" i="23"/>
  <c r="FJ115" i="23"/>
  <c r="FK115" i="23"/>
  <c r="FL115" i="23"/>
  <c r="FM115" i="23"/>
  <c r="FN115" i="23"/>
  <c r="FO115" i="23"/>
  <c r="FP115" i="23"/>
  <c r="FQ115" i="23"/>
  <c r="FR115" i="23"/>
  <c r="FS115" i="23"/>
  <c r="FT115" i="23"/>
  <c r="FU115" i="23"/>
  <c r="FV115" i="23"/>
  <c r="FW115" i="23"/>
  <c r="FX115" i="23"/>
  <c r="FY115" i="23"/>
  <c r="FZ115" i="23"/>
  <c r="GA115" i="23"/>
  <c r="GB115" i="23"/>
  <c r="GC115" i="23"/>
  <c r="GD115" i="23"/>
  <c r="GE115" i="23"/>
  <c r="GF115" i="23"/>
  <c r="GG115" i="23"/>
  <c r="GH115" i="23"/>
  <c r="GI115" i="23"/>
  <c r="GJ115" i="23"/>
  <c r="GK115" i="23"/>
  <c r="GL115" i="23"/>
  <c r="GM115" i="23"/>
  <c r="GN115" i="23"/>
  <c r="GO115" i="23"/>
  <c r="GP115" i="23"/>
  <c r="GQ115" i="23"/>
  <c r="GR115" i="23"/>
  <c r="GS115" i="23"/>
  <c r="GT115" i="23"/>
  <c r="GU115" i="23"/>
  <c r="GV115" i="23"/>
  <c r="GW115" i="23"/>
  <c r="GX115" i="23"/>
  <c r="GY115" i="23"/>
  <c r="GZ115" i="23"/>
  <c r="HA115" i="23"/>
  <c r="HB115" i="23"/>
  <c r="HC115" i="23"/>
  <c r="HD115" i="23"/>
  <c r="HE115" i="23"/>
  <c r="HF115" i="23"/>
  <c r="HG115" i="23"/>
  <c r="HH115" i="23"/>
  <c r="HI115" i="23"/>
  <c r="HJ115" i="23"/>
  <c r="HK115" i="23"/>
  <c r="HL115" i="23"/>
  <c r="HM115" i="23"/>
  <c r="HN115" i="23"/>
  <c r="HO115" i="23"/>
  <c r="HP115" i="23"/>
  <c r="HQ115" i="23"/>
  <c r="HR115" i="23"/>
  <c r="HS115" i="23"/>
  <c r="HT115" i="23"/>
  <c r="HU115" i="23"/>
  <c r="HV115" i="23"/>
  <c r="HW115" i="23"/>
  <c r="HX115" i="23"/>
  <c r="HY115" i="23"/>
  <c r="HZ115" i="23"/>
  <c r="IA115" i="23"/>
  <c r="IB115" i="23"/>
  <c r="IC115" i="23"/>
  <c r="ID115" i="23"/>
  <c r="IE115" i="23"/>
  <c r="IF115" i="23"/>
  <c r="IG115" i="23"/>
  <c r="IH115" i="23"/>
  <c r="II115" i="23"/>
  <c r="IJ115" i="23"/>
  <c r="IK115" i="23"/>
  <c r="IL115" i="23"/>
  <c r="IM115" i="23"/>
  <c r="IN115" i="23"/>
  <c r="IO115" i="23"/>
  <c r="IP115" i="23"/>
  <c r="IQ115" i="23"/>
  <c r="IR115" i="23"/>
  <c r="IS115" i="23"/>
  <c r="IT115" i="23"/>
  <c r="IU115" i="23"/>
  <c r="IV115" i="23"/>
  <c r="A114" i="23"/>
  <c r="B114" i="23"/>
  <c r="C114" i="23"/>
  <c r="D114" i="23"/>
  <c r="E114" i="23"/>
  <c r="F114" i="23"/>
  <c r="G114" i="23"/>
  <c r="H114" i="23"/>
  <c r="I114" i="23"/>
  <c r="J114" i="23"/>
  <c r="K114" i="23"/>
  <c r="L114" i="23"/>
  <c r="M114" i="23"/>
  <c r="N114" i="23"/>
  <c r="O114" i="23"/>
  <c r="P114" i="23"/>
  <c r="Q114" i="23"/>
  <c r="R114" i="23"/>
  <c r="S114" i="23"/>
  <c r="T114" i="23"/>
  <c r="U114" i="23"/>
  <c r="V114" i="23"/>
  <c r="W114" i="23"/>
  <c r="X114" i="23"/>
  <c r="Y114" i="23"/>
  <c r="Z114" i="23"/>
  <c r="AA114" i="23"/>
  <c r="AB114" i="23"/>
  <c r="AC114" i="23"/>
  <c r="AD114" i="23"/>
  <c r="AE114" i="23"/>
  <c r="AF114" i="23"/>
  <c r="AG114" i="23"/>
  <c r="AH114" i="23"/>
  <c r="AI114" i="23"/>
  <c r="AJ114" i="23"/>
  <c r="AK114" i="23"/>
  <c r="AL114" i="23"/>
  <c r="AM114" i="23"/>
  <c r="AN114" i="23"/>
  <c r="AO114" i="23"/>
  <c r="AP114" i="23"/>
  <c r="AQ114" i="23"/>
  <c r="AR114" i="23"/>
  <c r="AS114" i="23"/>
  <c r="AT114" i="23"/>
  <c r="AU114" i="23"/>
  <c r="AV114" i="23"/>
  <c r="AW114" i="23"/>
  <c r="AX114" i="23"/>
  <c r="AY114" i="23"/>
  <c r="AZ114" i="23"/>
  <c r="BA114" i="23"/>
  <c r="BB114" i="23"/>
  <c r="BC114" i="23"/>
  <c r="BD114" i="23"/>
  <c r="BE114" i="23"/>
  <c r="BF114" i="23"/>
  <c r="BG114" i="23"/>
  <c r="BH114" i="23"/>
  <c r="BI114" i="23"/>
  <c r="BJ114" i="23"/>
  <c r="BK114" i="23"/>
  <c r="BL114" i="23"/>
  <c r="BM114" i="23"/>
  <c r="BN114" i="23"/>
  <c r="BO114" i="23"/>
  <c r="BP114" i="23"/>
  <c r="BQ114" i="23"/>
  <c r="BR114" i="23"/>
  <c r="BS114" i="23"/>
  <c r="BT114" i="23"/>
  <c r="BU114" i="23"/>
  <c r="BV114" i="23"/>
  <c r="BW114" i="23"/>
  <c r="BX114" i="23"/>
  <c r="BY114" i="23"/>
  <c r="BZ114" i="23"/>
  <c r="CA114" i="23"/>
  <c r="CB114" i="23"/>
  <c r="CC114" i="23"/>
  <c r="CD114" i="23"/>
  <c r="CE114" i="23"/>
  <c r="CF114" i="23"/>
  <c r="CG114" i="23"/>
  <c r="CH114" i="23"/>
  <c r="CI114" i="23"/>
  <c r="CJ114" i="23"/>
  <c r="CK114" i="23"/>
  <c r="CL114" i="23"/>
  <c r="CM114" i="23"/>
  <c r="CN114" i="23"/>
  <c r="CO114" i="23"/>
  <c r="CP114" i="23"/>
  <c r="CQ114" i="23"/>
  <c r="CR114" i="23"/>
  <c r="CS114" i="23"/>
  <c r="CT114" i="23"/>
  <c r="CU114" i="23"/>
  <c r="CV114" i="23"/>
  <c r="CW114" i="23"/>
  <c r="CX114" i="23"/>
  <c r="CY114" i="23"/>
  <c r="CZ114" i="23"/>
  <c r="DA114" i="23"/>
  <c r="DB114" i="23"/>
  <c r="DC114" i="23"/>
  <c r="DD114" i="23"/>
  <c r="DE114" i="23"/>
  <c r="DF114" i="23"/>
  <c r="DG114" i="23"/>
  <c r="DH114" i="23"/>
  <c r="DI114" i="23"/>
  <c r="DJ114" i="23"/>
  <c r="DK114" i="23"/>
  <c r="DL114" i="23"/>
  <c r="DM114" i="23"/>
  <c r="DN114" i="23"/>
  <c r="DO114" i="23"/>
  <c r="DP114" i="23"/>
  <c r="DQ114" i="23"/>
  <c r="DR114" i="23"/>
  <c r="DS114" i="23"/>
  <c r="DT114" i="23"/>
  <c r="DU114" i="23"/>
  <c r="DV114" i="23"/>
  <c r="DW114" i="23"/>
  <c r="DX114" i="23"/>
  <c r="DY114" i="23"/>
  <c r="DZ114" i="23"/>
  <c r="EA114" i="23"/>
  <c r="EB114" i="23"/>
  <c r="EC114" i="23"/>
  <c r="ED114" i="23"/>
  <c r="EE114" i="23"/>
  <c r="EF114" i="23"/>
  <c r="EG114" i="23"/>
  <c r="EH114" i="23"/>
  <c r="EI114" i="23"/>
  <c r="EJ114" i="23"/>
  <c r="EK114" i="23"/>
  <c r="EL114" i="23"/>
  <c r="EM114" i="23"/>
  <c r="EN114" i="23"/>
  <c r="EO114" i="23"/>
  <c r="EP114" i="23"/>
  <c r="EQ114" i="23"/>
  <c r="ER114" i="23"/>
  <c r="ES114" i="23"/>
  <c r="ET114" i="23"/>
  <c r="EU114" i="23"/>
  <c r="EV114" i="23"/>
  <c r="EW114" i="23"/>
  <c r="EX114" i="23"/>
  <c r="EY114" i="23"/>
  <c r="EZ114" i="23"/>
  <c r="FA114" i="23"/>
  <c r="FB114" i="23"/>
  <c r="FC114" i="23"/>
  <c r="FD114" i="23"/>
  <c r="FE114" i="23"/>
  <c r="FF114" i="23"/>
  <c r="FG114" i="23"/>
  <c r="FH114" i="23"/>
  <c r="FI114" i="23"/>
  <c r="FJ114" i="23"/>
  <c r="FK114" i="23"/>
  <c r="FL114" i="23"/>
  <c r="FM114" i="23"/>
  <c r="FN114" i="23"/>
  <c r="FO114" i="23"/>
  <c r="FP114" i="23"/>
  <c r="FQ114" i="23"/>
  <c r="FR114" i="23"/>
  <c r="FS114" i="23"/>
  <c r="FT114" i="23"/>
  <c r="FU114" i="23"/>
  <c r="FV114" i="23"/>
  <c r="FW114" i="23"/>
  <c r="FX114" i="23"/>
  <c r="FY114" i="23"/>
  <c r="FZ114" i="23"/>
  <c r="GA114" i="23"/>
  <c r="GB114" i="23"/>
  <c r="GC114" i="23"/>
  <c r="GD114" i="23"/>
  <c r="GE114" i="23"/>
  <c r="GF114" i="23"/>
  <c r="GG114" i="23"/>
  <c r="GH114" i="23"/>
  <c r="GI114" i="23"/>
  <c r="GJ114" i="23"/>
  <c r="GK114" i="23"/>
  <c r="GL114" i="23"/>
  <c r="GM114" i="23"/>
  <c r="GN114" i="23"/>
  <c r="GO114" i="23"/>
  <c r="GP114" i="23"/>
  <c r="GQ114" i="23"/>
  <c r="GR114" i="23"/>
  <c r="GS114" i="23"/>
  <c r="GT114" i="23"/>
  <c r="GU114" i="23"/>
  <c r="GV114" i="23"/>
  <c r="GW114" i="23"/>
  <c r="GX114" i="23"/>
  <c r="GY114" i="23"/>
  <c r="GZ114" i="23"/>
  <c r="HA114" i="23"/>
  <c r="HB114" i="23"/>
  <c r="HC114" i="23"/>
  <c r="HD114" i="23"/>
  <c r="HE114" i="23"/>
  <c r="HF114" i="23"/>
  <c r="HG114" i="23"/>
  <c r="HH114" i="23"/>
  <c r="HI114" i="23"/>
  <c r="HJ114" i="23"/>
  <c r="HK114" i="23"/>
  <c r="HL114" i="23"/>
  <c r="HM114" i="23"/>
  <c r="HN114" i="23"/>
  <c r="HO114" i="23"/>
  <c r="HP114" i="23"/>
  <c r="HQ114" i="23"/>
  <c r="HR114" i="23"/>
  <c r="HS114" i="23"/>
  <c r="HT114" i="23"/>
  <c r="HU114" i="23"/>
  <c r="HV114" i="23"/>
  <c r="HW114" i="23"/>
  <c r="HX114" i="23"/>
  <c r="HY114" i="23"/>
  <c r="HZ114" i="23"/>
  <c r="IA114" i="23"/>
  <c r="IB114" i="23"/>
  <c r="IC114" i="23"/>
  <c r="ID114" i="23"/>
  <c r="IE114" i="23"/>
  <c r="IF114" i="23"/>
  <c r="IG114" i="23"/>
  <c r="IH114" i="23"/>
  <c r="II114" i="23"/>
  <c r="IJ114" i="23"/>
  <c r="IK114" i="23"/>
  <c r="IL114" i="23"/>
  <c r="IM114" i="23"/>
  <c r="IN114" i="23"/>
  <c r="IO114" i="23"/>
  <c r="IP114" i="23"/>
  <c r="IQ114" i="23"/>
  <c r="IR114" i="23"/>
  <c r="IS114" i="23"/>
  <c r="IT114" i="23"/>
  <c r="IU114" i="23"/>
  <c r="IV114" i="23"/>
  <c r="A113" i="23"/>
  <c r="B113" i="23"/>
  <c r="C113" i="23"/>
  <c r="D113" i="23"/>
  <c r="E113" i="23"/>
  <c r="F113" i="23"/>
  <c r="G113" i="23"/>
  <c r="H113" i="23"/>
  <c r="I113" i="23"/>
  <c r="J113" i="23"/>
  <c r="K113" i="23"/>
  <c r="L113" i="23"/>
  <c r="M113" i="23"/>
  <c r="N113" i="23"/>
  <c r="O113" i="23"/>
  <c r="P113" i="23"/>
  <c r="Q113" i="23"/>
  <c r="R113" i="23"/>
  <c r="S113" i="23"/>
  <c r="T113" i="23"/>
  <c r="U113" i="23"/>
  <c r="V113" i="23"/>
  <c r="W113" i="23"/>
  <c r="X113" i="23"/>
  <c r="Y113" i="23"/>
  <c r="Z113" i="23"/>
  <c r="AA113" i="23"/>
  <c r="AB113" i="23"/>
  <c r="AC113" i="23"/>
  <c r="AD113" i="23"/>
  <c r="AE113" i="23"/>
  <c r="AF113" i="23"/>
  <c r="AG113" i="23"/>
  <c r="AH113" i="23"/>
  <c r="AI113" i="23"/>
  <c r="AJ113" i="23"/>
  <c r="AK113" i="23"/>
  <c r="AL113" i="23"/>
  <c r="AM113" i="23"/>
  <c r="AN113" i="23"/>
  <c r="AO113" i="23"/>
  <c r="AP113" i="23"/>
  <c r="AQ113" i="23"/>
  <c r="AR113" i="23"/>
  <c r="AS113" i="23"/>
  <c r="AT113" i="23"/>
  <c r="AU113" i="23"/>
  <c r="AV113" i="23"/>
  <c r="AW113" i="23"/>
  <c r="AX113" i="23"/>
  <c r="AY113" i="23"/>
  <c r="AZ113" i="23"/>
  <c r="BA113" i="23"/>
  <c r="BB113" i="23"/>
  <c r="BC113" i="23"/>
  <c r="BD113" i="23"/>
  <c r="BE113" i="23"/>
  <c r="BF113" i="23"/>
  <c r="BG113" i="23"/>
  <c r="BH113" i="23"/>
  <c r="BI113" i="23"/>
  <c r="BJ113" i="23"/>
  <c r="BK113" i="23"/>
  <c r="BL113" i="23"/>
  <c r="BM113" i="23"/>
  <c r="BN113" i="23"/>
  <c r="BO113" i="23"/>
  <c r="BP113" i="23"/>
  <c r="BQ113" i="23"/>
  <c r="BR113" i="23"/>
  <c r="BS113" i="23"/>
  <c r="BT113" i="23"/>
  <c r="BU113" i="23"/>
  <c r="BV113" i="23"/>
  <c r="BW113" i="23"/>
  <c r="BX113" i="23"/>
  <c r="BY113" i="23"/>
  <c r="BZ113" i="23"/>
  <c r="CA113" i="23"/>
  <c r="CB113" i="23"/>
  <c r="CC113" i="23"/>
  <c r="CD113" i="23"/>
  <c r="CE113" i="23"/>
  <c r="CF113" i="23"/>
  <c r="CG113" i="23"/>
  <c r="CH113" i="23"/>
  <c r="CI113" i="23"/>
  <c r="CJ113" i="23"/>
  <c r="CK113" i="23"/>
  <c r="CL113" i="23"/>
  <c r="CM113" i="23"/>
  <c r="CN113" i="23"/>
  <c r="CO113" i="23"/>
  <c r="CP113" i="23"/>
  <c r="CQ113" i="23"/>
  <c r="CR113" i="23"/>
  <c r="CS113" i="23"/>
  <c r="CT113" i="23"/>
  <c r="CU113" i="23"/>
  <c r="CV113" i="23"/>
  <c r="CW113" i="23"/>
  <c r="CX113" i="23"/>
  <c r="CY113" i="23"/>
  <c r="CZ113" i="23"/>
  <c r="DA113" i="23"/>
  <c r="DB113" i="23"/>
  <c r="DC113" i="23"/>
  <c r="DD113" i="23"/>
  <c r="DE113" i="23"/>
  <c r="DF113" i="23"/>
  <c r="DG113" i="23"/>
  <c r="DH113" i="23"/>
  <c r="DI113" i="23"/>
  <c r="DJ113" i="23"/>
  <c r="DK113" i="23"/>
  <c r="DL113" i="23"/>
  <c r="DM113" i="23"/>
  <c r="DN113" i="23"/>
  <c r="DO113" i="23"/>
  <c r="DP113" i="23"/>
  <c r="DQ113" i="23"/>
  <c r="DR113" i="23"/>
  <c r="DS113" i="23"/>
  <c r="DT113" i="23"/>
  <c r="DU113" i="23"/>
  <c r="DV113" i="23"/>
  <c r="DW113" i="23"/>
  <c r="DX113" i="23"/>
  <c r="DY113" i="23"/>
  <c r="DZ113" i="23"/>
  <c r="EA113" i="23"/>
  <c r="EB113" i="23"/>
  <c r="EC113" i="23"/>
  <c r="ED113" i="23"/>
  <c r="EE113" i="23"/>
  <c r="EF113" i="23"/>
  <c r="EG113" i="23"/>
  <c r="EH113" i="23"/>
  <c r="EI113" i="23"/>
  <c r="EJ113" i="23"/>
  <c r="EK113" i="23"/>
  <c r="EL113" i="23"/>
  <c r="EM113" i="23"/>
  <c r="EN113" i="23"/>
  <c r="EO113" i="23"/>
  <c r="EP113" i="23"/>
  <c r="EQ113" i="23"/>
  <c r="ER113" i="23"/>
  <c r="ES113" i="23"/>
  <c r="ET113" i="23"/>
  <c r="EU113" i="23"/>
  <c r="EV113" i="23"/>
  <c r="EW113" i="23"/>
  <c r="EX113" i="23"/>
  <c r="EY113" i="23"/>
  <c r="EZ113" i="23"/>
  <c r="FA113" i="23"/>
  <c r="FB113" i="23"/>
  <c r="FC113" i="23"/>
  <c r="FD113" i="23"/>
  <c r="FE113" i="23"/>
  <c r="FF113" i="23"/>
  <c r="FG113" i="23"/>
  <c r="FH113" i="23"/>
  <c r="FI113" i="23"/>
  <c r="FJ113" i="23"/>
  <c r="FK113" i="23"/>
  <c r="FL113" i="23"/>
  <c r="FM113" i="23"/>
  <c r="FN113" i="23"/>
  <c r="FO113" i="23"/>
  <c r="FP113" i="23"/>
  <c r="FQ113" i="23"/>
  <c r="FR113" i="23"/>
  <c r="FS113" i="23"/>
  <c r="FT113" i="23"/>
  <c r="FU113" i="23"/>
  <c r="FV113" i="23"/>
  <c r="FW113" i="23"/>
  <c r="FX113" i="23"/>
  <c r="FY113" i="23"/>
  <c r="FZ113" i="23"/>
  <c r="GA113" i="23"/>
  <c r="GB113" i="23"/>
  <c r="GC113" i="23"/>
  <c r="GD113" i="23"/>
  <c r="GE113" i="23"/>
  <c r="GF113" i="23"/>
  <c r="GG113" i="23"/>
  <c r="GH113" i="23"/>
  <c r="GI113" i="23"/>
  <c r="GJ113" i="23"/>
  <c r="GK113" i="23"/>
  <c r="GL113" i="23"/>
  <c r="GM113" i="23"/>
  <c r="GN113" i="23"/>
  <c r="GO113" i="23"/>
  <c r="GP113" i="23"/>
  <c r="GQ113" i="23"/>
  <c r="GR113" i="23"/>
  <c r="GS113" i="23"/>
  <c r="GT113" i="23"/>
  <c r="GU113" i="23"/>
  <c r="GV113" i="23"/>
  <c r="GW113" i="23"/>
  <c r="GX113" i="23"/>
  <c r="GY113" i="23"/>
  <c r="GZ113" i="23"/>
  <c r="HA113" i="23"/>
  <c r="HB113" i="23"/>
  <c r="HC113" i="23"/>
  <c r="HD113" i="23"/>
  <c r="HE113" i="23"/>
  <c r="HF113" i="23"/>
  <c r="HG113" i="23"/>
  <c r="HH113" i="23"/>
  <c r="HI113" i="23"/>
  <c r="HJ113" i="23"/>
  <c r="HK113" i="23"/>
  <c r="HL113" i="23"/>
  <c r="HM113" i="23"/>
  <c r="HN113" i="23"/>
  <c r="HO113" i="23"/>
  <c r="HP113" i="23"/>
  <c r="HQ113" i="23"/>
  <c r="HR113" i="23"/>
  <c r="HS113" i="23"/>
  <c r="HT113" i="23"/>
  <c r="HU113" i="23"/>
  <c r="HV113" i="23"/>
  <c r="HW113" i="23"/>
  <c r="HX113" i="23"/>
  <c r="HY113" i="23"/>
  <c r="HZ113" i="23"/>
  <c r="IA113" i="23"/>
  <c r="IB113" i="23"/>
  <c r="IC113" i="23"/>
  <c r="ID113" i="23"/>
  <c r="IE113" i="23"/>
  <c r="IF113" i="23"/>
  <c r="IG113" i="23"/>
  <c r="IH113" i="23"/>
  <c r="II113" i="23"/>
  <c r="IJ113" i="23"/>
  <c r="IK113" i="23"/>
  <c r="IL113" i="23"/>
  <c r="IM113" i="23"/>
  <c r="IN113" i="23"/>
  <c r="IO113" i="23"/>
  <c r="IP113" i="23"/>
  <c r="IQ113" i="23"/>
  <c r="IR113" i="23"/>
  <c r="IS113" i="23"/>
  <c r="IT113" i="23"/>
  <c r="IU113" i="23"/>
  <c r="IV113" i="23"/>
  <c r="A112" i="23"/>
  <c r="B112" i="23"/>
  <c r="C112" i="23"/>
  <c r="D112" i="23"/>
  <c r="E112" i="23"/>
  <c r="F112" i="23"/>
  <c r="G112" i="23"/>
  <c r="H112" i="23"/>
  <c r="I112" i="23"/>
  <c r="J112" i="23"/>
  <c r="K112" i="23"/>
  <c r="L112" i="23"/>
  <c r="M112" i="23"/>
  <c r="N112" i="23"/>
  <c r="O112" i="23"/>
  <c r="P112" i="23"/>
  <c r="Q112" i="23"/>
  <c r="R112" i="23"/>
  <c r="S112" i="23"/>
  <c r="T112" i="23"/>
  <c r="U112" i="23"/>
  <c r="V112" i="23"/>
  <c r="W112" i="23"/>
  <c r="X112" i="23"/>
  <c r="Y112" i="23"/>
  <c r="Z112" i="23"/>
  <c r="AA112" i="23"/>
  <c r="AB112" i="23"/>
  <c r="AC112" i="23"/>
  <c r="AD112" i="23"/>
  <c r="AE112" i="23"/>
  <c r="AF112" i="23"/>
  <c r="AG112" i="23"/>
  <c r="AH112" i="23"/>
  <c r="AI112" i="23"/>
  <c r="AJ112" i="23"/>
  <c r="AK112" i="23"/>
  <c r="AL112" i="23"/>
  <c r="AM112" i="23"/>
  <c r="AN112" i="23"/>
  <c r="AO112" i="23"/>
  <c r="AP112" i="23"/>
  <c r="AQ112" i="23"/>
  <c r="AR112" i="23"/>
  <c r="AS112" i="23"/>
  <c r="AT112" i="23"/>
  <c r="AU112" i="23"/>
  <c r="AV112" i="23"/>
  <c r="AW112" i="23"/>
  <c r="AX112" i="23"/>
  <c r="AY112" i="23"/>
  <c r="AZ112" i="23"/>
  <c r="BA112" i="23"/>
  <c r="BB112" i="23"/>
  <c r="BC112" i="23"/>
  <c r="BD112" i="23"/>
  <c r="BE112" i="23"/>
  <c r="BF112" i="23"/>
  <c r="BG112" i="23"/>
  <c r="BH112" i="23"/>
  <c r="BI112" i="23"/>
  <c r="BJ112" i="23"/>
  <c r="BK112" i="23"/>
  <c r="BL112" i="23"/>
  <c r="BM112" i="23"/>
  <c r="BN112" i="23"/>
  <c r="BO112" i="23"/>
  <c r="BP112" i="23"/>
  <c r="BQ112" i="23"/>
  <c r="BR112" i="23"/>
  <c r="BS112" i="23"/>
  <c r="BT112" i="23"/>
  <c r="BU112" i="23"/>
  <c r="BV112" i="23"/>
  <c r="BW112" i="23"/>
  <c r="BX112" i="23"/>
  <c r="BY112" i="23"/>
  <c r="BZ112" i="23"/>
  <c r="CA112" i="23"/>
  <c r="CB112" i="23"/>
  <c r="CC112" i="23"/>
  <c r="CD112" i="23"/>
  <c r="CE112" i="23"/>
  <c r="CF112" i="23"/>
  <c r="CG112" i="23"/>
  <c r="CH112" i="23"/>
  <c r="CI112" i="23"/>
  <c r="CJ112" i="23"/>
  <c r="CK112" i="23"/>
  <c r="CL112" i="23"/>
  <c r="CM112" i="23"/>
  <c r="CN112" i="23"/>
  <c r="CO112" i="23"/>
  <c r="CP112" i="23"/>
  <c r="CQ112" i="23"/>
  <c r="CR112" i="23"/>
  <c r="CS112" i="23"/>
  <c r="CT112" i="23"/>
  <c r="CU112" i="23"/>
  <c r="CV112" i="23"/>
  <c r="CW112" i="23"/>
  <c r="CX112" i="23"/>
  <c r="CY112" i="23"/>
  <c r="CZ112" i="23"/>
  <c r="DA112" i="23"/>
  <c r="DB112" i="23"/>
  <c r="DC112" i="23"/>
  <c r="DD112" i="23"/>
  <c r="DE112" i="23"/>
  <c r="DF112" i="23"/>
  <c r="DG112" i="23"/>
  <c r="DH112" i="23"/>
  <c r="DI112" i="23"/>
  <c r="DJ112" i="23"/>
  <c r="DK112" i="23"/>
  <c r="DL112" i="23"/>
  <c r="DM112" i="23"/>
  <c r="DN112" i="23"/>
  <c r="DO112" i="23"/>
  <c r="DP112" i="23"/>
  <c r="DQ112" i="23"/>
  <c r="DR112" i="23"/>
  <c r="DS112" i="23"/>
  <c r="DT112" i="23"/>
  <c r="DU112" i="23"/>
  <c r="DV112" i="23"/>
  <c r="DW112" i="23"/>
  <c r="DX112" i="23"/>
  <c r="DY112" i="23"/>
  <c r="DZ112" i="23"/>
  <c r="EA112" i="23"/>
  <c r="EB112" i="23"/>
  <c r="EC112" i="23"/>
  <c r="ED112" i="23"/>
  <c r="EE112" i="23"/>
  <c r="EF112" i="23"/>
  <c r="EG112" i="23"/>
  <c r="EH112" i="23"/>
  <c r="EI112" i="23"/>
  <c r="EJ112" i="23"/>
  <c r="EK112" i="23"/>
  <c r="EL112" i="23"/>
  <c r="EM112" i="23"/>
  <c r="EN112" i="23"/>
  <c r="EO112" i="23"/>
  <c r="EP112" i="23"/>
  <c r="EQ112" i="23"/>
  <c r="ER112" i="23"/>
  <c r="ES112" i="23"/>
  <c r="ET112" i="23"/>
  <c r="EU112" i="23"/>
  <c r="EV112" i="23"/>
  <c r="EW112" i="23"/>
  <c r="EX112" i="23"/>
  <c r="EY112" i="23"/>
  <c r="EZ112" i="23"/>
  <c r="FA112" i="23"/>
  <c r="FB112" i="23"/>
  <c r="FC112" i="23"/>
  <c r="FD112" i="23"/>
  <c r="FE112" i="23"/>
  <c r="FF112" i="23"/>
  <c r="FG112" i="23"/>
  <c r="FH112" i="23"/>
  <c r="FI112" i="23"/>
  <c r="FJ112" i="23"/>
  <c r="FK112" i="23"/>
  <c r="FL112" i="23"/>
  <c r="FM112" i="23"/>
  <c r="FN112" i="23"/>
  <c r="FO112" i="23"/>
  <c r="FP112" i="23"/>
  <c r="FQ112" i="23"/>
  <c r="FR112" i="23"/>
  <c r="FS112" i="23"/>
  <c r="FT112" i="23"/>
  <c r="FU112" i="23"/>
  <c r="FV112" i="23"/>
  <c r="FW112" i="23"/>
  <c r="FX112" i="23"/>
  <c r="FY112" i="23"/>
  <c r="FZ112" i="23"/>
  <c r="GA112" i="23"/>
  <c r="GB112" i="23"/>
  <c r="GC112" i="23"/>
  <c r="GD112" i="23"/>
  <c r="GE112" i="23"/>
  <c r="GF112" i="23"/>
  <c r="GG112" i="23"/>
  <c r="GH112" i="23"/>
  <c r="GI112" i="23"/>
  <c r="GJ112" i="23"/>
  <c r="GK112" i="23"/>
  <c r="GL112" i="23"/>
  <c r="GM112" i="23"/>
  <c r="GN112" i="23"/>
  <c r="GO112" i="23"/>
  <c r="GP112" i="23"/>
  <c r="GQ112" i="23"/>
  <c r="GR112" i="23"/>
  <c r="GS112" i="23"/>
  <c r="GT112" i="23"/>
  <c r="GU112" i="23"/>
  <c r="GV112" i="23"/>
  <c r="GW112" i="23"/>
  <c r="GX112" i="23"/>
  <c r="GY112" i="23"/>
  <c r="GZ112" i="23"/>
  <c r="HA112" i="23"/>
  <c r="HB112" i="23"/>
  <c r="HC112" i="23"/>
  <c r="HD112" i="23"/>
  <c r="HE112" i="23"/>
  <c r="HF112" i="23"/>
  <c r="HG112" i="23"/>
  <c r="HH112" i="23"/>
  <c r="HI112" i="23"/>
  <c r="HJ112" i="23"/>
  <c r="HK112" i="23"/>
  <c r="HL112" i="23"/>
  <c r="HM112" i="23"/>
  <c r="HN112" i="23"/>
  <c r="HO112" i="23"/>
  <c r="HP112" i="23"/>
  <c r="HQ112" i="23"/>
  <c r="HR112" i="23"/>
  <c r="HS112" i="23"/>
  <c r="HT112" i="23"/>
  <c r="HU112" i="23"/>
  <c r="HV112" i="23"/>
  <c r="HW112" i="23"/>
  <c r="HX112" i="23"/>
  <c r="HY112" i="23"/>
  <c r="HZ112" i="23"/>
  <c r="IA112" i="23"/>
  <c r="IB112" i="23"/>
  <c r="IC112" i="23"/>
  <c r="ID112" i="23"/>
  <c r="IE112" i="23"/>
  <c r="IF112" i="23"/>
  <c r="IG112" i="23"/>
  <c r="IH112" i="23"/>
  <c r="II112" i="23"/>
  <c r="IJ112" i="23"/>
  <c r="IK112" i="23"/>
  <c r="IL112" i="23"/>
  <c r="IM112" i="23"/>
  <c r="IN112" i="23"/>
  <c r="IO112" i="23"/>
  <c r="IP112" i="23"/>
  <c r="IQ112" i="23"/>
  <c r="IR112" i="23"/>
  <c r="IS112" i="23"/>
  <c r="IT112" i="23"/>
  <c r="IU112" i="23"/>
  <c r="IV112" i="23"/>
  <c r="A111" i="23"/>
  <c r="B111" i="23"/>
  <c r="C111" i="23"/>
  <c r="D111" i="23"/>
  <c r="E111" i="23"/>
  <c r="F111" i="23"/>
  <c r="G111" i="23"/>
  <c r="H111" i="23"/>
  <c r="I111" i="23"/>
  <c r="J111" i="23"/>
  <c r="K111" i="23"/>
  <c r="L111" i="23"/>
  <c r="M111" i="23"/>
  <c r="N111" i="23"/>
  <c r="O111" i="23"/>
  <c r="P111" i="23"/>
  <c r="Q111" i="23"/>
  <c r="R111" i="23"/>
  <c r="S111" i="23"/>
  <c r="T111" i="23"/>
  <c r="U111" i="23"/>
  <c r="V111" i="23"/>
  <c r="W111" i="23"/>
  <c r="X111" i="23"/>
  <c r="Y111" i="23"/>
  <c r="Z111" i="23"/>
  <c r="AA111" i="23"/>
  <c r="AB111" i="23"/>
  <c r="AC111" i="23"/>
  <c r="AD111" i="23"/>
  <c r="AE111" i="23"/>
  <c r="AF111" i="23"/>
  <c r="AG111" i="23"/>
  <c r="AH111" i="23"/>
  <c r="AI111" i="23"/>
  <c r="AJ111" i="23"/>
  <c r="AK111" i="23"/>
  <c r="AL111" i="23"/>
  <c r="AM111" i="23"/>
  <c r="AN111" i="23"/>
  <c r="AO111" i="23"/>
  <c r="AP111" i="23"/>
  <c r="AQ111" i="23"/>
  <c r="AR111" i="23"/>
  <c r="AS111" i="23"/>
  <c r="AT111" i="23"/>
  <c r="AU111" i="23"/>
  <c r="AV111" i="23"/>
  <c r="AW111" i="23"/>
  <c r="AX111" i="23"/>
  <c r="AY111" i="23"/>
  <c r="AZ111" i="23"/>
  <c r="BA111" i="23"/>
  <c r="BB111" i="23"/>
  <c r="BC111" i="23"/>
  <c r="BD111" i="23"/>
  <c r="BE111" i="23"/>
  <c r="BF111" i="23"/>
  <c r="BG111" i="23"/>
  <c r="BH111" i="23"/>
  <c r="BI111" i="23"/>
  <c r="BJ111" i="23"/>
  <c r="BK111" i="23"/>
  <c r="BL111" i="23"/>
  <c r="BM111" i="23"/>
  <c r="BN111" i="23"/>
  <c r="BO111" i="23"/>
  <c r="BP111" i="23"/>
  <c r="BQ111" i="23"/>
  <c r="BR111" i="23"/>
  <c r="BS111" i="23"/>
  <c r="BT111" i="23"/>
  <c r="BU111" i="23"/>
  <c r="BV111" i="23"/>
  <c r="BW111" i="23"/>
  <c r="BX111" i="23"/>
  <c r="BY111" i="23"/>
  <c r="BZ111" i="23"/>
  <c r="CA111" i="23"/>
  <c r="CB111" i="23"/>
  <c r="CC111" i="23"/>
  <c r="CD111" i="23"/>
  <c r="CE111" i="23"/>
  <c r="CF111" i="23"/>
  <c r="CG111" i="23"/>
  <c r="CH111" i="23"/>
  <c r="CI111" i="23"/>
  <c r="CJ111" i="23"/>
  <c r="CK111" i="23"/>
  <c r="CL111" i="23"/>
  <c r="CM111" i="23"/>
  <c r="CN111" i="23"/>
  <c r="CO111" i="23"/>
  <c r="CP111" i="23"/>
  <c r="CQ111" i="23"/>
  <c r="CR111" i="23"/>
  <c r="CS111" i="23"/>
  <c r="CT111" i="23"/>
  <c r="CU111" i="23"/>
  <c r="CV111" i="23"/>
  <c r="CW111" i="23"/>
  <c r="CX111" i="23"/>
  <c r="CY111" i="23"/>
  <c r="CZ111" i="23"/>
  <c r="DA111" i="23"/>
  <c r="DB111" i="23"/>
  <c r="DC111" i="23"/>
  <c r="DD111" i="23"/>
  <c r="DE111" i="23"/>
  <c r="DF111" i="23"/>
  <c r="DG111" i="23"/>
  <c r="DH111" i="23"/>
  <c r="DI111" i="23"/>
  <c r="DJ111" i="23"/>
  <c r="DK111" i="23"/>
  <c r="DL111" i="23"/>
  <c r="DM111" i="23"/>
  <c r="DN111" i="23"/>
  <c r="DO111" i="23"/>
  <c r="DP111" i="23"/>
  <c r="DQ111" i="23"/>
  <c r="DR111" i="23"/>
  <c r="DS111" i="23"/>
  <c r="DT111" i="23"/>
  <c r="DU111" i="23"/>
  <c r="DV111" i="23"/>
  <c r="DW111" i="23"/>
  <c r="DX111" i="23"/>
  <c r="DY111" i="23"/>
  <c r="DZ111" i="23"/>
  <c r="EA111" i="23"/>
  <c r="EB111" i="23"/>
  <c r="EC111" i="23"/>
  <c r="ED111" i="23"/>
  <c r="EE111" i="23"/>
  <c r="EF111" i="23"/>
  <c r="EG111" i="23"/>
  <c r="EH111" i="23"/>
  <c r="EI111" i="23"/>
  <c r="EJ111" i="23"/>
  <c r="EK111" i="23"/>
  <c r="EL111" i="23"/>
  <c r="EM111" i="23"/>
  <c r="EN111" i="23"/>
  <c r="EO111" i="23"/>
  <c r="EP111" i="23"/>
  <c r="EQ111" i="23"/>
  <c r="ER111" i="23"/>
  <c r="ES111" i="23"/>
  <c r="ET111" i="23"/>
  <c r="EU111" i="23"/>
  <c r="EV111" i="23"/>
  <c r="EW111" i="23"/>
  <c r="EX111" i="23"/>
  <c r="EY111" i="23"/>
  <c r="EZ111" i="23"/>
  <c r="FA111" i="23"/>
  <c r="FB111" i="23"/>
  <c r="FC111" i="23"/>
  <c r="FD111" i="23"/>
  <c r="FE111" i="23"/>
  <c r="FF111" i="23"/>
  <c r="FG111" i="23"/>
  <c r="FH111" i="23"/>
  <c r="FI111" i="23"/>
  <c r="FJ111" i="23"/>
  <c r="FK111" i="23"/>
  <c r="FL111" i="23"/>
  <c r="FM111" i="23"/>
  <c r="FN111" i="23"/>
  <c r="FO111" i="23"/>
  <c r="FP111" i="23"/>
  <c r="FQ111" i="23"/>
  <c r="FR111" i="23"/>
  <c r="FS111" i="23"/>
  <c r="FT111" i="23"/>
  <c r="FU111" i="23"/>
  <c r="FV111" i="23"/>
  <c r="FW111" i="23"/>
  <c r="FX111" i="23"/>
  <c r="FY111" i="23"/>
  <c r="FZ111" i="23"/>
  <c r="GA111" i="23"/>
  <c r="GB111" i="23"/>
  <c r="GC111" i="23"/>
  <c r="GD111" i="23"/>
  <c r="GE111" i="23"/>
  <c r="GF111" i="23"/>
  <c r="GG111" i="23"/>
  <c r="GH111" i="23"/>
  <c r="GI111" i="23"/>
  <c r="GJ111" i="23"/>
  <c r="GK111" i="23"/>
  <c r="GL111" i="23"/>
  <c r="GM111" i="23"/>
  <c r="GN111" i="23"/>
  <c r="GO111" i="23"/>
  <c r="GP111" i="23"/>
  <c r="GQ111" i="23"/>
  <c r="GR111" i="23"/>
  <c r="GS111" i="23"/>
  <c r="GT111" i="23"/>
  <c r="GU111" i="23"/>
  <c r="GV111" i="23"/>
  <c r="GW111" i="23"/>
  <c r="GX111" i="23"/>
  <c r="GY111" i="23"/>
  <c r="GZ111" i="23"/>
  <c r="HA111" i="23"/>
  <c r="HB111" i="23"/>
  <c r="HC111" i="23"/>
  <c r="HD111" i="23"/>
  <c r="HE111" i="23"/>
  <c r="HF111" i="23"/>
  <c r="HG111" i="23"/>
  <c r="HH111" i="23"/>
  <c r="HI111" i="23"/>
  <c r="HJ111" i="23"/>
  <c r="HK111" i="23"/>
  <c r="HL111" i="23"/>
  <c r="HM111" i="23"/>
  <c r="HN111" i="23"/>
  <c r="HO111" i="23"/>
  <c r="HP111" i="23"/>
  <c r="HQ111" i="23"/>
  <c r="HR111" i="23"/>
  <c r="HS111" i="23"/>
  <c r="HT111" i="23"/>
  <c r="HU111" i="23"/>
  <c r="HV111" i="23"/>
  <c r="HW111" i="23"/>
  <c r="HX111" i="23"/>
  <c r="HY111" i="23"/>
  <c r="HZ111" i="23"/>
  <c r="IA111" i="23"/>
  <c r="IB111" i="23"/>
  <c r="IC111" i="23"/>
  <c r="ID111" i="23"/>
  <c r="IE111" i="23"/>
  <c r="IF111" i="23"/>
  <c r="IG111" i="23"/>
  <c r="IH111" i="23"/>
  <c r="II111" i="23"/>
  <c r="IJ111" i="23"/>
  <c r="IK111" i="23"/>
  <c r="IL111" i="23"/>
  <c r="IM111" i="23"/>
  <c r="IN111" i="23"/>
  <c r="IO111" i="23"/>
  <c r="IP111" i="23"/>
  <c r="IQ111" i="23"/>
  <c r="IR111" i="23"/>
  <c r="IS111" i="23"/>
  <c r="IT111" i="23"/>
  <c r="IU111" i="23"/>
  <c r="IV111" i="23"/>
  <c r="A110" i="23"/>
  <c r="B110" i="23"/>
  <c r="C110" i="23"/>
  <c r="D110" i="23"/>
  <c r="E110" i="23"/>
  <c r="F110" i="23"/>
  <c r="G110" i="23"/>
  <c r="H110" i="23"/>
  <c r="I110" i="23"/>
  <c r="J110" i="23"/>
  <c r="K110" i="23"/>
  <c r="L110" i="23"/>
  <c r="M110" i="23"/>
  <c r="N110" i="23"/>
  <c r="O110" i="23"/>
  <c r="P110" i="23"/>
  <c r="Q110" i="23"/>
  <c r="R110" i="23"/>
  <c r="S110" i="23"/>
  <c r="T110" i="23"/>
  <c r="U110" i="23"/>
  <c r="V110" i="23"/>
  <c r="W110" i="23"/>
  <c r="X110" i="23"/>
  <c r="Y110" i="23"/>
  <c r="Z110" i="23"/>
  <c r="AA110" i="23"/>
  <c r="AB110" i="23"/>
  <c r="AC110" i="23"/>
  <c r="AD110" i="23"/>
  <c r="AE110" i="23"/>
  <c r="AF110" i="23"/>
  <c r="AG110" i="23"/>
  <c r="AH110" i="23"/>
  <c r="AI110" i="23"/>
  <c r="AJ110" i="23"/>
  <c r="AK110" i="23"/>
  <c r="AL110" i="23"/>
  <c r="AM110" i="23"/>
  <c r="AN110" i="23"/>
  <c r="AO110" i="23"/>
  <c r="AP110" i="23"/>
  <c r="AQ110" i="23"/>
  <c r="AR110" i="23"/>
  <c r="AS110" i="23"/>
  <c r="AT110" i="23"/>
  <c r="AU110" i="23"/>
  <c r="AV110" i="23"/>
  <c r="AW110" i="23"/>
  <c r="AX110" i="23"/>
  <c r="AY110" i="23"/>
  <c r="AZ110" i="23"/>
  <c r="BA110" i="23"/>
  <c r="BB110" i="23"/>
  <c r="BC110" i="23"/>
  <c r="BD110" i="23"/>
  <c r="BE110" i="23"/>
  <c r="BF110" i="23"/>
  <c r="BG110" i="23"/>
  <c r="BH110" i="23"/>
  <c r="BI110" i="23"/>
  <c r="BJ110" i="23"/>
  <c r="BK110" i="23"/>
  <c r="BL110" i="23"/>
  <c r="BM110" i="23"/>
  <c r="BN110" i="23"/>
  <c r="BO110" i="23"/>
  <c r="BP110" i="23"/>
  <c r="BQ110" i="23"/>
  <c r="BR110" i="23"/>
  <c r="BS110" i="23"/>
  <c r="BT110" i="23"/>
  <c r="BU110" i="23"/>
  <c r="BV110" i="23"/>
  <c r="BW110" i="23"/>
  <c r="BX110" i="23"/>
  <c r="BY110" i="23"/>
  <c r="BZ110" i="23"/>
  <c r="CA110" i="23"/>
  <c r="CB110" i="23"/>
  <c r="CC110" i="23"/>
  <c r="CD110" i="23"/>
  <c r="CE110" i="23"/>
  <c r="CF110" i="23"/>
  <c r="CG110" i="23"/>
  <c r="CH110" i="23"/>
  <c r="CI110" i="23"/>
  <c r="CJ110" i="23"/>
  <c r="CK110" i="23"/>
  <c r="CL110" i="23"/>
  <c r="CM110" i="23"/>
  <c r="CN110" i="23"/>
  <c r="CO110" i="23"/>
  <c r="CP110" i="23"/>
  <c r="CQ110" i="23"/>
  <c r="CR110" i="23"/>
  <c r="CS110" i="23"/>
  <c r="CT110" i="23"/>
  <c r="CU110" i="23"/>
  <c r="CV110" i="23"/>
  <c r="CW110" i="23"/>
  <c r="CX110" i="23"/>
  <c r="CY110" i="23"/>
  <c r="CZ110" i="23"/>
  <c r="DA110" i="23"/>
  <c r="DB110" i="23"/>
  <c r="DC110" i="23"/>
  <c r="DD110" i="23"/>
  <c r="DE110" i="23"/>
  <c r="DF110" i="23"/>
  <c r="DG110" i="23"/>
  <c r="DH110" i="23"/>
  <c r="DI110" i="23"/>
  <c r="DJ110" i="23"/>
  <c r="DK110" i="23"/>
  <c r="DL110" i="23"/>
  <c r="DM110" i="23"/>
  <c r="DN110" i="23"/>
  <c r="DO110" i="23"/>
  <c r="DP110" i="23"/>
  <c r="DQ110" i="23"/>
  <c r="DR110" i="23"/>
  <c r="DS110" i="23"/>
  <c r="DT110" i="23"/>
  <c r="DU110" i="23"/>
  <c r="DV110" i="23"/>
  <c r="DW110" i="23"/>
  <c r="DX110" i="23"/>
  <c r="DY110" i="23"/>
  <c r="DZ110" i="23"/>
  <c r="EA110" i="23"/>
  <c r="EB110" i="23"/>
  <c r="EC110" i="23"/>
  <c r="ED110" i="23"/>
  <c r="EE110" i="23"/>
  <c r="EF110" i="23"/>
  <c r="EG110" i="23"/>
  <c r="EH110" i="23"/>
  <c r="EI110" i="23"/>
  <c r="EJ110" i="23"/>
  <c r="EK110" i="23"/>
  <c r="EL110" i="23"/>
  <c r="EM110" i="23"/>
  <c r="EN110" i="23"/>
  <c r="EO110" i="23"/>
  <c r="EP110" i="23"/>
  <c r="EQ110" i="23"/>
  <c r="ER110" i="23"/>
  <c r="ES110" i="23"/>
  <c r="ET110" i="23"/>
  <c r="EU110" i="23"/>
  <c r="EV110" i="23"/>
  <c r="EW110" i="23"/>
  <c r="EX110" i="23"/>
  <c r="EY110" i="23"/>
  <c r="EZ110" i="23"/>
  <c r="FA110" i="23"/>
  <c r="FB110" i="23"/>
  <c r="FC110" i="23"/>
  <c r="FD110" i="23"/>
  <c r="FE110" i="23"/>
  <c r="FF110" i="23"/>
  <c r="FG110" i="23"/>
  <c r="FH110" i="23"/>
  <c r="FI110" i="23"/>
  <c r="FJ110" i="23"/>
  <c r="FK110" i="23"/>
  <c r="FL110" i="23"/>
  <c r="FM110" i="23"/>
  <c r="FN110" i="23"/>
  <c r="FO110" i="23"/>
  <c r="FP110" i="23"/>
  <c r="FQ110" i="23"/>
  <c r="FR110" i="23"/>
  <c r="FS110" i="23"/>
  <c r="FT110" i="23"/>
  <c r="FU110" i="23"/>
  <c r="FV110" i="23"/>
  <c r="FW110" i="23"/>
  <c r="FX110" i="23"/>
  <c r="FY110" i="23"/>
  <c r="FZ110" i="23"/>
  <c r="GA110" i="23"/>
  <c r="GB110" i="23"/>
  <c r="GC110" i="23"/>
  <c r="GD110" i="23"/>
  <c r="GE110" i="23"/>
  <c r="GF110" i="23"/>
  <c r="GG110" i="23"/>
  <c r="GH110" i="23"/>
  <c r="GI110" i="23"/>
  <c r="GJ110" i="23"/>
  <c r="GK110" i="23"/>
  <c r="GL110" i="23"/>
  <c r="GM110" i="23"/>
  <c r="GN110" i="23"/>
  <c r="GO110" i="23"/>
  <c r="GP110" i="23"/>
  <c r="GQ110" i="23"/>
  <c r="GR110" i="23"/>
  <c r="GS110" i="23"/>
  <c r="GT110" i="23"/>
  <c r="GU110" i="23"/>
  <c r="GV110" i="23"/>
  <c r="GW110" i="23"/>
  <c r="GX110" i="23"/>
  <c r="GY110" i="23"/>
  <c r="GZ110" i="23"/>
  <c r="HA110" i="23"/>
  <c r="HB110" i="23"/>
  <c r="HC110" i="23"/>
  <c r="HD110" i="23"/>
  <c r="HE110" i="23"/>
  <c r="HF110" i="23"/>
  <c r="HG110" i="23"/>
  <c r="HH110" i="23"/>
  <c r="HI110" i="23"/>
  <c r="HJ110" i="23"/>
  <c r="HK110" i="23"/>
  <c r="HL110" i="23"/>
  <c r="HM110" i="23"/>
  <c r="HN110" i="23"/>
  <c r="HO110" i="23"/>
  <c r="HP110" i="23"/>
  <c r="HQ110" i="23"/>
  <c r="HR110" i="23"/>
  <c r="HS110" i="23"/>
  <c r="HT110" i="23"/>
  <c r="HU110" i="23"/>
  <c r="HV110" i="23"/>
  <c r="HW110" i="23"/>
  <c r="HX110" i="23"/>
  <c r="HY110" i="23"/>
  <c r="HZ110" i="23"/>
  <c r="IA110" i="23"/>
  <c r="IB110" i="23"/>
  <c r="IC110" i="23"/>
  <c r="ID110" i="23"/>
  <c r="IE110" i="23"/>
  <c r="IF110" i="23"/>
  <c r="IG110" i="23"/>
  <c r="IH110" i="23"/>
  <c r="II110" i="23"/>
  <c r="IJ110" i="23"/>
  <c r="IK110" i="23"/>
  <c r="IL110" i="23"/>
  <c r="IM110" i="23"/>
  <c r="IN110" i="23"/>
  <c r="IO110" i="23"/>
  <c r="IP110" i="23"/>
  <c r="IQ110" i="23"/>
  <c r="IR110" i="23"/>
  <c r="IS110" i="23"/>
  <c r="IT110" i="23"/>
  <c r="IU110" i="23"/>
  <c r="IV110" i="23"/>
  <c r="A109" i="23"/>
  <c r="B109" i="23"/>
  <c r="C109" i="23"/>
  <c r="D109" i="23"/>
  <c r="E109" i="23"/>
  <c r="F109" i="23"/>
  <c r="G109" i="23"/>
  <c r="H109" i="23"/>
  <c r="I109" i="23"/>
  <c r="J109" i="23"/>
  <c r="K109" i="23"/>
  <c r="L109" i="23"/>
  <c r="M109" i="23"/>
  <c r="N109" i="23"/>
  <c r="O109" i="23"/>
  <c r="P109" i="23"/>
  <c r="Q109" i="23"/>
  <c r="R109" i="23"/>
  <c r="S109" i="23"/>
  <c r="T109" i="23"/>
  <c r="U109" i="23"/>
  <c r="V109" i="23"/>
  <c r="W109" i="23"/>
  <c r="X109" i="23"/>
  <c r="Y109" i="23"/>
  <c r="Z109" i="23"/>
  <c r="AA109" i="23"/>
  <c r="AB109" i="23"/>
  <c r="AC109" i="23"/>
  <c r="AD109" i="23"/>
  <c r="AE109" i="23"/>
  <c r="AF109" i="23"/>
  <c r="AG109" i="23"/>
  <c r="AH109" i="23"/>
  <c r="AI109" i="23"/>
  <c r="AJ109" i="23"/>
  <c r="AK109" i="23"/>
  <c r="AL109" i="23"/>
  <c r="AM109" i="23"/>
  <c r="AN109" i="23"/>
  <c r="AO109" i="23"/>
  <c r="AP109" i="23"/>
  <c r="AQ109" i="23"/>
  <c r="AR109" i="23"/>
  <c r="AS109" i="23"/>
  <c r="AT109" i="23"/>
  <c r="AU109" i="23"/>
  <c r="AV109" i="23"/>
  <c r="AW109" i="23"/>
  <c r="AX109" i="23"/>
  <c r="AY109" i="23"/>
  <c r="AZ109" i="23"/>
  <c r="BA109" i="23"/>
  <c r="BB109" i="23"/>
  <c r="BC109" i="23"/>
  <c r="BD109" i="23"/>
  <c r="BE109" i="23"/>
  <c r="BF109" i="23"/>
  <c r="BG109" i="23"/>
  <c r="BH109" i="23"/>
  <c r="BI109" i="23"/>
  <c r="BJ109" i="23"/>
  <c r="BK109" i="23"/>
  <c r="BL109" i="23"/>
  <c r="BM109" i="23"/>
  <c r="BN109" i="23"/>
  <c r="BO109" i="23"/>
  <c r="BP109" i="23"/>
  <c r="BQ109" i="23"/>
  <c r="BR109" i="23"/>
  <c r="BS109" i="23"/>
  <c r="BT109" i="23"/>
  <c r="BU109" i="23"/>
  <c r="BV109" i="23"/>
  <c r="BW109" i="23"/>
  <c r="BX109" i="23"/>
  <c r="BY109" i="23"/>
  <c r="BZ109" i="23"/>
  <c r="CA109" i="23"/>
  <c r="CB109" i="23"/>
  <c r="CC109" i="23"/>
  <c r="CD109" i="23"/>
  <c r="CE109" i="23"/>
  <c r="CF109" i="23"/>
  <c r="CG109" i="23"/>
  <c r="CH109" i="23"/>
  <c r="CI109" i="23"/>
  <c r="CJ109" i="23"/>
  <c r="CK109" i="23"/>
  <c r="CL109" i="23"/>
  <c r="CM109" i="23"/>
  <c r="CN109" i="23"/>
  <c r="CO109" i="23"/>
  <c r="CP109" i="23"/>
  <c r="CQ109" i="23"/>
  <c r="CR109" i="23"/>
  <c r="CS109" i="23"/>
  <c r="CT109" i="23"/>
  <c r="CU109" i="23"/>
  <c r="CV109" i="23"/>
  <c r="CW109" i="23"/>
  <c r="CX109" i="23"/>
  <c r="CY109" i="23"/>
  <c r="CZ109" i="23"/>
  <c r="DA109" i="23"/>
  <c r="DB109" i="23"/>
  <c r="DC109" i="23"/>
  <c r="DD109" i="23"/>
  <c r="DE109" i="23"/>
  <c r="DF109" i="23"/>
  <c r="DG109" i="23"/>
  <c r="DH109" i="23"/>
  <c r="DI109" i="23"/>
  <c r="DJ109" i="23"/>
  <c r="DK109" i="23"/>
  <c r="DL109" i="23"/>
  <c r="DM109" i="23"/>
  <c r="DN109" i="23"/>
  <c r="DO109" i="23"/>
  <c r="DP109" i="23"/>
  <c r="DQ109" i="23"/>
  <c r="DR109" i="23"/>
  <c r="DS109" i="23"/>
  <c r="DT109" i="23"/>
  <c r="DU109" i="23"/>
  <c r="DV109" i="23"/>
  <c r="DW109" i="23"/>
  <c r="DX109" i="23"/>
  <c r="DY109" i="23"/>
  <c r="DZ109" i="23"/>
  <c r="EA109" i="23"/>
  <c r="EB109" i="23"/>
  <c r="EC109" i="23"/>
  <c r="ED109" i="23"/>
  <c r="EE109" i="23"/>
  <c r="EF109" i="23"/>
  <c r="EG109" i="23"/>
  <c r="EH109" i="23"/>
  <c r="EI109" i="23"/>
  <c r="EJ109" i="23"/>
  <c r="EK109" i="23"/>
  <c r="EL109" i="23"/>
  <c r="EM109" i="23"/>
  <c r="EN109" i="23"/>
  <c r="EO109" i="23"/>
  <c r="EP109" i="23"/>
  <c r="EQ109" i="23"/>
  <c r="ER109" i="23"/>
  <c r="ES109" i="23"/>
  <c r="ET109" i="23"/>
  <c r="EU109" i="23"/>
  <c r="EV109" i="23"/>
  <c r="EW109" i="23"/>
  <c r="EX109" i="23"/>
  <c r="EY109" i="23"/>
  <c r="EZ109" i="23"/>
  <c r="FA109" i="23"/>
  <c r="FB109" i="23"/>
  <c r="FC109" i="23"/>
  <c r="FD109" i="23"/>
  <c r="FE109" i="23"/>
  <c r="FF109" i="23"/>
  <c r="FG109" i="23"/>
  <c r="FH109" i="23"/>
  <c r="FI109" i="23"/>
  <c r="FJ109" i="23"/>
  <c r="FK109" i="23"/>
  <c r="FL109" i="23"/>
  <c r="FM109" i="23"/>
  <c r="FN109" i="23"/>
  <c r="FO109" i="23"/>
  <c r="FP109" i="23"/>
  <c r="FQ109" i="23"/>
  <c r="FR109" i="23"/>
  <c r="FS109" i="23"/>
  <c r="FT109" i="23"/>
  <c r="FU109" i="23"/>
  <c r="FV109" i="23"/>
  <c r="FW109" i="23"/>
  <c r="FX109" i="23"/>
  <c r="FY109" i="23"/>
  <c r="FZ109" i="23"/>
  <c r="GA109" i="23"/>
  <c r="GB109" i="23"/>
  <c r="GC109" i="23"/>
  <c r="GD109" i="23"/>
  <c r="GE109" i="23"/>
  <c r="GF109" i="23"/>
  <c r="GG109" i="23"/>
  <c r="GH109" i="23"/>
  <c r="GI109" i="23"/>
  <c r="GJ109" i="23"/>
  <c r="GK109" i="23"/>
  <c r="GL109" i="23"/>
  <c r="GM109" i="23"/>
  <c r="GN109" i="23"/>
  <c r="GO109" i="23"/>
  <c r="GP109" i="23"/>
  <c r="GQ109" i="23"/>
  <c r="GR109" i="23"/>
  <c r="GS109" i="23"/>
  <c r="GT109" i="23"/>
  <c r="GU109" i="23"/>
  <c r="GV109" i="23"/>
  <c r="GW109" i="23"/>
  <c r="GX109" i="23"/>
  <c r="GY109" i="23"/>
  <c r="GZ109" i="23"/>
  <c r="HA109" i="23"/>
  <c r="HB109" i="23"/>
  <c r="HC109" i="23"/>
  <c r="HD109" i="23"/>
  <c r="HE109" i="23"/>
  <c r="HF109" i="23"/>
  <c r="HG109" i="23"/>
  <c r="HH109" i="23"/>
  <c r="HI109" i="23"/>
  <c r="HJ109" i="23"/>
  <c r="HK109" i="23"/>
  <c r="HL109" i="23"/>
  <c r="HM109" i="23"/>
  <c r="HN109" i="23"/>
  <c r="HO109" i="23"/>
  <c r="HP109" i="23"/>
  <c r="HQ109" i="23"/>
  <c r="HR109" i="23"/>
  <c r="HS109" i="23"/>
  <c r="HT109" i="23"/>
  <c r="HU109" i="23"/>
  <c r="HV109" i="23"/>
  <c r="HW109" i="23"/>
  <c r="HX109" i="23"/>
  <c r="HY109" i="23"/>
  <c r="HZ109" i="23"/>
  <c r="IA109" i="23"/>
  <c r="IB109" i="23"/>
  <c r="IC109" i="23"/>
  <c r="ID109" i="23"/>
  <c r="IE109" i="23"/>
  <c r="IF109" i="23"/>
  <c r="IG109" i="23"/>
  <c r="IH109" i="23"/>
  <c r="II109" i="23"/>
  <c r="IJ109" i="23"/>
  <c r="IK109" i="23"/>
  <c r="IL109" i="23"/>
  <c r="IM109" i="23"/>
  <c r="IN109" i="23"/>
  <c r="IO109" i="23"/>
  <c r="IP109" i="23"/>
  <c r="IQ109" i="23"/>
  <c r="IR109" i="23"/>
  <c r="IS109" i="23"/>
  <c r="IT109" i="23"/>
  <c r="IU109" i="23"/>
  <c r="IV109" i="23"/>
  <c r="A108" i="23"/>
  <c r="B108" i="23"/>
  <c r="C108" i="23"/>
  <c r="D108" i="23"/>
  <c r="E108" i="23"/>
  <c r="F108" i="23"/>
  <c r="G108" i="23"/>
  <c r="H108" i="23"/>
  <c r="I108" i="23"/>
  <c r="J108" i="23"/>
  <c r="K108" i="23"/>
  <c r="L108" i="23"/>
  <c r="M108" i="23"/>
  <c r="N108" i="23"/>
  <c r="O108" i="23"/>
  <c r="P108" i="23"/>
  <c r="Q108" i="23"/>
  <c r="R108" i="23"/>
  <c r="S108" i="23"/>
  <c r="T108" i="23"/>
  <c r="U108" i="23"/>
  <c r="V108" i="23"/>
  <c r="W108" i="23"/>
  <c r="X108" i="23"/>
  <c r="Y108" i="23"/>
  <c r="Z108" i="23"/>
  <c r="AA108" i="23"/>
  <c r="AB108" i="23"/>
  <c r="AC108" i="23"/>
  <c r="AD108" i="23"/>
  <c r="AE108" i="23"/>
  <c r="AF108" i="23"/>
  <c r="AG108" i="23"/>
  <c r="AH108" i="23"/>
  <c r="AI108" i="23"/>
  <c r="AJ108" i="23"/>
  <c r="AK108" i="23"/>
  <c r="AL108" i="23"/>
  <c r="AM108" i="23"/>
  <c r="AN108" i="23"/>
  <c r="AO108" i="23"/>
  <c r="AP108" i="23"/>
  <c r="AQ108" i="23"/>
  <c r="AR108" i="23"/>
  <c r="AS108" i="23"/>
  <c r="AT108" i="23"/>
  <c r="AU108" i="23"/>
  <c r="AV108" i="23"/>
  <c r="AW108" i="23"/>
  <c r="AX108" i="23"/>
  <c r="AY108" i="23"/>
  <c r="AZ108" i="23"/>
  <c r="BA108" i="23"/>
  <c r="BB108" i="23"/>
  <c r="BC108" i="23"/>
  <c r="BD108" i="23"/>
  <c r="BE108" i="23"/>
  <c r="BF108" i="23"/>
  <c r="BG108" i="23"/>
  <c r="BH108" i="23"/>
  <c r="BI108" i="23"/>
  <c r="BJ108" i="23"/>
  <c r="BK108" i="23"/>
  <c r="BL108" i="23"/>
  <c r="BM108" i="23"/>
  <c r="BN108" i="23"/>
  <c r="BO108" i="23"/>
  <c r="BP108" i="23"/>
  <c r="BQ108" i="23"/>
  <c r="BR108" i="23"/>
  <c r="BS108" i="23"/>
  <c r="BT108" i="23"/>
  <c r="BU108" i="23"/>
  <c r="BV108" i="23"/>
  <c r="BW108" i="23"/>
  <c r="BX108" i="23"/>
  <c r="BY108" i="23"/>
  <c r="BZ108" i="23"/>
  <c r="CA108" i="23"/>
  <c r="CB108" i="23"/>
  <c r="CC108" i="23"/>
  <c r="CD108" i="23"/>
  <c r="CE108" i="23"/>
  <c r="CF108" i="23"/>
  <c r="CG108" i="23"/>
  <c r="CH108" i="23"/>
  <c r="CI108" i="23"/>
  <c r="CJ108" i="23"/>
  <c r="CK108" i="23"/>
  <c r="CL108" i="23"/>
  <c r="CM108" i="23"/>
  <c r="CN108" i="23"/>
  <c r="CO108" i="23"/>
  <c r="CP108" i="23"/>
  <c r="CQ108" i="23"/>
  <c r="CR108" i="23"/>
  <c r="CS108" i="23"/>
  <c r="CT108" i="23"/>
  <c r="CU108" i="23"/>
  <c r="CV108" i="23"/>
  <c r="CW108" i="23"/>
  <c r="CX108" i="23"/>
  <c r="CY108" i="23"/>
  <c r="CZ108" i="23"/>
  <c r="DA108" i="23"/>
  <c r="DB108" i="23"/>
  <c r="DC108" i="23"/>
  <c r="DD108" i="23"/>
  <c r="DE108" i="23"/>
  <c r="DF108" i="23"/>
  <c r="DG108" i="23"/>
  <c r="DH108" i="23"/>
  <c r="DI108" i="23"/>
  <c r="DJ108" i="23"/>
  <c r="DK108" i="23"/>
  <c r="DL108" i="23"/>
  <c r="DM108" i="23"/>
  <c r="DN108" i="23"/>
  <c r="DO108" i="23"/>
  <c r="DP108" i="23"/>
  <c r="DQ108" i="23"/>
  <c r="DR108" i="23"/>
  <c r="DS108" i="23"/>
  <c r="DT108" i="23"/>
  <c r="DU108" i="23"/>
  <c r="DV108" i="23"/>
  <c r="DW108" i="23"/>
  <c r="DX108" i="23"/>
  <c r="DY108" i="23"/>
  <c r="DZ108" i="23"/>
  <c r="EA108" i="23"/>
  <c r="EB108" i="23"/>
  <c r="EC108" i="23"/>
  <c r="ED108" i="23"/>
  <c r="EE108" i="23"/>
  <c r="EF108" i="23"/>
  <c r="EG108" i="23"/>
  <c r="EH108" i="23"/>
  <c r="EI108" i="23"/>
  <c r="EJ108" i="23"/>
  <c r="EK108" i="23"/>
  <c r="EL108" i="23"/>
  <c r="EM108" i="23"/>
  <c r="EN108" i="23"/>
  <c r="EO108" i="23"/>
  <c r="EP108" i="23"/>
  <c r="EQ108" i="23"/>
  <c r="ER108" i="23"/>
  <c r="ES108" i="23"/>
  <c r="ET108" i="23"/>
  <c r="EU108" i="23"/>
  <c r="EV108" i="23"/>
  <c r="EW108" i="23"/>
  <c r="EX108" i="23"/>
  <c r="EY108" i="23"/>
  <c r="EZ108" i="23"/>
  <c r="FA108" i="23"/>
  <c r="FB108" i="23"/>
  <c r="FC108" i="23"/>
  <c r="FD108" i="23"/>
  <c r="FE108" i="23"/>
  <c r="FF108" i="23"/>
  <c r="FG108" i="23"/>
  <c r="FH108" i="23"/>
  <c r="FI108" i="23"/>
  <c r="FJ108" i="23"/>
  <c r="FK108" i="23"/>
  <c r="FL108" i="23"/>
  <c r="FM108" i="23"/>
  <c r="FN108" i="23"/>
  <c r="FO108" i="23"/>
  <c r="FP108" i="23"/>
  <c r="FQ108" i="23"/>
  <c r="FR108" i="23"/>
  <c r="FS108" i="23"/>
  <c r="FT108" i="23"/>
  <c r="FU108" i="23"/>
  <c r="FV108" i="23"/>
  <c r="FW108" i="23"/>
  <c r="FX108" i="23"/>
  <c r="FY108" i="23"/>
  <c r="FZ108" i="23"/>
  <c r="GA108" i="23"/>
  <c r="GB108" i="23"/>
  <c r="GC108" i="23"/>
  <c r="GD108" i="23"/>
  <c r="GE108" i="23"/>
  <c r="GF108" i="23"/>
  <c r="GG108" i="23"/>
  <c r="GH108" i="23"/>
  <c r="GI108" i="23"/>
  <c r="GJ108" i="23"/>
  <c r="GK108" i="23"/>
  <c r="GL108" i="23"/>
  <c r="GM108" i="23"/>
  <c r="GN108" i="23"/>
  <c r="GO108" i="23"/>
  <c r="GP108" i="23"/>
  <c r="GQ108" i="23"/>
  <c r="GR108" i="23"/>
  <c r="GS108" i="23"/>
  <c r="GT108" i="23"/>
  <c r="GU108" i="23"/>
  <c r="GV108" i="23"/>
  <c r="GW108" i="23"/>
  <c r="GX108" i="23"/>
  <c r="GY108" i="23"/>
  <c r="GZ108" i="23"/>
  <c r="HA108" i="23"/>
  <c r="HB108" i="23"/>
  <c r="HC108" i="23"/>
  <c r="HD108" i="23"/>
  <c r="HE108" i="23"/>
  <c r="HF108" i="23"/>
  <c r="HG108" i="23"/>
  <c r="HH108" i="23"/>
  <c r="HI108" i="23"/>
  <c r="HJ108" i="23"/>
  <c r="HK108" i="23"/>
  <c r="HL108" i="23"/>
  <c r="HM108" i="23"/>
  <c r="HN108" i="23"/>
  <c r="HO108" i="23"/>
  <c r="HP108" i="23"/>
  <c r="HQ108" i="23"/>
  <c r="HR108" i="23"/>
  <c r="HS108" i="23"/>
  <c r="HT108" i="23"/>
  <c r="HU108" i="23"/>
  <c r="HV108" i="23"/>
  <c r="HW108" i="23"/>
  <c r="HX108" i="23"/>
  <c r="HY108" i="23"/>
  <c r="HZ108" i="23"/>
  <c r="IA108" i="23"/>
  <c r="IB108" i="23"/>
  <c r="IC108" i="23"/>
  <c r="ID108" i="23"/>
  <c r="IE108" i="23"/>
  <c r="IF108" i="23"/>
  <c r="IG108" i="23"/>
  <c r="IH108" i="23"/>
  <c r="II108" i="23"/>
  <c r="IJ108" i="23"/>
  <c r="IK108" i="23"/>
  <c r="IL108" i="23"/>
  <c r="IM108" i="23"/>
  <c r="IN108" i="23"/>
  <c r="IO108" i="23"/>
  <c r="IP108" i="23"/>
  <c r="IQ108" i="23"/>
  <c r="IR108" i="23"/>
  <c r="IS108" i="23"/>
  <c r="IT108" i="23"/>
  <c r="IU108" i="23"/>
  <c r="IV108" i="23"/>
  <c r="A107" i="23"/>
  <c r="B107" i="23"/>
  <c r="C107" i="23"/>
  <c r="D107" i="23"/>
  <c r="E107" i="23"/>
  <c r="F107" i="23"/>
  <c r="G107" i="23"/>
  <c r="H107" i="23"/>
  <c r="I107" i="23"/>
  <c r="J107" i="23"/>
  <c r="K107" i="23"/>
  <c r="L107" i="23"/>
  <c r="M107" i="23"/>
  <c r="N107" i="23"/>
  <c r="O107" i="23"/>
  <c r="P107" i="23"/>
  <c r="Q107" i="23"/>
  <c r="R107" i="23"/>
  <c r="S107" i="23"/>
  <c r="T107" i="23"/>
  <c r="U107" i="23"/>
  <c r="V107" i="23"/>
  <c r="W107" i="23"/>
  <c r="X107" i="23"/>
  <c r="Y107" i="23"/>
  <c r="Z107" i="23"/>
  <c r="AA107" i="23"/>
  <c r="AB107" i="23"/>
  <c r="AC107" i="23"/>
  <c r="AD107" i="23"/>
  <c r="AE107" i="23"/>
  <c r="AF107" i="23"/>
  <c r="AG107" i="23"/>
  <c r="AH107" i="23"/>
  <c r="AI107" i="23"/>
  <c r="AJ107" i="23"/>
  <c r="AK107" i="23"/>
  <c r="AL107" i="23"/>
  <c r="AM107" i="23"/>
  <c r="AN107" i="23"/>
  <c r="AO107" i="23"/>
  <c r="AP107" i="23"/>
  <c r="AQ107" i="23"/>
  <c r="AR107" i="23"/>
  <c r="AS107" i="23"/>
  <c r="AT107" i="23"/>
  <c r="AU107" i="23"/>
  <c r="AV107" i="23"/>
  <c r="AW107" i="23"/>
  <c r="AX107" i="23"/>
  <c r="AY107" i="23"/>
  <c r="AZ107" i="23"/>
  <c r="BA107" i="23"/>
  <c r="BB107" i="23"/>
  <c r="BC107" i="23"/>
  <c r="BD107" i="23"/>
  <c r="BE107" i="23"/>
  <c r="BF107" i="23"/>
  <c r="BG107" i="23"/>
  <c r="BH107" i="23"/>
  <c r="BI107" i="23"/>
  <c r="BJ107" i="23"/>
  <c r="BK107" i="23"/>
  <c r="BL107" i="23"/>
  <c r="BM107" i="23"/>
  <c r="BN107" i="23"/>
  <c r="BO107" i="23"/>
  <c r="BP107" i="23"/>
  <c r="BQ107" i="23"/>
  <c r="BR107" i="23"/>
  <c r="BS107" i="23"/>
  <c r="BT107" i="23"/>
  <c r="BU107" i="23"/>
  <c r="BV107" i="23"/>
  <c r="BW107" i="23"/>
  <c r="BX107" i="23"/>
  <c r="BY107" i="23"/>
  <c r="BZ107" i="23"/>
  <c r="CA107" i="23"/>
  <c r="CB107" i="23"/>
  <c r="CC107" i="23"/>
  <c r="CD107" i="23"/>
  <c r="CE107" i="23"/>
  <c r="CF107" i="23"/>
  <c r="CG107" i="23"/>
  <c r="CH107" i="23"/>
  <c r="CI107" i="23"/>
  <c r="CJ107" i="23"/>
  <c r="CK107" i="23"/>
  <c r="CL107" i="23"/>
  <c r="CM107" i="23"/>
  <c r="CN107" i="23"/>
  <c r="CO107" i="23"/>
  <c r="CP107" i="23"/>
  <c r="CQ107" i="23"/>
  <c r="CR107" i="23"/>
  <c r="CS107" i="23"/>
  <c r="CT107" i="23"/>
  <c r="CU107" i="23"/>
  <c r="CV107" i="23"/>
  <c r="CW107" i="23"/>
  <c r="CX107" i="23"/>
  <c r="CY107" i="23"/>
  <c r="CZ107" i="23"/>
  <c r="DA107" i="23"/>
  <c r="DB107" i="23"/>
  <c r="DC107" i="23"/>
  <c r="DD107" i="23"/>
  <c r="DE107" i="23"/>
  <c r="DF107" i="23"/>
  <c r="DG107" i="23"/>
  <c r="DH107" i="23"/>
  <c r="DI107" i="23"/>
  <c r="DJ107" i="23"/>
  <c r="DK107" i="23"/>
  <c r="DL107" i="23"/>
  <c r="DM107" i="23"/>
  <c r="DN107" i="23"/>
  <c r="DO107" i="23"/>
  <c r="DP107" i="23"/>
  <c r="DQ107" i="23"/>
  <c r="DR107" i="23"/>
  <c r="DS107" i="23"/>
  <c r="DT107" i="23"/>
  <c r="DU107" i="23"/>
  <c r="DV107" i="23"/>
  <c r="DW107" i="23"/>
  <c r="DX107" i="23"/>
  <c r="DY107" i="23"/>
  <c r="DZ107" i="23"/>
  <c r="EA107" i="23"/>
  <c r="EB107" i="23"/>
  <c r="EC107" i="23"/>
  <c r="ED107" i="23"/>
  <c r="EE107" i="23"/>
  <c r="EF107" i="23"/>
  <c r="EG107" i="23"/>
  <c r="EH107" i="23"/>
  <c r="EI107" i="23"/>
  <c r="EJ107" i="23"/>
  <c r="EK107" i="23"/>
  <c r="EL107" i="23"/>
  <c r="EP107" i="23"/>
  <c r="EU107" i="23"/>
  <c r="EV107" i="23"/>
  <c r="EW107" i="23"/>
  <c r="EX107" i="23"/>
  <c r="EY107" i="23"/>
  <c r="EZ107" i="23"/>
  <c r="FA107" i="23"/>
  <c r="FB107" i="23"/>
  <c r="FC107" i="23"/>
  <c r="FD107" i="23"/>
  <c r="FE107" i="23"/>
  <c r="FF107" i="23"/>
  <c r="FG107" i="23"/>
  <c r="FH107" i="23"/>
  <c r="FI107" i="23"/>
  <c r="FJ107" i="23"/>
  <c r="FK107" i="23"/>
  <c r="FL107" i="23"/>
  <c r="FM107" i="23"/>
  <c r="FN107" i="23"/>
  <c r="FO107" i="23"/>
  <c r="FP107" i="23"/>
  <c r="FQ107" i="23"/>
  <c r="FR107" i="23"/>
  <c r="FS107" i="23"/>
  <c r="FT107" i="23"/>
  <c r="FU107" i="23"/>
  <c r="FV107" i="23"/>
  <c r="FW107" i="23"/>
  <c r="FX107" i="23"/>
  <c r="FY107" i="23"/>
  <c r="FZ107" i="23"/>
  <c r="GA107" i="23"/>
  <c r="GB107" i="23"/>
  <c r="GC107" i="23"/>
  <c r="GD107" i="23"/>
  <c r="GE107" i="23"/>
  <c r="GF107" i="23"/>
  <c r="GG107" i="23"/>
  <c r="GH107" i="23"/>
  <c r="GI107" i="23"/>
  <c r="GJ107" i="23"/>
  <c r="GK107" i="23"/>
  <c r="GL107" i="23"/>
  <c r="GM107" i="23"/>
  <c r="GN107" i="23"/>
  <c r="GO107" i="23"/>
  <c r="GP107" i="23"/>
  <c r="GQ107" i="23"/>
  <c r="GR107" i="23"/>
  <c r="GS107" i="23"/>
  <c r="GT107" i="23"/>
  <c r="GU107" i="23"/>
  <c r="GV107" i="23"/>
  <c r="GW107" i="23"/>
  <c r="GX107" i="23"/>
  <c r="GY107" i="23"/>
  <c r="GZ107" i="23"/>
  <c r="HA107" i="23"/>
  <c r="HB107" i="23"/>
  <c r="HC107" i="23"/>
  <c r="HD107" i="23"/>
  <c r="HE107" i="23"/>
  <c r="HF107" i="23"/>
  <c r="HG107" i="23"/>
  <c r="HH107" i="23"/>
  <c r="HI107" i="23"/>
  <c r="HJ107" i="23"/>
  <c r="HK107" i="23"/>
  <c r="HL107" i="23"/>
  <c r="HM107" i="23"/>
  <c r="HN107" i="23"/>
  <c r="HO107" i="23"/>
  <c r="HP107" i="23"/>
  <c r="HQ107" i="23"/>
  <c r="HR107" i="23"/>
  <c r="HS107" i="23"/>
  <c r="HT107" i="23"/>
  <c r="HU107" i="23"/>
  <c r="HV107" i="23"/>
  <c r="HW107" i="23"/>
  <c r="HX107" i="23"/>
  <c r="HY107" i="23"/>
  <c r="HZ107" i="23"/>
  <c r="IA107" i="23"/>
  <c r="IB107" i="23"/>
  <c r="IC107" i="23"/>
  <c r="ID107" i="23"/>
  <c r="IE107" i="23"/>
  <c r="IF107" i="23"/>
  <c r="IG107" i="23"/>
  <c r="IH107" i="23"/>
  <c r="II107" i="23"/>
  <c r="IJ107" i="23"/>
  <c r="IK107" i="23"/>
  <c r="IL107" i="23"/>
  <c r="IM107" i="23"/>
  <c r="IN107" i="23"/>
  <c r="IO107" i="23"/>
  <c r="IP107" i="23"/>
  <c r="IQ107" i="23"/>
  <c r="IR107" i="23"/>
  <c r="IS107" i="23"/>
  <c r="IT107" i="23"/>
  <c r="IU107" i="23"/>
  <c r="IV107" i="23"/>
  <c r="A106" i="23"/>
  <c r="B106" i="23"/>
  <c r="C106" i="23"/>
  <c r="D106" i="23"/>
  <c r="E106" i="23"/>
  <c r="F106" i="23"/>
  <c r="G106" i="23"/>
  <c r="H106" i="23"/>
  <c r="I106" i="23"/>
  <c r="J106" i="23"/>
  <c r="K106" i="23"/>
  <c r="L106" i="23"/>
  <c r="M106" i="23"/>
  <c r="N106" i="23"/>
  <c r="O106" i="23"/>
  <c r="P106" i="23"/>
  <c r="Q106" i="23"/>
  <c r="R106" i="23"/>
  <c r="S106" i="23"/>
  <c r="T106" i="23"/>
  <c r="U106" i="23"/>
  <c r="V106" i="23"/>
  <c r="W106" i="23"/>
  <c r="X106" i="23"/>
  <c r="Y106" i="23"/>
  <c r="Z106" i="23"/>
  <c r="AA106" i="23"/>
  <c r="AB106" i="23"/>
  <c r="AC106" i="23"/>
  <c r="AD106" i="23"/>
  <c r="AE106" i="23"/>
  <c r="AF106" i="23"/>
  <c r="AG106" i="23"/>
  <c r="AH106" i="23"/>
  <c r="AI106" i="23"/>
  <c r="AJ106" i="23"/>
  <c r="AK106" i="23"/>
  <c r="AL106" i="23"/>
  <c r="AM106" i="23"/>
  <c r="AN106" i="23"/>
  <c r="AO106" i="23"/>
  <c r="AP106" i="23"/>
  <c r="AQ106" i="23"/>
  <c r="AR106" i="23"/>
  <c r="AS106" i="23"/>
  <c r="AT106" i="23"/>
  <c r="AU106" i="23"/>
  <c r="AV106" i="23"/>
  <c r="AW106" i="23"/>
  <c r="AX106" i="23"/>
  <c r="AY106" i="23"/>
  <c r="AZ106" i="23"/>
  <c r="BA106" i="23"/>
  <c r="BB106" i="23"/>
  <c r="BC106" i="23"/>
  <c r="BD106" i="23"/>
  <c r="BE106" i="23"/>
  <c r="BF106" i="23"/>
  <c r="BG106" i="23"/>
  <c r="BH106" i="23"/>
  <c r="BI106" i="23"/>
  <c r="BJ106" i="23"/>
  <c r="BK106" i="23"/>
  <c r="BL106" i="23"/>
  <c r="BM106" i="23"/>
  <c r="BN106" i="23"/>
  <c r="BO106" i="23"/>
  <c r="BP106" i="23"/>
  <c r="BQ106" i="23"/>
  <c r="BR106" i="23"/>
  <c r="BS106" i="23"/>
  <c r="BT106" i="23"/>
  <c r="BU106" i="23"/>
  <c r="BV106" i="23"/>
  <c r="BW106" i="23"/>
  <c r="BX106" i="23"/>
  <c r="BY106" i="23"/>
  <c r="BZ106" i="23"/>
  <c r="CA106" i="23"/>
  <c r="CB106" i="23"/>
  <c r="CC106" i="23"/>
  <c r="CD106" i="23"/>
  <c r="CE106" i="23"/>
  <c r="CF106" i="23"/>
  <c r="CG106" i="23"/>
  <c r="CH106" i="23"/>
  <c r="CI106" i="23"/>
  <c r="CJ106" i="23"/>
  <c r="CK106" i="23"/>
  <c r="CL106" i="23"/>
  <c r="CM106" i="23"/>
  <c r="CN106" i="23"/>
  <c r="CO106" i="23"/>
  <c r="CP106" i="23"/>
  <c r="CQ106" i="23"/>
  <c r="CR106" i="23"/>
  <c r="CS106" i="23"/>
  <c r="CT106" i="23"/>
  <c r="CU106" i="23"/>
  <c r="CV106" i="23"/>
  <c r="CW106" i="23"/>
  <c r="CX106" i="23"/>
  <c r="CY106" i="23"/>
  <c r="CZ106" i="23"/>
  <c r="DA106" i="23"/>
  <c r="DB106" i="23"/>
  <c r="DC106" i="23"/>
  <c r="DD106" i="23"/>
  <c r="DE106" i="23"/>
  <c r="DF106" i="23"/>
  <c r="DG106" i="23"/>
  <c r="DH106" i="23"/>
  <c r="DI106" i="23"/>
  <c r="DJ106" i="23"/>
  <c r="DK106" i="23"/>
  <c r="DL106" i="23"/>
  <c r="DM106" i="23"/>
  <c r="DN106" i="23"/>
  <c r="DO106" i="23"/>
  <c r="DP106" i="23"/>
  <c r="DQ106" i="23"/>
  <c r="DR106" i="23"/>
  <c r="DS106" i="23"/>
  <c r="DT106" i="23"/>
  <c r="DU106" i="23"/>
  <c r="DV106" i="23"/>
  <c r="DW106" i="23"/>
  <c r="DX106" i="23"/>
  <c r="DY106" i="23"/>
  <c r="DZ106" i="23"/>
  <c r="EA106" i="23"/>
  <c r="EB106" i="23"/>
  <c r="EC106" i="23"/>
  <c r="ED106" i="23"/>
  <c r="EE106" i="23"/>
  <c r="EF106" i="23"/>
  <c r="EG106" i="23"/>
  <c r="EH106" i="23"/>
  <c r="EI106" i="23"/>
  <c r="EJ106" i="23"/>
  <c r="EK106" i="23"/>
  <c r="EL106" i="23"/>
  <c r="EM106" i="23"/>
  <c r="EN106" i="23"/>
  <c r="EO106" i="23"/>
  <c r="EP106" i="23"/>
  <c r="EQ106" i="23"/>
  <c r="ER106" i="23"/>
  <c r="ES106" i="23"/>
  <c r="ET106" i="23"/>
  <c r="EU106" i="23"/>
  <c r="EV106" i="23"/>
  <c r="EW106" i="23"/>
  <c r="EX106" i="23"/>
  <c r="EY106" i="23"/>
  <c r="EZ106" i="23"/>
  <c r="FA106" i="23"/>
  <c r="FB106" i="23"/>
  <c r="FC106" i="23"/>
  <c r="FD106" i="23"/>
  <c r="FE106" i="23"/>
  <c r="FF106" i="23"/>
  <c r="FG106" i="23"/>
  <c r="FH106" i="23"/>
  <c r="FI106" i="23"/>
  <c r="FJ106" i="23"/>
  <c r="FK106" i="23"/>
  <c r="FL106" i="23"/>
  <c r="FM106" i="23"/>
  <c r="FN106" i="23"/>
  <c r="FO106" i="23"/>
  <c r="FP106" i="23"/>
  <c r="FQ106" i="23"/>
  <c r="FR106" i="23"/>
  <c r="FS106" i="23"/>
  <c r="FT106" i="23"/>
  <c r="FU106" i="23"/>
  <c r="FV106" i="23"/>
  <c r="FW106" i="23"/>
  <c r="FX106" i="23"/>
  <c r="FY106" i="23"/>
  <c r="FZ106" i="23"/>
  <c r="GA106" i="23"/>
  <c r="GB106" i="23"/>
  <c r="GC106" i="23"/>
  <c r="GD106" i="23"/>
  <c r="GE106" i="23"/>
  <c r="GF106" i="23"/>
  <c r="GG106" i="23"/>
  <c r="GH106" i="23"/>
  <c r="GI106" i="23"/>
  <c r="GJ106" i="23"/>
  <c r="GK106" i="23"/>
  <c r="GL106" i="23"/>
  <c r="GM106" i="23"/>
  <c r="GN106" i="23"/>
  <c r="GO106" i="23"/>
  <c r="GP106" i="23"/>
  <c r="GQ106" i="23"/>
  <c r="GR106" i="23"/>
  <c r="GS106" i="23"/>
  <c r="GT106" i="23"/>
  <c r="GU106" i="23"/>
  <c r="GV106" i="23"/>
  <c r="GW106" i="23"/>
  <c r="GX106" i="23"/>
  <c r="GY106" i="23"/>
  <c r="GZ106" i="23"/>
  <c r="HA106" i="23"/>
  <c r="HB106" i="23"/>
  <c r="HC106" i="23"/>
  <c r="HD106" i="23"/>
  <c r="HE106" i="23"/>
  <c r="HF106" i="23"/>
  <c r="HG106" i="23"/>
  <c r="HH106" i="23"/>
  <c r="HI106" i="23"/>
  <c r="HJ106" i="23"/>
  <c r="HK106" i="23"/>
  <c r="HL106" i="23"/>
  <c r="HM106" i="23"/>
  <c r="HN106" i="23"/>
  <c r="HO106" i="23"/>
  <c r="HP106" i="23"/>
  <c r="HQ106" i="23"/>
  <c r="HR106" i="23"/>
  <c r="HS106" i="23"/>
  <c r="HT106" i="23"/>
  <c r="HU106" i="23"/>
  <c r="HV106" i="23"/>
  <c r="HW106" i="23"/>
  <c r="HX106" i="23"/>
  <c r="HY106" i="23"/>
  <c r="HZ106" i="23"/>
  <c r="IA106" i="23"/>
  <c r="IB106" i="23"/>
  <c r="IC106" i="23"/>
  <c r="ID106" i="23"/>
  <c r="IE106" i="23"/>
  <c r="IF106" i="23"/>
  <c r="IG106" i="23"/>
  <c r="IH106" i="23"/>
  <c r="II106" i="23"/>
  <c r="IJ106" i="23"/>
  <c r="IK106" i="23"/>
  <c r="IL106" i="23"/>
  <c r="IM106" i="23"/>
  <c r="IN106" i="23"/>
  <c r="IO106" i="23"/>
  <c r="IP106" i="23"/>
  <c r="IQ106" i="23"/>
  <c r="IR106" i="23"/>
  <c r="IS106" i="23"/>
  <c r="IT106" i="23"/>
  <c r="IU106" i="23"/>
  <c r="IV106" i="23"/>
  <c r="A105" i="23"/>
  <c r="B105" i="23"/>
  <c r="D105" i="23"/>
  <c r="E105" i="23"/>
  <c r="F105" i="23"/>
  <c r="G105" i="23"/>
  <c r="H105" i="23"/>
  <c r="I105" i="23"/>
  <c r="J105" i="23"/>
  <c r="K105" i="23"/>
  <c r="L105" i="23"/>
  <c r="M105" i="23"/>
  <c r="N105" i="23"/>
  <c r="O105" i="23"/>
  <c r="P105" i="23"/>
  <c r="Q105" i="23"/>
  <c r="R105" i="23"/>
  <c r="S105" i="23"/>
  <c r="T105" i="23"/>
  <c r="U105" i="23"/>
  <c r="V105" i="23"/>
  <c r="W105" i="23"/>
  <c r="X105" i="23"/>
  <c r="Y105" i="23"/>
  <c r="Z105" i="23"/>
  <c r="AA105" i="23"/>
  <c r="AB105" i="23"/>
  <c r="AC105" i="23"/>
  <c r="AD105" i="23"/>
  <c r="AE105" i="23"/>
  <c r="AF105" i="23"/>
  <c r="AG105" i="23"/>
  <c r="AH105" i="23"/>
  <c r="AI105" i="23"/>
  <c r="AJ105" i="23"/>
  <c r="AK105" i="23"/>
  <c r="AL105" i="23"/>
  <c r="AM105" i="23"/>
  <c r="AN105" i="23"/>
  <c r="AO105" i="23"/>
  <c r="AP105" i="23"/>
  <c r="AQ105" i="23"/>
  <c r="AR105" i="23"/>
  <c r="AS105" i="23"/>
  <c r="AT105" i="23"/>
  <c r="AU105" i="23"/>
  <c r="AV105" i="23"/>
  <c r="AW105" i="23"/>
  <c r="AX105" i="23"/>
  <c r="AY105" i="23"/>
  <c r="AZ105" i="23"/>
  <c r="BA105" i="23"/>
  <c r="BB105" i="23"/>
  <c r="BC105" i="23"/>
  <c r="BD105" i="23"/>
  <c r="BE105" i="23"/>
  <c r="BF105" i="23"/>
  <c r="BG105" i="23"/>
  <c r="BH105" i="23"/>
  <c r="BI105" i="23"/>
  <c r="BJ105" i="23"/>
  <c r="BK105" i="23"/>
  <c r="BL105" i="23"/>
  <c r="BM105" i="23"/>
  <c r="BN105" i="23"/>
  <c r="BO105" i="23"/>
  <c r="BP105" i="23"/>
  <c r="BQ105" i="23"/>
  <c r="BR105" i="23"/>
  <c r="BS105" i="23"/>
  <c r="BT105" i="23"/>
  <c r="BU105" i="23"/>
  <c r="BV105" i="23"/>
  <c r="BW105" i="23"/>
  <c r="BX105" i="23"/>
  <c r="BY105" i="23"/>
  <c r="BZ105" i="23"/>
  <c r="CA105" i="23"/>
  <c r="CB105" i="23"/>
  <c r="CC105" i="23"/>
  <c r="CD105" i="23"/>
  <c r="CE105" i="23"/>
  <c r="CF105" i="23"/>
  <c r="CG105" i="23"/>
  <c r="CH105" i="23"/>
  <c r="CI105" i="23"/>
  <c r="CJ105" i="23"/>
  <c r="CK105" i="23"/>
  <c r="CL105" i="23"/>
  <c r="CM105" i="23"/>
  <c r="CN105" i="23"/>
  <c r="CO105" i="23"/>
  <c r="CP105" i="23"/>
  <c r="CQ105" i="23"/>
  <c r="CR105" i="23"/>
  <c r="CS105" i="23"/>
  <c r="CT105" i="23"/>
  <c r="CU105" i="23"/>
  <c r="CV105" i="23"/>
  <c r="CW105" i="23"/>
  <c r="CX105" i="23"/>
  <c r="CY105" i="23"/>
  <c r="CZ105" i="23"/>
  <c r="DA105" i="23"/>
  <c r="DB105" i="23"/>
  <c r="DC105" i="23"/>
  <c r="DD105" i="23"/>
  <c r="DE105" i="23"/>
  <c r="DF105" i="23"/>
  <c r="DG105" i="23"/>
  <c r="DH105" i="23"/>
  <c r="DI105" i="23"/>
  <c r="DJ105" i="23"/>
  <c r="DK105" i="23"/>
  <c r="DL105" i="23"/>
  <c r="DM105" i="23"/>
  <c r="DN105" i="23"/>
  <c r="DO105" i="23"/>
  <c r="DP105" i="23"/>
  <c r="DQ105" i="23"/>
  <c r="DR105" i="23"/>
  <c r="DS105" i="23"/>
  <c r="DT105" i="23"/>
  <c r="DU105" i="23"/>
  <c r="DV105" i="23"/>
  <c r="DW105" i="23"/>
  <c r="DX105" i="23"/>
  <c r="DY105" i="23"/>
  <c r="DZ105" i="23"/>
  <c r="EA105" i="23"/>
  <c r="EB105" i="23"/>
  <c r="EC105" i="23"/>
  <c r="ED105" i="23"/>
  <c r="EE105" i="23"/>
  <c r="EF105" i="23"/>
  <c r="EG105" i="23"/>
  <c r="EH105" i="23"/>
  <c r="EI105" i="23"/>
  <c r="EJ105" i="23"/>
  <c r="EK105" i="23"/>
  <c r="EL105" i="23"/>
  <c r="EM105" i="23"/>
  <c r="EN105" i="23"/>
  <c r="EO105" i="23"/>
  <c r="EP105" i="23"/>
  <c r="EQ105" i="23"/>
  <c r="ER105" i="23"/>
  <c r="ES105" i="23"/>
  <c r="ET105" i="23"/>
  <c r="EU105" i="23"/>
  <c r="EV105" i="23"/>
  <c r="EW105" i="23"/>
  <c r="EX105" i="23"/>
  <c r="EY105" i="23"/>
  <c r="EZ105" i="23"/>
  <c r="FA105" i="23"/>
  <c r="FB105" i="23"/>
  <c r="FC105" i="23"/>
  <c r="FD105" i="23"/>
  <c r="FE105" i="23"/>
  <c r="FF105" i="23"/>
  <c r="FG105" i="23"/>
  <c r="FH105" i="23"/>
  <c r="FI105" i="23"/>
  <c r="FJ105" i="23"/>
  <c r="FK105" i="23"/>
  <c r="FL105" i="23"/>
  <c r="FM105" i="23"/>
  <c r="FN105" i="23"/>
  <c r="FO105" i="23"/>
  <c r="FP105" i="23"/>
  <c r="FQ105" i="23"/>
  <c r="FR105" i="23"/>
  <c r="FS105" i="23"/>
  <c r="FT105" i="23"/>
  <c r="FU105" i="23"/>
  <c r="FV105" i="23"/>
  <c r="FW105" i="23"/>
  <c r="FX105" i="23"/>
  <c r="FY105" i="23"/>
  <c r="FZ105" i="23"/>
  <c r="GA105" i="23"/>
  <c r="GB105" i="23"/>
  <c r="GC105" i="23"/>
  <c r="GD105" i="23"/>
  <c r="GE105" i="23"/>
  <c r="GF105" i="23"/>
  <c r="GG105" i="23"/>
  <c r="GH105" i="23"/>
  <c r="GI105" i="23"/>
  <c r="GJ105" i="23"/>
  <c r="GK105" i="23"/>
  <c r="GL105" i="23"/>
  <c r="GM105" i="23"/>
  <c r="GN105" i="23"/>
  <c r="GO105" i="23"/>
  <c r="GP105" i="23"/>
  <c r="GQ105" i="23"/>
  <c r="GR105" i="23"/>
  <c r="GS105" i="23"/>
  <c r="GT105" i="23"/>
  <c r="GU105" i="23"/>
  <c r="GV105" i="23"/>
  <c r="GW105" i="23"/>
  <c r="GX105" i="23"/>
  <c r="GY105" i="23"/>
  <c r="GZ105" i="23"/>
  <c r="HA105" i="23"/>
  <c r="HB105" i="23"/>
  <c r="HC105" i="23"/>
  <c r="HD105" i="23"/>
  <c r="HE105" i="23"/>
  <c r="HF105" i="23"/>
  <c r="HG105" i="23"/>
  <c r="HH105" i="23"/>
  <c r="HI105" i="23"/>
  <c r="HJ105" i="23"/>
  <c r="HK105" i="23"/>
  <c r="HL105" i="23"/>
  <c r="HM105" i="23"/>
  <c r="HN105" i="23"/>
  <c r="HO105" i="23"/>
  <c r="HP105" i="23"/>
  <c r="HQ105" i="23"/>
  <c r="HR105" i="23"/>
  <c r="HS105" i="23"/>
  <c r="HT105" i="23"/>
  <c r="HU105" i="23"/>
  <c r="HV105" i="23"/>
  <c r="HW105" i="23"/>
  <c r="HX105" i="23"/>
  <c r="HY105" i="23"/>
  <c r="HZ105" i="23"/>
  <c r="IA105" i="23"/>
  <c r="IB105" i="23"/>
  <c r="IC105" i="23"/>
  <c r="ID105" i="23"/>
  <c r="IE105" i="23"/>
  <c r="IF105" i="23"/>
  <c r="IG105" i="23"/>
  <c r="IH105" i="23"/>
  <c r="II105" i="23"/>
  <c r="IJ105" i="23"/>
  <c r="IK105" i="23"/>
  <c r="IL105" i="23"/>
  <c r="IM105" i="23"/>
  <c r="IN105" i="23"/>
  <c r="IO105" i="23"/>
  <c r="IP105" i="23"/>
  <c r="IQ105" i="23"/>
  <c r="IR105" i="23"/>
  <c r="IS105" i="23"/>
  <c r="IT105" i="23"/>
  <c r="IU105" i="23"/>
  <c r="IV105" i="23"/>
  <c r="A104" i="23"/>
  <c r="B104" i="23"/>
  <c r="C104" i="23"/>
  <c r="D104" i="23"/>
  <c r="E104" i="23"/>
  <c r="F104" i="23"/>
  <c r="G104" i="23"/>
  <c r="H104" i="23"/>
  <c r="I104" i="23"/>
  <c r="J104" i="23"/>
  <c r="K104" i="23"/>
  <c r="L104" i="23"/>
  <c r="M104" i="23"/>
  <c r="N104" i="23"/>
  <c r="O104" i="23"/>
  <c r="P104" i="23"/>
  <c r="Q104" i="23"/>
  <c r="R104" i="23"/>
  <c r="S104" i="23"/>
  <c r="T104" i="23"/>
  <c r="U104" i="23"/>
  <c r="V104" i="23"/>
  <c r="W104" i="23"/>
  <c r="X104" i="23"/>
  <c r="Y104" i="23"/>
  <c r="Z104" i="23"/>
  <c r="AA104" i="23"/>
  <c r="AB104" i="23"/>
  <c r="AC104" i="23"/>
  <c r="AD104" i="23"/>
  <c r="AE104" i="23"/>
  <c r="AF104" i="23"/>
  <c r="AG104" i="23"/>
  <c r="AH104" i="23"/>
  <c r="AI104" i="23"/>
  <c r="AJ104" i="23"/>
  <c r="AK104" i="23"/>
  <c r="AL104" i="23"/>
  <c r="AM104" i="23"/>
  <c r="AN104" i="23"/>
  <c r="AO104" i="23"/>
  <c r="AP104" i="23"/>
  <c r="AQ104" i="23"/>
  <c r="AR104" i="23"/>
  <c r="AS104" i="23"/>
  <c r="AT104" i="23"/>
  <c r="AU104" i="23"/>
  <c r="AV104" i="23"/>
  <c r="AW104" i="23"/>
  <c r="AX104" i="23"/>
  <c r="AY104" i="23"/>
  <c r="AZ104" i="23"/>
  <c r="BA104" i="23"/>
  <c r="BB104" i="23"/>
  <c r="BC104" i="23"/>
  <c r="BD104" i="23"/>
  <c r="BE104" i="23"/>
  <c r="BF104" i="23"/>
  <c r="BG104" i="23"/>
  <c r="BH104" i="23"/>
  <c r="BI104" i="23"/>
  <c r="BJ104" i="23"/>
  <c r="BK104" i="23"/>
  <c r="BL104" i="23"/>
  <c r="BM104" i="23"/>
  <c r="BN104" i="23"/>
  <c r="BO104" i="23"/>
  <c r="BP104" i="23"/>
  <c r="BQ104" i="23"/>
  <c r="BR104" i="23"/>
  <c r="BS104" i="23"/>
  <c r="BT104" i="23"/>
  <c r="BU104" i="23"/>
  <c r="BV104" i="23"/>
  <c r="BW104" i="23"/>
  <c r="BX104" i="23"/>
  <c r="BY104" i="23"/>
  <c r="BZ104" i="23"/>
  <c r="CA104" i="23"/>
  <c r="CB104" i="23"/>
  <c r="CC104" i="23"/>
  <c r="CD104" i="23"/>
  <c r="CE104" i="23"/>
  <c r="CF104" i="23"/>
  <c r="CG104" i="23"/>
  <c r="CH104" i="23"/>
  <c r="CI104" i="23"/>
  <c r="CJ104" i="23"/>
  <c r="CK104" i="23"/>
  <c r="CL104" i="23"/>
  <c r="CM104" i="23"/>
  <c r="CN104" i="23"/>
  <c r="CO104" i="23"/>
  <c r="CP104" i="23"/>
  <c r="CQ104" i="23"/>
  <c r="CR104" i="23"/>
  <c r="CS104" i="23"/>
  <c r="CT104" i="23"/>
  <c r="CU104" i="23"/>
  <c r="CV104" i="23"/>
  <c r="CW104" i="23"/>
  <c r="CX104" i="23"/>
  <c r="CY104" i="23"/>
  <c r="CZ104" i="23"/>
  <c r="DA104" i="23"/>
  <c r="DB104" i="23"/>
  <c r="DC104" i="23"/>
  <c r="DD104" i="23"/>
  <c r="DE104" i="23"/>
  <c r="DF104" i="23"/>
  <c r="DG104" i="23"/>
  <c r="DH104" i="23"/>
  <c r="DI104" i="23"/>
  <c r="DJ104" i="23"/>
  <c r="DK104" i="23"/>
  <c r="DL104" i="23"/>
  <c r="DM104" i="23"/>
  <c r="DN104" i="23"/>
  <c r="DO104" i="23"/>
  <c r="DP104" i="23"/>
  <c r="DQ104" i="23"/>
  <c r="DR104" i="23"/>
  <c r="DS104" i="23"/>
  <c r="DT104" i="23"/>
  <c r="DU104" i="23"/>
  <c r="DV104" i="23"/>
  <c r="DW104" i="23"/>
  <c r="DX104" i="23"/>
  <c r="DY104" i="23"/>
  <c r="DZ104" i="23"/>
  <c r="EA104" i="23"/>
  <c r="EB104" i="23"/>
  <c r="EC104" i="23"/>
  <c r="ED104" i="23"/>
  <c r="EE104" i="23"/>
  <c r="EF104" i="23"/>
  <c r="EG104" i="23"/>
  <c r="EH104" i="23"/>
  <c r="EI104" i="23"/>
  <c r="EJ104" i="23"/>
  <c r="EK104" i="23"/>
  <c r="EL104" i="23"/>
  <c r="EM104" i="23"/>
  <c r="EN104" i="23"/>
  <c r="EO104" i="23"/>
  <c r="EP104" i="23"/>
  <c r="EQ104" i="23"/>
  <c r="ER104" i="23"/>
  <c r="ES104" i="23"/>
  <c r="ET104" i="23"/>
  <c r="EU104" i="23"/>
  <c r="EV104" i="23"/>
  <c r="EW104" i="23"/>
  <c r="EX104" i="23"/>
  <c r="EY104" i="23"/>
  <c r="EZ104" i="23"/>
  <c r="FA104" i="23"/>
  <c r="FB104" i="23"/>
  <c r="FC104" i="23"/>
  <c r="FD104" i="23"/>
  <c r="FE104" i="23"/>
  <c r="FF104" i="23"/>
  <c r="FG104" i="23"/>
  <c r="FH104" i="23"/>
  <c r="FI104" i="23"/>
  <c r="FJ104" i="23"/>
  <c r="FK104" i="23"/>
  <c r="FL104" i="23"/>
  <c r="FM104" i="23"/>
  <c r="FN104" i="23"/>
  <c r="FO104" i="23"/>
  <c r="FP104" i="23"/>
  <c r="FQ104" i="23"/>
  <c r="FR104" i="23"/>
  <c r="FS104" i="23"/>
  <c r="FT104" i="23"/>
  <c r="FU104" i="23"/>
  <c r="FV104" i="23"/>
  <c r="FW104" i="23"/>
  <c r="FX104" i="23"/>
  <c r="FY104" i="23"/>
  <c r="FZ104" i="23"/>
  <c r="GA104" i="23"/>
  <c r="GB104" i="23"/>
  <c r="GC104" i="23"/>
  <c r="GD104" i="23"/>
  <c r="GE104" i="23"/>
  <c r="GF104" i="23"/>
  <c r="GG104" i="23"/>
  <c r="GH104" i="23"/>
  <c r="GI104" i="23"/>
  <c r="GJ104" i="23"/>
  <c r="GK104" i="23"/>
  <c r="GL104" i="23"/>
  <c r="GM104" i="23"/>
  <c r="GN104" i="23"/>
  <c r="GO104" i="23"/>
  <c r="GP104" i="23"/>
  <c r="GQ104" i="23"/>
  <c r="GR104" i="23"/>
  <c r="GS104" i="23"/>
  <c r="GT104" i="23"/>
  <c r="GU104" i="23"/>
  <c r="GV104" i="23"/>
  <c r="GW104" i="23"/>
  <c r="GX104" i="23"/>
  <c r="GY104" i="23"/>
  <c r="GZ104" i="23"/>
  <c r="HA104" i="23"/>
  <c r="HB104" i="23"/>
  <c r="HC104" i="23"/>
  <c r="HD104" i="23"/>
  <c r="HE104" i="23"/>
  <c r="HF104" i="23"/>
  <c r="HG104" i="23"/>
  <c r="HH104" i="23"/>
  <c r="HI104" i="23"/>
  <c r="HJ104" i="23"/>
  <c r="HK104" i="23"/>
  <c r="HL104" i="23"/>
  <c r="HM104" i="23"/>
  <c r="HN104" i="23"/>
  <c r="HO104" i="23"/>
  <c r="HP104" i="23"/>
  <c r="HQ104" i="23"/>
  <c r="HR104" i="23"/>
  <c r="HS104" i="23"/>
  <c r="HT104" i="23"/>
  <c r="HU104" i="23"/>
  <c r="HV104" i="23"/>
  <c r="HW104" i="23"/>
  <c r="HX104" i="23"/>
  <c r="HY104" i="23"/>
  <c r="HZ104" i="23"/>
  <c r="IA104" i="23"/>
  <c r="IB104" i="23"/>
  <c r="IC104" i="23"/>
  <c r="ID104" i="23"/>
  <c r="IE104" i="23"/>
  <c r="IF104" i="23"/>
  <c r="IG104" i="23"/>
  <c r="IH104" i="23"/>
  <c r="II104" i="23"/>
  <c r="IJ104" i="23"/>
  <c r="IK104" i="23"/>
  <c r="IL104" i="23"/>
  <c r="IM104" i="23"/>
  <c r="IN104" i="23"/>
  <c r="IO104" i="23"/>
  <c r="IP104" i="23"/>
  <c r="IQ104" i="23"/>
  <c r="IR104" i="23"/>
  <c r="IS104" i="23"/>
  <c r="IT104" i="23"/>
  <c r="IU104" i="23"/>
  <c r="IV104" i="23"/>
  <c r="A103" i="23"/>
  <c r="B103" i="23"/>
  <c r="C103" i="23"/>
  <c r="D103" i="23"/>
  <c r="E103" i="23"/>
  <c r="F103" i="23"/>
  <c r="G103" i="23"/>
  <c r="H103" i="23"/>
  <c r="I103" i="23"/>
  <c r="J103" i="23"/>
  <c r="K103" i="23"/>
  <c r="L103" i="23"/>
  <c r="M103" i="23"/>
  <c r="N103" i="23"/>
  <c r="O103" i="23"/>
  <c r="P103" i="23"/>
  <c r="Q103" i="23"/>
  <c r="R103" i="23"/>
  <c r="S103" i="23"/>
  <c r="T103" i="23"/>
  <c r="U103" i="23"/>
  <c r="V103" i="23"/>
  <c r="W103" i="23"/>
  <c r="X103" i="23"/>
  <c r="Y103" i="23"/>
  <c r="Z103" i="23"/>
  <c r="AA103" i="23"/>
  <c r="AB103" i="23"/>
  <c r="AC103" i="23"/>
  <c r="AD103" i="23"/>
  <c r="AE103" i="23"/>
  <c r="AF103" i="23"/>
  <c r="AG103" i="23"/>
  <c r="AH103" i="23"/>
  <c r="AI103" i="23"/>
  <c r="AJ103" i="23"/>
  <c r="AK103" i="23"/>
  <c r="AL103" i="23"/>
  <c r="AM103" i="23"/>
  <c r="AN103" i="23"/>
  <c r="AO103" i="23"/>
  <c r="AP103" i="23"/>
  <c r="AQ103" i="23"/>
  <c r="AR103" i="23"/>
  <c r="AS103" i="23"/>
  <c r="AT103" i="23"/>
  <c r="AU103" i="23"/>
  <c r="AV103" i="23"/>
  <c r="AW103" i="23"/>
  <c r="AX103" i="23"/>
  <c r="AY103" i="23"/>
  <c r="AZ103" i="23"/>
  <c r="BA103" i="23"/>
  <c r="BB103" i="23"/>
  <c r="BC103" i="23"/>
  <c r="BD103" i="23"/>
  <c r="BE103" i="23"/>
  <c r="BF103" i="23"/>
  <c r="BG103" i="23"/>
  <c r="BH103" i="23"/>
  <c r="BI103" i="23"/>
  <c r="BJ103" i="23"/>
  <c r="BK103" i="23"/>
  <c r="BL103" i="23"/>
  <c r="BM103" i="23"/>
  <c r="BN103" i="23"/>
  <c r="BO103" i="23"/>
  <c r="BP103" i="23"/>
  <c r="BQ103" i="23"/>
  <c r="BR103" i="23"/>
  <c r="BS103" i="23"/>
  <c r="BT103" i="23"/>
  <c r="BU103" i="23"/>
  <c r="BV103" i="23"/>
  <c r="BW103" i="23"/>
  <c r="BX103" i="23"/>
  <c r="BY103" i="23"/>
  <c r="BZ103" i="23"/>
  <c r="CA103" i="23"/>
  <c r="CB103" i="23"/>
  <c r="CC103" i="23"/>
  <c r="CD103" i="23"/>
  <c r="CE103" i="23"/>
  <c r="CF103" i="23"/>
  <c r="CG103" i="23"/>
  <c r="CH103" i="23"/>
  <c r="CI103" i="23"/>
  <c r="CJ103" i="23"/>
  <c r="CK103" i="23"/>
  <c r="CL103" i="23"/>
  <c r="CM103" i="23"/>
  <c r="CN103" i="23"/>
  <c r="CO103" i="23"/>
  <c r="CP103" i="23"/>
  <c r="CQ103" i="23"/>
  <c r="CR103" i="23"/>
  <c r="CS103" i="23"/>
  <c r="CT103" i="23"/>
  <c r="CU103" i="23"/>
  <c r="CV103" i="23"/>
  <c r="CW103" i="23"/>
  <c r="CX103" i="23"/>
  <c r="CY103" i="23"/>
  <c r="CZ103" i="23"/>
  <c r="DA103" i="23"/>
  <c r="DB103" i="23"/>
  <c r="DC103" i="23"/>
  <c r="DD103" i="23"/>
  <c r="DE103" i="23"/>
  <c r="DF103" i="23"/>
  <c r="DG103" i="23"/>
  <c r="DH103" i="23"/>
  <c r="DI103" i="23"/>
  <c r="DJ103" i="23"/>
  <c r="DK103" i="23"/>
  <c r="DL103" i="23"/>
  <c r="DM103" i="23"/>
  <c r="DN103" i="23"/>
  <c r="DO103" i="23"/>
  <c r="DP103" i="23"/>
  <c r="DQ103" i="23"/>
  <c r="DR103" i="23"/>
  <c r="DS103" i="23"/>
  <c r="DT103" i="23"/>
  <c r="DU103" i="23"/>
  <c r="DV103" i="23"/>
  <c r="DW103" i="23"/>
  <c r="DX103" i="23"/>
  <c r="DY103" i="23"/>
  <c r="DZ103" i="23"/>
  <c r="EA103" i="23"/>
  <c r="EB103" i="23"/>
  <c r="EC103" i="23"/>
  <c r="ED103" i="23"/>
  <c r="EE103" i="23"/>
  <c r="EF103" i="23"/>
  <c r="EG103" i="23"/>
  <c r="EH103" i="23"/>
  <c r="EI103" i="23"/>
  <c r="EJ103" i="23"/>
  <c r="EK103" i="23"/>
  <c r="EL103" i="23"/>
  <c r="EM103" i="23"/>
  <c r="EN103" i="23"/>
  <c r="EO103" i="23"/>
  <c r="EP103" i="23"/>
  <c r="EQ103" i="23"/>
  <c r="ER103" i="23"/>
  <c r="ES103" i="23"/>
  <c r="ET103" i="23"/>
  <c r="EU103" i="23"/>
  <c r="EV103" i="23"/>
  <c r="EW103" i="23"/>
  <c r="EX103" i="23"/>
  <c r="EY103" i="23"/>
  <c r="EZ103" i="23"/>
  <c r="FA103" i="23"/>
  <c r="FB103" i="23"/>
  <c r="FC103" i="23"/>
  <c r="FD103" i="23"/>
  <c r="FE103" i="23"/>
  <c r="FF103" i="23"/>
  <c r="FG103" i="23"/>
  <c r="FH103" i="23"/>
  <c r="FI103" i="23"/>
  <c r="FJ103" i="23"/>
  <c r="FK103" i="23"/>
  <c r="FL103" i="23"/>
  <c r="FM103" i="23"/>
  <c r="FN103" i="23"/>
  <c r="FO103" i="23"/>
  <c r="FP103" i="23"/>
  <c r="FQ103" i="23"/>
  <c r="FR103" i="23"/>
  <c r="FS103" i="23"/>
  <c r="FT103" i="23"/>
  <c r="FU103" i="23"/>
  <c r="FV103" i="23"/>
  <c r="FW103" i="23"/>
  <c r="FX103" i="23"/>
  <c r="FY103" i="23"/>
  <c r="FZ103" i="23"/>
  <c r="GA103" i="23"/>
  <c r="GB103" i="23"/>
  <c r="GC103" i="23"/>
  <c r="GD103" i="23"/>
  <c r="GE103" i="23"/>
  <c r="GF103" i="23"/>
  <c r="GG103" i="23"/>
  <c r="GH103" i="23"/>
  <c r="GI103" i="23"/>
  <c r="GJ103" i="23"/>
  <c r="GK103" i="23"/>
  <c r="GL103" i="23"/>
  <c r="GM103" i="23"/>
  <c r="GN103" i="23"/>
  <c r="GO103" i="23"/>
  <c r="GP103" i="23"/>
  <c r="GQ103" i="23"/>
  <c r="GR103" i="23"/>
  <c r="GS103" i="23"/>
  <c r="GT103" i="23"/>
  <c r="GU103" i="23"/>
  <c r="GV103" i="23"/>
  <c r="GW103" i="23"/>
  <c r="GX103" i="23"/>
  <c r="GY103" i="23"/>
  <c r="GZ103" i="23"/>
  <c r="HA103" i="23"/>
  <c r="HB103" i="23"/>
  <c r="HC103" i="23"/>
  <c r="HD103" i="23"/>
  <c r="HE103" i="23"/>
  <c r="HF103" i="23"/>
  <c r="HG103" i="23"/>
  <c r="HH103" i="23"/>
  <c r="HI103" i="23"/>
  <c r="HJ103" i="23"/>
  <c r="HK103" i="23"/>
  <c r="HL103" i="23"/>
  <c r="HM103" i="23"/>
  <c r="HN103" i="23"/>
  <c r="HO103" i="23"/>
  <c r="HP103" i="23"/>
  <c r="HQ103" i="23"/>
  <c r="HR103" i="23"/>
  <c r="HS103" i="23"/>
  <c r="HT103" i="23"/>
  <c r="HU103" i="23"/>
  <c r="HV103" i="23"/>
  <c r="HW103" i="23"/>
  <c r="HX103" i="23"/>
  <c r="HY103" i="23"/>
  <c r="HZ103" i="23"/>
  <c r="IA103" i="23"/>
  <c r="IB103" i="23"/>
  <c r="IC103" i="23"/>
  <c r="ID103" i="23"/>
  <c r="IE103" i="23"/>
  <c r="IF103" i="23"/>
  <c r="IG103" i="23"/>
  <c r="IH103" i="23"/>
  <c r="II103" i="23"/>
  <c r="IJ103" i="23"/>
  <c r="IK103" i="23"/>
  <c r="IL103" i="23"/>
  <c r="IM103" i="23"/>
  <c r="IN103" i="23"/>
  <c r="IO103" i="23"/>
  <c r="IP103" i="23"/>
  <c r="IQ103" i="23"/>
  <c r="IR103" i="23"/>
  <c r="IS103" i="23"/>
  <c r="IT103" i="23"/>
  <c r="IU103" i="23"/>
  <c r="IV103" i="23"/>
  <c r="A102" i="23"/>
  <c r="B102" i="23"/>
  <c r="C102" i="23"/>
  <c r="D102" i="23"/>
  <c r="E102" i="23"/>
  <c r="F102" i="23"/>
  <c r="G102" i="23"/>
  <c r="H102" i="23"/>
  <c r="I102" i="23"/>
  <c r="J102" i="23"/>
  <c r="K102" i="23"/>
  <c r="L102" i="23"/>
  <c r="M102" i="23"/>
  <c r="N102" i="23"/>
  <c r="O102" i="23"/>
  <c r="P102" i="23"/>
  <c r="Q102" i="23"/>
  <c r="R102" i="23"/>
  <c r="S102" i="23"/>
  <c r="T102" i="23"/>
  <c r="U102" i="23"/>
  <c r="V102" i="23"/>
  <c r="W102" i="23"/>
  <c r="X102" i="23"/>
  <c r="Y102" i="23"/>
  <c r="Z102" i="23"/>
  <c r="AA102" i="23"/>
  <c r="AB102" i="23"/>
  <c r="AC102" i="23"/>
  <c r="AD102" i="23"/>
  <c r="AE102" i="23"/>
  <c r="AF102" i="23"/>
  <c r="AG102" i="23"/>
  <c r="AH102" i="23"/>
  <c r="AI102" i="23"/>
  <c r="AJ102" i="23"/>
  <c r="AK102" i="23"/>
  <c r="AL102" i="23"/>
  <c r="AM102" i="23"/>
  <c r="AN102" i="23"/>
  <c r="AO102" i="23"/>
  <c r="AP102" i="23"/>
  <c r="AQ102" i="23"/>
  <c r="AR102" i="23"/>
  <c r="AS102" i="23"/>
  <c r="AT102" i="23"/>
  <c r="AU102" i="23"/>
  <c r="AV102" i="23"/>
  <c r="AW102" i="23"/>
  <c r="AX102" i="23"/>
  <c r="AY102" i="23"/>
  <c r="AZ102" i="23"/>
  <c r="BA102" i="23"/>
  <c r="BB102" i="23"/>
  <c r="BC102" i="23"/>
  <c r="BD102" i="23"/>
  <c r="BE102" i="23"/>
  <c r="BF102" i="23"/>
  <c r="BG102" i="23"/>
  <c r="BH102" i="23"/>
  <c r="BI102" i="23"/>
  <c r="BJ102" i="23"/>
  <c r="BK102" i="23"/>
  <c r="BL102" i="23"/>
  <c r="BM102" i="23"/>
  <c r="BN102" i="23"/>
  <c r="BO102" i="23"/>
  <c r="BP102" i="23"/>
  <c r="BQ102" i="23"/>
  <c r="BR102" i="23"/>
  <c r="BS102" i="23"/>
  <c r="BT102" i="23"/>
  <c r="BU102" i="23"/>
  <c r="BV102" i="23"/>
  <c r="BW102" i="23"/>
  <c r="BX102" i="23"/>
  <c r="BY102" i="23"/>
  <c r="BZ102" i="23"/>
  <c r="CA102" i="23"/>
  <c r="CB102" i="23"/>
  <c r="CC102" i="23"/>
  <c r="CD102" i="23"/>
  <c r="CE102" i="23"/>
  <c r="CF102" i="23"/>
  <c r="CG102" i="23"/>
  <c r="CH102" i="23"/>
  <c r="CI102" i="23"/>
  <c r="CJ102" i="23"/>
  <c r="CK102" i="23"/>
  <c r="CL102" i="23"/>
  <c r="CM102" i="23"/>
  <c r="CN102" i="23"/>
  <c r="CO102" i="23"/>
  <c r="CP102" i="23"/>
  <c r="CQ102" i="23"/>
  <c r="CR102" i="23"/>
  <c r="CS102" i="23"/>
  <c r="CT102" i="23"/>
  <c r="CU102" i="23"/>
  <c r="CV102" i="23"/>
  <c r="CW102" i="23"/>
  <c r="CX102" i="23"/>
  <c r="CY102" i="23"/>
  <c r="CZ102" i="23"/>
  <c r="DA102" i="23"/>
  <c r="DB102" i="23"/>
  <c r="DC102" i="23"/>
  <c r="DD102" i="23"/>
  <c r="DE102" i="23"/>
  <c r="DF102" i="23"/>
  <c r="DG102" i="23"/>
  <c r="DH102" i="23"/>
  <c r="DI102" i="23"/>
  <c r="DJ102" i="23"/>
  <c r="DK102" i="23"/>
  <c r="DL102" i="23"/>
  <c r="DM102" i="23"/>
  <c r="DN102" i="23"/>
  <c r="DO102" i="23"/>
  <c r="DP102" i="23"/>
  <c r="DQ102" i="23"/>
  <c r="DR102" i="23"/>
  <c r="DS102" i="23"/>
  <c r="DT102" i="23"/>
  <c r="DU102" i="23"/>
  <c r="DV102" i="23"/>
  <c r="DW102" i="23"/>
  <c r="DX102" i="23"/>
  <c r="DY102" i="23"/>
  <c r="DZ102" i="23"/>
  <c r="EA102" i="23"/>
  <c r="EB102" i="23"/>
  <c r="EC102" i="23"/>
  <c r="ED102" i="23"/>
  <c r="EE102" i="23"/>
  <c r="EF102" i="23"/>
  <c r="EG102" i="23"/>
  <c r="EH102" i="23"/>
  <c r="EI102" i="23"/>
  <c r="EJ102" i="23"/>
  <c r="EK102" i="23"/>
  <c r="EL102" i="23"/>
  <c r="EM102" i="23"/>
  <c r="EN102" i="23"/>
  <c r="EO102" i="23"/>
  <c r="EP102" i="23"/>
  <c r="EQ102" i="23"/>
  <c r="ER102" i="23"/>
  <c r="ES102" i="23"/>
  <c r="ET102" i="23"/>
  <c r="EU102" i="23"/>
  <c r="EV102" i="23"/>
  <c r="EW102" i="23"/>
  <c r="EX102" i="23"/>
  <c r="EY102" i="23"/>
  <c r="EZ102" i="23"/>
  <c r="FA102" i="23"/>
  <c r="FB102" i="23"/>
  <c r="FC102" i="23"/>
  <c r="FD102" i="23"/>
  <c r="FE102" i="23"/>
  <c r="FF102" i="23"/>
  <c r="FG102" i="23"/>
  <c r="FH102" i="23"/>
  <c r="FI102" i="23"/>
  <c r="FJ102" i="23"/>
  <c r="FK102" i="23"/>
  <c r="FL102" i="23"/>
  <c r="FM102" i="23"/>
  <c r="FN102" i="23"/>
  <c r="FO102" i="23"/>
  <c r="FP102" i="23"/>
  <c r="FQ102" i="23"/>
  <c r="FR102" i="23"/>
  <c r="FS102" i="23"/>
  <c r="FT102" i="23"/>
  <c r="FU102" i="23"/>
  <c r="FV102" i="23"/>
  <c r="FW102" i="23"/>
  <c r="FX102" i="23"/>
  <c r="FY102" i="23"/>
  <c r="FZ102" i="23"/>
  <c r="GA102" i="23"/>
  <c r="GB102" i="23"/>
  <c r="GC102" i="23"/>
  <c r="GD102" i="23"/>
  <c r="GE102" i="23"/>
  <c r="GF102" i="23"/>
  <c r="GG102" i="23"/>
  <c r="GH102" i="23"/>
  <c r="GI102" i="23"/>
  <c r="GJ102" i="23"/>
  <c r="GK102" i="23"/>
  <c r="GL102" i="23"/>
  <c r="GM102" i="23"/>
  <c r="GN102" i="23"/>
  <c r="GO102" i="23"/>
  <c r="GP102" i="23"/>
  <c r="GQ102" i="23"/>
  <c r="GR102" i="23"/>
  <c r="GS102" i="23"/>
  <c r="GT102" i="23"/>
  <c r="GU102" i="23"/>
  <c r="GV102" i="23"/>
  <c r="GW102" i="23"/>
  <c r="GX102" i="23"/>
  <c r="GY102" i="23"/>
  <c r="GZ102" i="23"/>
  <c r="HA102" i="23"/>
  <c r="HB102" i="23"/>
  <c r="HC102" i="23"/>
  <c r="HD102" i="23"/>
  <c r="HE102" i="23"/>
  <c r="HF102" i="23"/>
  <c r="HG102" i="23"/>
  <c r="HH102" i="23"/>
  <c r="HI102" i="23"/>
  <c r="HJ102" i="23"/>
  <c r="HK102" i="23"/>
  <c r="HL102" i="23"/>
  <c r="HM102" i="23"/>
  <c r="HN102" i="23"/>
  <c r="HO102" i="23"/>
  <c r="HP102" i="23"/>
  <c r="HQ102" i="23"/>
  <c r="HR102" i="23"/>
  <c r="HS102" i="23"/>
  <c r="HT102" i="23"/>
  <c r="HU102" i="23"/>
  <c r="HV102" i="23"/>
  <c r="HW102" i="23"/>
  <c r="HX102" i="23"/>
  <c r="HY102" i="23"/>
  <c r="HZ102" i="23"/>
  <c r="IA102" i="23"/>
  <c r="IB102" i="23"/>
  <c r="IC102" i="23"/>
  <c r="ID102" i="23"/>
  <c r="IE102" i="23"/>
  <c r="IF102" i="23"/>
  <c r="IG102" i="23"/>
  <c r="IH102" i="23"/>
  <c r="II102" i="23"/>
  <c r="IJ102" i="23"/>
  <c r="IK102" i="23"/>
  <c r="IL102" i="23"/>
  <c r="IM102" i="23"/>
  <c r="IN102" i="23"/>
  <c r="IO102" i="23"/>
  <c r="IP102" i="23"/>
  <c r="IQ102" i="23"/>
  <c r="IR102" i="23"/>
  <c r="IS102" i="23"/>
  <c r="IT102" i="23"/>
  <c r="IU102" i="23"/>
  <c r="IV102" i="23"/>
  <c r="A101" i="23"/>
  <c r="B101" i="23"/>
  <c r="C101" i="23"/>
  <c r="D101" i="23"/>
  <c r="E101" i="23"/>
  <c r="F101" i="23"/>
  <c r="G101" i="23"/>
  <c r="H101" i="23"/>
  <c r="I101" i="23"/>
  <c r="J101" i="23"/>
  <c r="K101" i="23"/>
  <c r="L101" i="23"/>
  <c r="M101" i="23"/>
  <c r="N101" i="23"/>
  <c r="O101" i="23"/>
  <c r="P101" i="23"/>
  <c r="Q101" i="23"/>
  <c r="R101" i="23"/>
  <c r="S101" i="23"/>
  <c r="T101" i="23"/>
  <c r="U101" i="23"/>
  <c r="V101" i="23"/>
  <c r="W101" i="23"/>
  <c r="X101" i="23"/>
  <c r="Y101" i="23"/>
  <c r="Z101" i="23"/>
  <c r="AA101" i="23"/>
  <c r="AB101" i="23"/>
  <c r="AC101" i="23"/>
  <c r="AD101" i="23"/>
  <c r="AE101" i="23"/>
  <c r="AF101" i="23"/>
  <c r="AG101" i="23"/>
  <c r="AH101" i="23"/>
  <c r="AI101" i="23"/>
  <c r="AJ101" i="23"/>
  <c r="AK101" i="23"/>
  <c r="AL101" i="23"/>
  <c r="AM101" i="23"/>
  <c r="AN101" i="23"/>
  <c r="AO101" i="23"/>
  <c r="AP101" i="23"/>
  <c r="AQ101" i="23"/>
  <c r="AR101" i="23"/>
  <c r="AS101" i="23"/>
  <c r="AT101" i="23"/>
  <c r="AU101" i="23"/>
  <c r="AV101" i="23"/>
  <c r="AW101" i="23"/>
  <c r="AX101" i="23"/>
  <c r="AY101" i="23"/>
  <c r="AZ101" i="23"/>
  <c r="BA101" i="23"/>
  <c r="BB101" i="23"/>
  <c r="BC101" i="23"/>
  <c r="BD101" i="23"/>
  <c r="BE101" i="23"/>
  <c r="BF101" i="23"/>
  <c r="BG101" i="23"/>
  <c r="BH101" i="23"/>
  <c r="BI101" i="23"/>
  <c r="BJ101" i="23"/>
  <c r="BK101" i="23"/>
  <c r="BL101" i="23"/>
  <c r="BM101" i="23"/>
  <c r="BN101" i="23"/>
  <c r="BO101" i="23"/>
  <c r="BP101" i="23"/>
  <c r="BQ101" i="23"/>
  <c r="BR101" i="23"/>
  <c r="BS101" i="23"/>
  <c r="BT101" i="23"/>
  <c r="BU101" i="23"/>
  <c r="BV101" i="23"/>
  <c r="BW101" i="23"/>
  <c r="BX101" i="23"/>
  <c r="BY101" i="23"/>
  <c r="BZ101" i="23"/>
  <c r="CA101" i="23"/>
  <c r="CB101" i="23"/>
  <c r="CC101" i="23"/>
  <c r="CD101" i="23"/>
  <c r="CE101" i="23"/>
  <c r="CF101" i="23"/>
  <c r="CG101" i="23"/>
  <c r="CH101" i="23"/>
  <c r="CI101" i="23"/>
  <c r="CJ101" i="23"/>
  <c r="CK101" i="23"/>
  <c r="CL101" i="23"/>
  <c r="CM101" i="23"/>
  <c r="CN101" i="23"/>
  <c r="CO101" i="23"/>
  <c r="CP101" i="23"/>
  <c r="CQ101" i="23"/>
  <c r="CR101" i="23"/>
  <c r="CS101" i="23"/>
  <c r="CT101" i="23"/>
  <c r="CU101" i="23"/>
  <c r="CV101" i="23"/>
  <c r="CW101" i="23"/>
  <c r="CX101" i="23"/>
  <c r="CY101" i="23"/>
  <c r="CZ101" i="23"/>
  <c r="DA101" i="23"/>
  <c r="DB101" i="23"/>
  <c r="DC101" i="23"/>
  <c r="DD101" i="23"/>
  <c r="DE101" i="23"/>
  <c r="DF101" i="23"/>
  <c r="DG101" i="23"/>
  <c r="DH101" i="23"/>
  <c r="DI101" i="23"/>
  <c r="DJ101" i="23"/>
  <c r="DK101" i="23"/>
  <c r="DL101" i="23"/>
  <c r="DM101" i="23"/>
  <c r="DN101" i="23"/>
  <c r="DO101" i="23"/>
  <c r="DP101" i="23"/>
  <c r="DQ101" i="23"/>
  <c r="DR101" i="23"/>
  <c r="DS101" i="23"/>
  <c r="DT101" i="23"/>
  <c r="DU101" i="23"/>
  <c r="DV101" i="23"/>
  <c r="DW101" i="23"/>
  <c r="DX101" i="23"/>
  <c r="DY101" i="23"/>
  <c r="DZ101" i="23"/>
  <c r="EA101" i="23"/>
  <c r="EB101" i="23"/>
  <c r="EC101" i="23"/>
  <c r="ED101" i="23"/>
  <c r="EE101" i="23"/>
  <c r="EF101" i="23"/>
  <c r="EG101" i="23"/>
  <c r="EH101" i="23"/>
  <c r="EI101" i="23"/>
  <c r="EJ101" i="23"/>
  <c r="EK101" i="23"/>
  <c r="EL101" i="23"/>
  <c r="EM101" i="23"/>
  <c r="EN101" i="23"/>
  <c r="EO101" i="23"/>
  <c r="EP101" i="23"/>
  <c r="EQ101" i="23"/>
  <c r="ER101" i="23"/>
  <c r="ES101" i="23"/>
  <c r="ET101" i="23"/>
  <c r="EU101" i="23"/>
  <c r="EV101" i="23"/>
  <c r="EW101" i="23"/>
  <c r="EX101" i="23"/>
  <c r="EY101" i="23"/>
  <c r="EZ101" i="23"/>
  <c r="FA101" i="23"/>
  <c r="FB101" i="23"/>
  <c r="FC101" i="23"/>
  <c r="FD101" i="23"/>
  <c r="FE101" i="23"/>
  <c r="FF101" i="23"/>
  <c r="FG101" i="23"/>
  <c r="FH101" i="23"/>
  <c r="FI101" i="23"/>
  <c r="FJ101" i="23"/>
  <c r="FK101" i="23"/>
  <c r="FL101" i="23"/>
  <c r="FM101" i="23"/>
  <c r="FN101" i="23"/>
  <c r="FO101" i="23"/>
  <c r="FP101" i="23"/>
  <c r="FQ101" i="23"/>
  <c r="FR101" i="23"/>
  <c r="FS101" i="23"/>
  <c r="FT101" i="23"/>
  <c r="FU101" i="23"/>
  <c r="FV101" i="23"/>
  <c r="FW101" i="23"/>
  <c r="FX101" i="23"/>
  <c r="FY101" i="23"/>
  <c r="FZ101" i="23"/>
  <c r="GA101" i="23"/>
  <c r="GB101" i="23"/>
  <c r="GC101" i="23"/>
  <c r="GD101" i="23"/>
  <c r="GE101" i="23"/>
  <c r="GF101" i="23"/>
  <c r="GG101" i="23"/>
  <c r="GH101" i="23"/>
  <c r="GI101" i="23"/>
  <c r="GJ101" i="23"/>
  <c r="GK101" i="23"/>
  <c r="GL101" i="23"/>
  <c r="GM101" i="23"/>
  <c r="GN101" i="23"/>
  <c r="GO101" i="23"/>
  <c r="GP101" i="23"/>
  <c r="GQ101" i="23"/>
  <c r="GR101" i="23"/>
  <c r="GS101" i="23"/>
  <c r="GT101" i="23"/>
  <c r="GU101" i="23"/>
  <c r="GV101" i="23"/>
  <c r="GW101" i="23"/>
  <c r="GX101" i="23"/>
  <c r="GY101" i="23"/>
  <c r="GZ101" i="23"/>
  <c r="HA101" i="23"/>
  <c r="HB101" i="23"/>
  <c r="HC101" i="23"/>
  <c r="HD101" i="23"/>
  <c r="HE101" i="23"/>
  <c r="HF101" i="23"/>
  <c r="HG101" i="23"/>
  <c r="HH101" i="23"/>
  <c r="HI101" i="23"/>
  <c r="HJ101" i="23"/>
  <c r="HK101" i="23"/>
  <c r="HL101" i="23"/>
  <c r="HM101" i="23"/>
  <c r="HN101" i="23"/>
  <c r="HO101" i="23"/>
  <c r="HP101" i="23"/>
  <c r="HQ101" i="23"/>
  <c r="HR101" i="23"/>
  <c r="HS101" i="23"/>
  <c r="HT101" i="23"/>
  <c r="HU101" i="23"/>
  <c r="HV101" i="23"/>
  <c r="HW101" i="23"/>
  <c r="HX101" i="23"/>
  <c r="HY101" i="23"/>
  <c r="HZ101" i="23"/>
  <c r="IA101" i="23"/>
  <c r="IB101" i="23"/>
  <c r="IC101" i="23"/>
  <c r="ID101" i="23"/>
  <c r="IE101" i="23"/>
  <c r="IF101" i="23"/>
  <c r="IG101" i="23"/>
  <c r="IH101" i="23"/>
  <c r="II101" i="23"/>
  <c r="IJ101" i="23"/>
  <c r="IK101" i="23"/>
  <c r="IL101" i="23"/>
  <c r="IM101" i="23"/>
  <c r="IN101" i="23"/>
  <c r="IO101" i="23"/>
  <c r="IP101" i="23"/>
  <c r="IQ101" i="23"/>
  <c r="IR101" i="23"/>
  <c r="IS101" i="23"/>
  <c r="IT101" i="23"/>
  <c r="IU101" i="23"/>
  <c r="IV101" i="23"/>
  <c r="A100" i="23"/>
  <c r="B100" i="23"/>
  <c r="C100" i="23"/>
  <c r="D100" i="23"/>
  <c r="E100" i="23"/>
  <c r="F100" i="23"/>
  <c r="G100" i="23"/>
  <c r="H100" i="23"/>
  <c r="I100" i="23"/>
  <c r="J100" i="23"/>
  <c r="K100" i="23"/>
  <c r="L100" i="23"/>
  <c r="M100" i="23"/>
  <c r="N100" i="23"/>
  <c r="O100" i="23"/>
  <c r="P100" i="23"/>
  <c r="Q100" i="23"/>
  <c r="R100" i="23"/>
  <c r="S100" i="23"/>
  <c r="T100" i="23"/>
  <c r="U100" i="23"/>
  <c r="V100" i="23"/>
  <c r="W100" i="23"/>
  <c r="X100" i="23"/>
  <c r="Y100" i="23"/>
  <c r="Z100" i="23"/>
  <c r="AA100" i="23"/>
  <c r="AB100" i="23"/>
  <c r="AC100" i="23"/>
  <c r="AD100" i="23"/>
  <c r="AE100" i="23"/>
  <c r="AF100" i="23"/>
  <c r="AG100" i="23"/>
  <c r="AH100" i="23"/>
  <c r="AI100" i="23"/>
  <c r="AJ100" i="23"/>
  <c r="AK100" i="23"/>
  <c r="AL100" i="23"/>
  <c r="AM100" i="23"/>
  <c r="AN100" i="23"/>
  <c r="AO100" i="23"/>
  <c r="AP100" i="23"/>
  <c r="AQ100" i="23"/>
  <c r="AR100" i="23"/>
  <c r="AS100" i="23"/>
  <c r="AT100" i="23"/>
  <c r="AU100" i="23"/>
  <c r="AV100" i="23"/>
  <c r="AW100" i="23"/>
  <c r="AX100" i="23"/>
  <c r="AY100" i="23"/>
  <c r="AZ100" i="23"/>
  <c r="BA100" i="23"/>
  <c r="BB100" i="23"/>
  <c r="BC100" i="23"/>
  <c r="BD100" i="23"/>
  <c r="BE100" i="23"/>
  <c r="BF100" i="23"/>
  <c r="BG100" i="23"/>
  <c r="BH100" i="23"/>
  <c r="BI100" i="23"/>
  <c r="BJ100" i="23"/>
  <c r="BK100" i="23"/>
  <c r="BL100" i="23"/>
  <c r="BM100" i="23"/>
  <c r="BN100" i="23"/>
  <c r="BO100" i="23"/>
  <c r="BP100" i="23"/>
  <c r="BQ100" i="23"/>
  <c r="BR100" i="23"/>
  <c r="BS100" i="23"/>
  <c r="BT100" i="23"/>
  <c r="BU100" i="23"/>
  <c r="BV100" i="23"/>
  <c r="BW100" i="23"/>
  <c r="BX100" i="23"/>
  <c r="BY100" i="23"/>
  <c r="BZ100" i="23"/>
  <c r="CA100" i="23"/>
  <c r="CB100" i="23"/>
  <c r="CC100" i="23"/>
  <c r="CD100" i="23"/>
  <c r="CE100" i="23"/>
  <c r="CF100" i="23"/>
  <c r="CG100" i="23"/>
  <c r="CH100" i="23"/>
  <c r="CI100" i="23"/>
  <c r="CJ100" i="23"/>
  <c r="CK100" i="23"/>
  <c r="CL100" i="23"/>
  <c r="CM100" i="23"/>
  <c r="CN100" i="23"/>
  <c r="CO100" i="23"/>
  <c r="CP100" i="23"/>
  <c r="CQ100" i="23"/>
  <c r="CR100" i="23"/>
  <c r="CS100" i="23"/>
  <c r="CT100" i="23"/>
  <c r="CU100" i="23"/>
  <c r="CV100" i="23"/>
  <c r="CW100" i="23"/>
  <c r="CX100" i="23"/>
  <c r="CY100" i="23"/>
  <c r="CZ100" i="23"/>
  <c r="DA100" i="23"/>
  <c r="DB100" i="23"/>
  <c r="DC100" i="23"/>
  <c r="DD100" i="23"/>
  <c r="DE100" i="23"/>
  <c r="DF100" i="23"/>
  <c r="DG100" i="23"/>
  <c r="DH100" i="23"/>
  <c r="DI100" i="23"/>
  <c r="DJ100" i="23"/>
  <c r="DK100" i="23"/>
  <c r="DL100" i="23"/>
  <c r="DM100" i="23"/>
  <c r="DN100" i="23"/>
  <c r="DO100" i="23"/>
  <c r="DP100" i="23"/>
  <c r="DQ100" i="23"/>
  <c r="DR100" i="23"/>
  <c r="DS100" i="23"/>
  <c r="DT100" i="23"/>
  <c r="DU100" i="23"/>
  <c r="DV100" i="23"/>
  <c r="DW100" i="23"/>
  <c r="DX100" i="23"/>
  <c r="DY100" i="23"/>
  <c r="DZ100" i="23"/>
  <c r="EA100" i="23"/>
  <c r="EB100" i="23"/>
  <c r="EC100" i="23"/>
  <c r="ED100" i="23"/>
  <c r="EE100" i="23"/>
  <c r="EF100" i="23"/>
  <c r="EG100" i="23"/>
  <c r="EH100" i="23"/>
  <c r="EI100" i="23"/>
  <c r="EJ100" i="23"/>
  <c r="EK100" i="23"/>
  <c r="EL100" i="23"/>
  <c r="EM100" i="23"/>
  <c r="EN100" i="23"/>
  <c r="EO100" i="23"/>
  <c r="EP100" i="23"/>
  <c r="EQ100" i="23"/>
  <c r="ER100" i="23"/>
  <c r="ES100" i="23"/>
  <c r="ET100" i="23"/>
  <c r="EU100" i="23"/>
  <c r="EV100" i="23"/>
  <c r="EW100" i="23"/>
  <c r="EX100" i="23"/>
  <c r="EY100" i="23"/>
  <c r="EZ100" i="23"/>
  <c r="FA100" i="23"/>
  <c r="FB100" i="23"/>
  <c r="FC100" i="23"/>
  <c r="FD100" i="23"/>
  <c r="FE100" i="23"/>
  <c r="FF100" i="23"/>
  <c r="FG100" i="23"/>
  <c r="FH100" i="23"/>
  <c r="FI100" i="23"/>
  <c r="FJ100" i="23"/>
  <c r="FK100" i="23"/>
  <c r="FL100" i="23"/>
  <c r="FM100" i="23"/>
  <c r="FN100" i="23"/>
  <c r="FO100" i="23"/>
  <c r="FP100" i="23"/>
  <c r="FQ100" i="23"/>
  <c r="FR100" i="23"/>
  <c r="FS100" i="23"/>
  <c r="FT100" i="23"/>
  <c r="FU100" i="23"/>
  <c r="FV100" i="23"/>
  <c r="FW100" i="23"/>
  <c r="FX100" i="23"/>
  <c r="FY100" i="23"/>
  <c r="FZ100" i="23"/>
  <c r="GA100" i="23"/>
  <c r="GB100" i="23"/>
  <c r="GC100" i="23"/>
  <c r="GD100" i="23"/>
  <c r="GE100" i="23"/>
  <c r="GF100" i="23"/>
  <c r="GG100" i="23"/>
  <c r="GH100" i="23"/>
  <c r="GI100" i="23"/>
  <c r="GJ100" i="23"/>
  <c r="GK100" i="23"/>
  <c r="GL100" i="23"/>
  <c r="GM100" i="23"/>
  <c r="GN100" i="23"/>
  <c r="GO100" i="23"/>
  <c r="GP100" i="23"/>
  <c r="GQ100" i="23"/>
  <c r="GR100" i="23"/>
  <c r="GS100" i="23"/>
  <c r="GT100" i="23"/>
  <c r="GU100" i="23"/>
  <c r="GV100" i="23"/>
  <c r="GW100" i="23"/>
  <c r="GX100" i="23"/>
  <c r="GY100" i="23"/>
  <c r="GZ100" i="23"/>
  <c r="HA100" i="23"/>
  <c r="HB100" i="23"/>
  <c r="HC100" i="23"/>
  <c r="HD100" i="23"/>
  <c r="HE100" i="23"/>
  <c r="HF100" i="23"/>
  <c r="HG100" i="23"/>
  <c r="HH100" i="23"/>
  <c r="HI100" i="23"/>
  <c r="HJ100" i="23"/>
  <c r="HK100" i="23"/>
  <c r="HL100" i="23"/>
  <c r="HM100" i="23"/>
  <c r="HN100" i="23"/>
  <c r="HO100" i="23"/>
  <c r="HP100" i="23"/>
  <c r="HQ100" i="23"/>
  <c r="HR100" i="23"/>
  <c r="HS100" i="23"/>
  <c r="HT100" i="23"/>
  <c r="HU100" i="23"/>
  <c r="HV100" i="23"/>
  <c r="HW100" i="23"/>
  <c r="HX100" i="23"/>
  <c r="HY100" i="23"/>
  <c r="HZ100" i="23"/>
  <c r="IA100" i="23"/>
  <c r="IB100" i="23"/>
  <c r="IC100" i="23"/>
  <c r="ID100" i="23"/>
  <c r="IE100" i="23"/>
  <c r="IF100" i="23"/>
  <c r="IG100" i="23"/>
  <c r="IH100" i="23"/>
  <c r="II100" i="23"/>
  <c r="IJ100" i="23"/>
  <c r="IK100" i="23"/>
  <c r="IL100" i="23"/>
  <c r="IM100" i="23"/>
  <c r="IN100" i="23"/>
  <c r="IO100" i="23"/>
  <c r="IP100" i="23"/>
  <c r="IQ100" i="23"/>
  <c r="IR100" i="23"/>
  <c r="IS100" i="23"/>
  <c r="IT100" i="23"/>
  <c r="IU100" i="23"/>
  <c r="IV100" i="23"/>
  <c r="A99" i="23"/>
  <c r="B99" i="23"/>
  <c r="C99" i="23"/>
  <c r="D99" i="23"/>
  <c r="E99" i="23"/>
  <c r="F99" i="23"/>
  <c r="G99" i="23"/>
  <c r="H99" i="23"/>
  <c r="I99" i="23"/>
  <c r="J99" i="23"/>
  <c r="K99" i="23"/>
  <c r="L99" i="23"/>
  <c r="M99" i="23"/>
  <c r="N99" i="23"/>
  <c r="O99" i="23"/>
  <c r="P99" i="23"/>
  <c r="Q99" i="23"/>
  <c r="R99" i="23"/>
  <c r="S99" i="23"/>
  <c r="T99" i="23"/>
  <c r="U99" i="23"/>
  <c r="V99" i="23"/>
  <c r="W99" i="23"/>
  <c r="X99" i="23"/>
  <c r="Y99" i="23"/>
  <c r="Z99" i="23"/>
  <c r="AA99" i="23"/>
  <c r="AB99" i="23"/>
  <c r="AC99" i="23"/>
  <c r="AD99" i="23"/>
  <c r="AE99" i="23"/>
  <c r="AF99" i="23"/>
  <c r="AG99" i="23"/>
  <c r="AH99" i="23"/>
  <c r="AI99" i="23"/>
  <c r="AJ99" i="23"/>
  <c r="AK99" i="23"/>
  <c r="AL99" i="23"/>
  <c r="AM99" i="23"/>
  <c r="AN99" i="23"/>
  <c r="AO99" i="23"/>
  <c r="AP99" i="23"/>
  <c r="AQ99" i="23"/>
  <c r="AR99" i="23"/>
  <c r="AS99" i="23"/>
  <c r="AT99" i="23"/>
  <c r="AU99" i="23"/>
  <c r="AV99" i="23"/>
  <c r="AW99" i="23"/>
  <c r="AX99" i="23"/>
  <c r="AY99" i="23"/>
  <c r="AZ99" i="23"/>
  <c r="BA99" i="23"/>
  <c r="BB99" i="23"/>
  <c r="BC99" i="23"/>
  <c r="BD99" i="23"/>
  <c r="BE99" i="23"/>
  <c r="BF99" i="23"/>
  <c r="BG99" i="23"/>
  <c r="BH99" i="23"/>
  <c r="BI99" i="23"/>
  <c r="BJ99" i="23"/>
  <c r="BK99" i="23"/>
  <c r="BL99" i="23"/>
  <c r="BM99" i="23"/>
  <c r="BN99" i="23"/>
  <c r="BO99" i="23"/>
  <c r="BP99" i="23"/>
  <c r="BQ99" i="23"/>
  <c r="BR99" i="23"/>
  <c r="BS99" i="23"/>
  <c r="BT99" i="23"/>
  <c r="BU99" i="23"/>
  <c r="BV99" i="23"/>
  <c r="BW99" i="23"/>
  <c r="BX99" i="23"/>
  <c r="BY99" i="23"/>
  <c r="BZ99" i="23"/>
  <c r="CA99" i="23"/>
  <c r="CB99" i="23"/>
  <c r="CC99" i="23"/>
  <c r="CD99" i="23"/>
  <c r="CE99" i="23"/>
  <c r="CF99" i="23"/>
  <c r="CG99" i="23"/>
  <c r="CH99" i="23"/>
  <c r="CI99" i="23"/>
  <c r="CJ99" i="23"/>
  <c r="CK99" i="23"/>
  <c r="CL99" i="23"/>
  <c r="CM99" i="23"/>
  <c r="CN99" i="23"/>
  <c r="CO99" i="23"/>
  <c r="CP99" i="23"/>
  <c r="CQ99" i="23"/>
  <c r="CR99" i="23"/>
  <c r="CS99" i="23"/>
  <c r="CT99" i="23"/>
  <c r="CU99" i="23"/>
  <c r="CV99" i="23"/>
  <c r="CW99" i="23"/>
  <c r="CX99" i="23"/>
  <c r="CY99" i="23"/>
  <c r="CZ99" i="23"/>
  <c r="DA99" i="23"/>
  <c r="DB99" i="23"/>
  <c r="DC99" i="23"/>
  <c r="DD99" i="23"/>
  <c r="DE99" i="23"/>
  <c r="DF99" i="23"/>
  <c r="DG99" i="23"/>
  <c r="DH99" i="23"/>
  <c r="DI99" i="23"/>
  <c r="DJ99" i="23"/>
  <c r="DK99" i="23"/>
  <c r="DL99" i="23"/>
  <c r="DM99" i="23"/>
  <c r="DN99" i="23"/>
  <c r="DO99" i="23"/>
  <c r="DP99" i="23"/>
  <c r="DQ99" i="23"/>
  <c r="DR99" i="23"/>
  <c r="DS99" i="23"/>
  <c r="DT99" i="23"/>
  <c r="DU99" i="23"/>
  <c r="DV99" i="23"/>
  <c r="DW99" i="23"/>
  <c r="DX99" i="23"/>
  <c r="DY99" i="23"/>
  <c r="DZ99" i="23"/>
  <c r="EA99" i="23"/>
  <c r="EB99" i="23"/>
  <c r="EC99" i="23"/>
  <c r="ED99" i="23"/>
  <c r="EE99" i="23"/>
  <c r="EF99" i="23"/>
  <c r="EG99" i="23"/>
  <c r="EH99" i="23"/>
  <c r="EI99" i="23"/>
  <c r="EJ99" i="23"/>
  <c r="EK99" i="23"/>
  <c r="EL99" i="23"/>
  <c r="EM99" i="23"/>
  <c r="EN99" i="23"/>
  <c r="EO99" i="23"/>
  <c r="EP99" i="23"/>
  <c r="EQ99" i="23"/>
  <c r="ER99" i="23"/>
  <c r="ES99" i="23"/>
  <c r="ET99" i="23"/>
  <c r="EU99" i="23"/>
  <c r="EV99" i="23"/>
  <c r="EW99" i="23"/>
  <c r="EX99" i="23"/>
  <c r="EY99" i="23"/>
  <c r="EZ99" i="23"/>
  <c r="FA99" i="23"/>
  <c r="FB99" i="23"/>
  <c r="FC99" i="23"/>
  <c r="FD99" i="23"/>
  <c r="FE99" i="23"/>
  <c r="FF99" i="23"/>
  <c r="FG99" i="23"/>
  <c r="FH99" i="23"/>
  <c r="FI99" i="23"/>
  <c r="FJ99" i="23"/>
  <c r="FK99" i="23"/>
  <c r="FL99" i="23"/>
  <c r="FM99" i="23"/>
  <c r="FN99" i="23"/>
  <c r="FO99" i="23"/>
  <c r="FP99" i="23"/>
  <c r="FQ99" i="23"/>
  <c r="FR99" i="23"/>
  <c r="FS99" i="23"/>
  <c r="FT99" i="23"/>
  <c r="FU99" i="23"/>
  <c r="FV99" i="23"/>
  <c r="FW99" i="23"/>
  <c r="FX99" i="23"/>
  <c r="FY99" i="23"/>
  <c r="FZ99" i="23"/>
  <c r="GA99" i="23"/>
  <c r="GB99" i="23"/>
  <c r="GC99" i="23"/>
  <c r="GD99" i="23"/>
  <c r="GE99" i="23"/>
  <c r="GF99" i="23"/>
  <c r="GG99" i="23"/>
  <c r="GH99" i="23"/>
  <c r="GI99" i="23"/>
  <c r="GJ99" i="23"/>
  <c r="GK99" i="23"/>
  <c r="GL99" i="23"/>
  <c r="GM99" i="23"/>
  <c r="GN99" i="23"/>
  <c r="GO99" i="23"/>
  <c r="GP99" i="23"/>
  <c r="GQ99" i="23"/>
  <c r="GR99" i="23"/>
  <c r="GS99" i="23"/>
  <c r="GT99" i="23"/>
  <c r="GU99" i="23"/>
  <c r="GV99" i="23"/>
  <c r="GW99" i="23"/>
  <c r="GX99" i="23"/>
  <c r="GY99" i="23"/>
  <c r="GZ99" i="23"/>
  <c r="HA99" i="23"/>
  <c r="HB99" i="23"/>
  <c r="HC99" i="23"/>
  <c r="HD99" i="23"/>
  <c r="HE99" i="23"/>
  <c r="HF99" i="23"/>
  <c r="HG99" i="23"/>
  <c r="HH99" i="23"/>
  <c r="HI99" i="23"/>
  <c r="HJ99" i="23"/>
  <c r="HK99" i="23"/>
  <c r="HL99" i="23"/>
  <c r="HM99" i="23"/>
  <c r="HN99" i="23"/>
  <c r="HO99" i="23"/>
  <c r="HP99" i="23"/>
  <c r="HQ99" i="23"/>
  <c r="HR99" i="23"/>
  <c r="HS99" i="23"/>
  <c r="HT99" i="23"/>
  <c r="HU99" i="23"/>
  <c r="HV99" i="23"/>
  <c r="HW99" i="23"/>
  <c r="HX99" i="23"/>
  <c r="HY99" i="23"/>
  <c r="HZ99" i="23"/>
  <c r="IA99" i="23"/>
  <c r="IB99" i="23"/>
  <c r="IC99" i="23"/>
  <c r="ID99" i="23"/>
  <c r="IE99" i="23"/>
  <c r="IF99" i="23"/>
  <c r="IG99" i="23"/>
  <c r="IH99" i="23"/>
  <c r="II99" i="23"/>
  <c r="IJ99" i="23"/>
  <c r="IK99" i="23"/>
  <c r="IL99" i="23"/>
  <c r="IM99" i="23"/>
  <c r="IN99" i="23"/>
  <c r="IO99" i="23"/>
  <c r="IP99" i="23"/>
  <c r="IQ99" i="23"/>
  <c r="IR99" i="23"/>
  <c r="IS99" i="23"/>
  <c r="IT99" i="23"/>
  <c r="IU99" i="23"/>
  <c r="IV99" i="23"/>
  <c r="A98" i="23"/>
  <c r="B98" i="23"/>
  <c r="C98" i="23"/>
  <c r="D98" i="23"/>
  <c r="E98" i="23"/>
  <c r="F98" i="23"/>
  <c r="G98" i="23"/>
  <c r="H98" i="23"/>
  <c r="I98" i="23"/>
  <c r="K98" i="23"/>
  <c r="L98" i="23"/>
  <c r="M98" i="23"/>
  <c r="N98" i="23"/>
  <c r="O98" i="23"/>
  <c r="P98" i="23"/>
  <c r="Q98" i="23"/>
  <c r="R98" i="23"/>
  <c r="S98" i="23"/>
  <c r="T98" i="23"/>
  <c r="U98" i="23"/>
  <c r="V98" i="23"/>
  <c r="W98" i="23"/>
  <c r="X98" i="23"/>
  <c r="Y98" i="23"/>
  <c r="Z98" i="23"/>
  <c r="AA98" i="23"/>
  <c r="AB98" i="23"/>
  <c r="AC98" i="23"/>
  <c r="AD98" i="23"/>
  <c r="AE98" i="23"/>
  <c r="AF98" i="23"/>
  <c r="AG98" i="23"/>
  <c r="AH98" i="23"/>
  <c r="AI98" i="23"/>
  <c r="AJ98" i="23"/>
  <c r="AK98" i="23"/>
  <c r="AL98" i="23"/>
  <c r="AM98" i="23"/>
  <c r="AN98" i="23"/>
  <c r="AO98" i="23"/>
  <c r="AP98" i="23"/>
  <c r="AQ98" i="23"/>
  <c r="AR98" i="23"/>
  <c r="AS98" i="23"/>
  <c r="AT98" i="23"/>
  <c r="AU98" i="23"/>
  <c r="AV98" i="23"/>
  <c r="AW98" i="23"/>
  <c r="AX98" i="23"/>
  <c r="AY98" i="23"/>
  <c r="AZ98" i="23"/>
  <c r="BA98" i="23"/>
  <c r="BB98" i="23"/>
  <c r="BC98" i="23"/>
  <c r="BD98" i="23"/>
  <c r="BE98" i="23"/>
  <c r="BF98" i="23"/>
  <c r="BG98" i="23"/>
  <c r="BH98" i="23"/>
  <c r="BI98" i="23"/>
  <c r="BJ98" i="23"/>
  <c r="BK98" i="23"/>
  <c r="BL98" i="23"/>
  <c r="BM98" i="23"/>
  <c r="BN98" i="23"/>
  <c r="BO98" i="23"/>
  <c r="BP98" i="23"/>
  <c r="BQ98" i="23"/>
  <c r="BR98" i="23"/>
  <c r="BS98" i="23"/>
  <c r="BT98" i="23"/>
  <c r="BU98" i="23"/>
  <c r="BV98" i="23"/>
  <c r="BW98" i="23"/>
  <c r="BX98" i="23"/>
  <c r="BY98" i="23"/>
  <c r="BZ98" i="23"/>
  <c r="CA98" i="23"/>
  <c r="CB98" i="23"/>
  <c r="CC98" i="23"/>
  <c r="CD98" i="23"/>
  <c r="CE98" i="23"/>
  <c r="CF98" i="23"/>
  <c r="CG98" i="23"/>
  <c r="CH98" i="23"/>
  <c r="CI98" i="23"/>
  <c r="CJ98" i="23"/>
  <c r="CK98" i="23"/>
  <c r="CL98" i="23"/>
  <c r="CM98" i="23"/>
  <c r="CN98" i="23"/>
  <c r="CO98" i="23"/>
  <c r="CP98" i="23"/>
  <c r="CQ98" i="23"/>
  <c r="CR98" i="23"/>
  <c r="CS98" i="23"/>
  <c r="CT98" i="23"/>
  <c r="CU98" i="23"/>
  <c r="CV98" i="23"/>
  <c r="CW98" i="23"/>
  <c r="CX98" i="23"/>
  <c r="CY98" i="23"/>
  <c r="CZ98" i="23"/>
  <c r="DA98" i="23"/>
  <c r="DB98" i="23"/>
  <c r="DC98" i="23"/>
  <c r="DD98" i="23"/>
  <c r="DE98" i="23"/>
  <c r="DF98" i="23"/>
  <c r="DG98" i="23"/>
  <c r="DH98" i="23"/>
  <c r="DI98" i="23"/>
  <c r="DJ98" i="23"/>
  <c r="DK98" i="23"/>
  <c r="DL98" i="23"/>
  <c r="DM98" i="23"/>
  <c r="DN98" i="23"/>
  <c r="DO98" i="23"/>
  <c r="DP98" i="23"/>
  <c r="DQ98" i="23"/>
  <c r="DR98" i="23"/>
  <c r="DS98" i="23"/>
  <c r="DT98" i="23"/>
  <c r="DU98" i="23"/>
  <c r="DV98" i="23"/>
  <c r="DW98" i="23"/>
  <c r="DX98" i="23"/>
  <c r="DY98" i="23"/>
  <c r="DZ98" i="23"/>
  <c r="EA98" i="23"/>
  <c r="EB98" i="23"/>
  <c r="EC98" i="23"/>
  <c r="ED98" i="23"/>
  <c r="EE98" i="23"/>
  <c r="EF98" i="23"/>
  <c r="EG98" i="23"/>
  <c r="EH98" i="23"/>
  <c r="EI98" i="23"/>
  <c r="EJ98" i="23"/>
  <c r="EK98" i="23"/>
  <c r="EL98" i="23"/>
  <c r="EM98" i="23"/>
  <c r="EN98" i="23"/>
  <c r="EO98" i="23"/>
  <c r="EP98" i="23"/>
  <c r="EQ98" i="23"/>
  <c r="ER98" i="23"/>
  <c r="ES98" i="23"/>
  <c r="ET98" i="23"/>
  <c r="EU98" i="23"/>
  <c r="EV98" i="23"/>
  <c r="EW98" i="23"/>
  <c r="EX98" i="23"/>
  <c r="EY98" i="23"/>
  <c r="EZ98" i="23"/>
  <c r="FA98" i="23"/>
  <c r="FB98" i="23"/>
  <c r="FC98" i="23"/>
  <c r="FD98" i="23"/>
  <c r="FE98" i="23"/>
  <c r="FF98" i="23"/>
  <c r="FG98" i="23"/>
  <c r="FH98" i="23"/>
  <c r="FI98" i="23"/>
  <c r="FJ98" i="23"/>
  <c r="FK98" i="23"/>
  <c r="FL98" i="23"/>
  <c r="FM98" i="23"/>
  <c r="FN98" i="23"/>
  <c r="FO98" i="23"/>
  <c r="FP98" i="23"/>
  <c r="FQ98" i="23"/>
  <c r="FR98" i="23"/>
  <c r="FS98" i="23"/>
  <c r="FT98" i="23"/>
  <c r="FU98" i="23"/>
  <c r="FV98" i="23"/>
  <c r="FW98" i="23"/>
  <c r="FX98" i="23"/>
  <c r="FY98" i="23"/>
  <c r="FZ98" i="23"/>
  <c r="GA98" i="23"/>
  <c r="GB98" i="23"/>
  <c r="GC98" i="23"/>
  <c r="GD98" i="23"/>
  <c r="GE98" i="23"/>
  <c r="GF98" i="23"/>
  <c r="GG98" i="23"/>
  <c r="GH98" i="23"/>
  <c r="GI98" i="23"/>
  <c r="GJ98" i="23"/>
  <c r="GK98" i="23"/>
  <c r="GL98" i="23"/>
  <c r="GM98" i="23"/>
  <c r="GN98" i="23"/>
  <c r="GO98" i="23"/>
  <c r="GP98" i="23"/>
  <c r="GQ98" i="23"/>
  <c r="GR98" i="23"/>
  <c r="GS98" i="23"/>
  <c r="GT98" i="23"/>
  <c r="GU98" i="23"/>
  <c r="GV98" i="23"/>
  <c r="GW98" i="23"/>
  <c r="GX98" i="23"/>
  <c r="GY98" i="23"/>
  <c r="GZ98" i="23"/>
  <c r="HA98" i="23"/>
  <c r="HB98" i="23"/>
  <c r="HC98" i="23"/>
  <c r="HD98" i="23"/>
  <c r="HE98" i="23"/>
  <c r="HF98" i="23"/>
  <c r="HG98" i="23"/>
  <c r="HH98" i="23"/>
  <c r="HI98" i="23"/>
  <c r="HJ98" i="23"/>
  <c r="HK98" i="23"/>
  <c r="HL98" i="23"/>
  <c r="HM98" i="23"/>
  <c r="HN98" i="23"/>
  <c r="HO98" i="23"/>
  <c r="HP98" i="23"/>
  <c r="HQ98" i="23"/>
  <c r="HR98" i="23"/>
  <c r="HS98" i="23"/>
  <c r="HT98" i="23"/>
  <c r="HU98" i="23"/>
  <c r="HV98" i="23"/>
  <c r="HW98" i="23"/>
  <c r="HX98" i="23"/>
  <c r="HY98" i="23"/>
  <c r="HZ98" i="23"/>
  <c r="IA98" i="23"/>
  <c r="IB98" i="23"/>
  <c r="IC98" i="23"/>
  <c r="ID98" i="23"/>
  <c r="IE98" i="23"/>
  <c r="IF98" i="23"/>
  <c r="IG98" i="23"/>
  <c r="IH98" i="23"/>
  <c r="II98" i="23"/>
  <c r="IJ98" i="23"/>
  <c r="IK98" i="23"/>
  <c r="IL98" i="23"/>
  <c r="IM98" i="23"/>
  <c r="IN98" i="23"/>
  <c r="IO98" i="23"/>
  <c r="IP98" i="23"/>
  <c r="IQ98" i="23"/>
  <c r="IR98" i="23"/>
  <c r="IS98" i="23"/>
  <c r="IT98" i="23"/>
  <c r="IU98" i="23"/>
  <c r="IV98" i="23"/>
  <c r="A97" i="23"/>
  <c r="B97" i="23"/>
  <c r="C97" i="23"/>
  <c r="D97" i="23"/>
  <c r="E97" i="23"/>
  <c r="F97" i="23"/>
  <c r="G97" i="23"/>
  <c r="H97" i="23"/>
  <c r="I97" i="23"/>
  <c r="J97" i="23"/>
  <c r="K97" i="23"/>
  <c r="L97" i="23"/>
  <c r="M97" i="23"/>
  <c r="N97" i="23"/>
  <c r="O97" i="23"/>
  <c r="P97" i="23"/>
  <c r="Q97" i="23"/>
  <c r="R97" i="23"/>
  <c r="S97" i="23"/>
  <c r="T97" i="23"/>
  <c r="U97" i="23"/>
  <c r="V97" i="23"/>
  <c r="W97" i="23"/>
  <c r="X97" i="23"/>
  <c r="Y97" i="23"/>
  <c r="Z97" i="23"/>
  <c r="AA97" i="23"/>
  <c r="AB97" i="23"/>
  <c r="AC97" i="23"/>
  <c r="AD97" i="23"/>
  <c r="AE97" i="23"/>
  <c r="AF97" i="23"/>
  <c r="AG97" i="23"/>
  <c r="AH97" i="23"/>
  <c r="AI97" i="23"/>
  <c r="AJ97" i="23"/>
  <c r="AK97" i="23"/>
  <c r="AL97" i="23"/>
  <c r="AM97" i="23"/>
  <c r="AN97" i="23"/>
  <c r="AO97" i="23"/>
  <c r="AP97" i="23"/>
  <c r="AQ97" i="23"/>
  <c r="AR97" i="23"/>
  <c r="AS97" i="23"/>
  <c r="AT97" i="23"/>
  <c r="AU97" i="23"/>
  <c r="AV97" i="23"/>
  <c r="AW97" i="23"/>
  <c r="AX97" i="23"/>
  <c r="AY97" i="23"/>
  <c r="AZ97" i="23"/>
  <c r="BA97" i="23"/>
  <c r="BB97" i="23"/>
  <c r="BC97" i="23"/>
  <c r="BD97" i="23"/>
  <c r="BE97" i="23"/>
  <c r="BF97" i="23"/>
  <c r="BG97" i="23"/>
  <c r="BH97" i="23"/>
  <c r="BI97" i="23"/>
  <c r="BJ97" i="23"/>
  <c r="BK97" i="23"/>
  <c r="BL97" i="23"/>
  <c r="BM97" i="23"/>
  <c r="BN97" i="23"/>
  <c r="BO97" i="23"/>
  <c r="BP97" i="23"/>
  <c r="BQ97" i="23"/>
  <c r="BR97" i="23"/>
  <c r="BS97" i="23"/>
  <c r="BT97" i="23"/>
  <c r="BU97" i="23"/>
  <c r="BV97" i="23"/>
  <c r="BW97" i="23"/>
  <c r="BX97" i="23"/>
  <c r="BY97" i="23"/>
  <c r="BZ97" i="23"/>
  <c r="CA97" i="23"/>
  <c r="CB97" i="23"/>
  <c r="CC97" i="23"/>
  <c r="CD97" i="23"/>
  <c r="CE97" i="23"/>
  <c r="CF97" i="23"/>
  <c r="CG97" i="23"/>
  <c r="CH97" i="23"/>
  <c r="CI97" i="23"/>
  <c r="CJ97" i="23"/>
  <c r="CK97" i="23"/>
  <c r="CL97" i="23"/>
  <c r="CM97" i="23"/>
  <c r="CN97" i="23"/>
  <c r="CO97" i="23"/>
  <c r="CP97" i="23"/>
  <c r="CQ97" i="23"/>
  <c r="CR97" i="23"/>
  <c r="CS97" i="23"/>
  <c r="CT97" i="23"/>
  <c r="CU97" i="23"/>
  <c r="CV97" i="23"/>
  <c r="CW97" i="23"/>
  <c r="CX97" i="23"/>
  <c r="CY97" i="23"/>
  <c r="CZ97" i="23"/>
  <c r="DA97" i="23"/>
  <c r="DB97" i="23"/>
  <c r="DC97" i="23"/>
  <c r="DD97" i="23"/>
  <c r="DE97" i="23"/>
  <c r="DF97" i="23"/>
  <c r="DG97" i="23"/>
  <c r="DH97" i="23"/>
  <c r="DI97" i="23"/>
  <c r="DJ97" i="23"/>
  <c r="DK97" i="23"/>
  <c r="DL97" i="23"/>
  <c r="DM97" i="23"/>
  <c r="DN97" i="23"/>
  <c r="DO97" i="23"/>
  <c r="DP97" i="23"/>
  <c r="DQ97" i="23"/>
  <c r="DR97" i="23"/>
  <c r="DS97" i="23"/>
  <c r="DT97" i="23"/>
  <c r="DU97" i="23"/>
  <c r="DV97" i="23"/>
  <c r="DW97" i="23"/>
  <c r="DX97" i="23"/>
  <c r="DY97" i="23"/>
  <c r="DZ97" i="23"/>
  <c r="EA97" i="23"/>
  <c r="EB97" i="23"/>
  <c r="EC97" i="23"/>
  <c r="ED97" i="23"/>
  <c r="EE97" i="23"/>
  <c r="EF97" i="23"/>
  <c r="EG97" i="23"/>
  <c r="EH97" i="23"/>
  <c r="EI97" i="23"/>
  <c r="EJ97" i="23"/>
  <c r="EK97" i="23"/>
  <c r="EL97" i="23"/>
  <c r="EM97" i="23"/>
  <c r="EN97" i="23"/>
  <c r="EO97" i="23"/>
  <c r="EP97" i="23"/>
  <c r="EQ97" i="23"/>
  <c r="ER97" i="23"/>
  <c r="ES97" i="23"/>
  <c r="ET97" i="23"/>
  <c r="EU97" i="23"/>
  <c r="EV97" i="23"/>
  <c r="EW97" i="23"/>
  <c r="EX97" i="23"/>
  <c r="EY97" i="23"/>
  <c r="EZ97" i="23"/>
  <c r="FA97" i="23"/>
  <c r="FB97" i="23"/>
  <c r="FC97" i="23"/>
  <c r="FD97" i="23"/>
  <c r="FE97" i="23"/>
  <c r="FF97" i="23"/>
  <c r="FG97" i="23"/>
  <c r="FH97" i="23"/>
  <c r="FI97" i="23"/>
  <c r="FJ97" i="23"/>
  <c r="FK97" i="23"/>
  <c r="FL97" i="23"/>
  <c r="FM97" i="23"/>
  <c r="FN97" i="23"/>
  <c r="FO97" i="23"/>
  <c r="FP97" i="23"/>
  <c r="FQ97" i="23"/>
  <c r="FR97" i="23"/>
  <c r="FS97" i="23"/>
  <c r="FT97" i="23"/>
  <c r="FU97" i="23"/>
  <c r="FV97" i="23"/>
  <c r="FW97" i="23"/>
  <c r="FX97" i="23"/>
  <c r="FY97" i="23"/>
  <c r="FZ97" i="23"/>
  <c r="GA97" i="23"/>
  <c r="GB97" i="23"/>
  <c r="GC97" i="23"/>
  <c r="GD97" i="23"/>
  <c r="GE97" i="23"/>
  <c r="GF97" i="23"/>
  <c r="GG97" i="23"/>
  <c r="GH97" i="23"/>
  <c r="GI97" i="23"/>
  <c r="GJ97" i="23"/>
  <c r="GK97" i="23"/>
  <c r="GL97" i="23"/>
  <c r="GM97" i="23"/>
  <c r="GN97" i="23"/>
  <c r="GO97" i="23"/>
  <c r="GP97" i="23"/>
  <c r="GQ97" i="23"/>
  <c r="GR97" i="23"/>
  <c r="GS97" i="23"/>
  <c r="GT97" i="23"/>
  <c r="GU97" i="23"/>
  <c r="GV97" i="23"/>
  <c r="GW97" i="23"/>
  <c r="GX97" i="23"/>
  <c r="GY97" i="23"/>
  <c r="GZ97" i="23"/>
  <c r="HA97" i="23"/>
  <c r="HB97" i="23"/>
  <c r="HC97" i="23"/>
  <c r="HD97" i="23"/>
  <c r="HE97" i="23"/>
  <c r="HF97" i="23"/>
  <c r="HG97" i="23"/>
  <c r="HH97" i="23"/>
  <c r="HI97" i="23"/>
  <c r="HJ97" i="23"/>
  <c r="HK97" i="23"/>
  <c r="HL97" i="23"/>
  <c r="HM97" i="23"/>
  <c r="HN97" i="23"/>
  <c r="HO97" i="23"/>
  <c r="HP97" i="23"/>
  <c r="HQ97" i="23"/>
  <c r="HR97" i="23"/>
  <c r="HS97" i="23"/>
  <c r="HT97" i="23"/>
  <c r="HU97" i="23"/>
  <c r="HV97" i="23"/>
  <c r="HW97" i="23"/>
  <c r="HX97" i="23"/>
  <c r="HY97" i="23"/>
  <c r="HZ97" i="23"/>
  <c r="IA97" i="23"/>
  <c r="IB97" i="23"/>
  <c r="IC97" i="23"/>
  <c r="ID97" i="23"/>
  <c r="IE97" i="23"/>
  <c r="IF97" i="23"/>
  <c r="IG97" i="23"/>
  <c r="IH97" i="23"/>
  <c r="II97" i="23"/>
  <c r="IJ97" i="23"/>
  <c r="IK97" i="23"/>
  <c r="IL97" i="23"/>
  <c r="IM97" i="23"/>
  <c r="IN97" i="23"/>
  <c r="IO97" i="23"/>
  <c r="IP97" i="23"/>
  <c r="IQ97" i="23"/>
  <c r="IR97" i="23"/>
  <c r="IS97" i="23"/>
  <c r="IT97" i="23"/>
  <c r="IU97" i="23"/>
  <c r="IV97" i="23"/>
  <c r="A96" i="23"/>
  <c r="B96" i="23"/>
  <c r="C96" i="23"/>
  <c r="D96" i="23"/>
  <c r="E96" i="23"/>
  <c r="F96" i="23"/>
  <c r="G96" i="23"/>
  <c r="H96" i="23"/>
  <c r="I96" i="23"/>
  <c r="J96" i="23"/>
  <c r="K96" i="23"/>
  <c r="L96" i="23"/>
  <c r="M96" i="23"/>
  <c r="N96" i="23"/>
  <c r="O96" i="23"/>
  <c r="P96" i="23"/>
  <c r="Q96" i="23"/>
  <c r="R96" i="23"/>
  <c r="S96" i="23"/>
  <c r="T96" i="23"/>
  <c r="U96" i="23"/>
  <c r="V96" i="23"/>
  <c r="W96" i="23"/>
  <c r="X96" i="23"/>
  <c r="Y96" i="23"/>
  <c r="Z96" i="23"/>
  <c r="AA96" i="23"/>
  <c r="AB96" i="23"/>
  <c r="AC96" i="23"/>
  <c r="AD96" i="23"/>
  <c r="AE96" i="23"/>
  <c r="AF96" i="23"/>
  <c r="AG96" i="23"/>
  <c r="AH96" i="23"/>
  <c r="AI96" i="23"/>
  <c r="AJ96" i="23"/>
  <c r="AK96" i="23"/>
  <c r="AL96" i="23"/>
  <c r="AM96" i="23"/>
  <c r="AN96" i="23"/>
  <c r="AO96" i="23"/>
  <c r="AP96" i="23"/>
  <c r="AQ96" i="23"/>
  <c r="AR96" i="23"/>
  <c r="AS96" i="23"/>
  <c r="AT96" i="23"/>
  <c r="AU96" i="23"/>
  <c r="AV96" i="23"/>
  <c r="AW96" i="23"/>
  <c r="AX96" i="23"/>
  <c r="AY96" i="23"/>
  <c r="AZ96" i="23"/>
  <c r="BA96" i="23"/>
  <c r="BB96" i="23"/>
  <c r="BC96" i="23"/>
  <c r="BD96" i="23"/>
  <c r="BE96" i="23"/>
  <c r="BF96" i="23"/>
  <c r="BG96" i="23"/>
  <c r="BH96" i="23"/>
  <c r="BI96" i="23"/>
  <c r="BJ96" i="23"/>
  <c r="BK96" i="23"/>
  <c r="BL96" i="23"/>
  <c r="BM96" i="23"/>
  <c r="BN96" i="23"/>
  <c r="BO96" i="23"/>
  <c r="BP96" i="23"/>
  <c r="BQ96" i="23"/>
  <c r="BR96" i="23"/>
  <c r="BS96" i="23"/>
  <c r="BT96" i="23"/>
  <c r="BU96" i="23"/>
  <c r="BV96" i="23"/>
  <c r="BW96" i="23"/>
  <c r="BX96" i="23"/>
  <c r="BY96" i="23"/>
  <c r="BZ96" i="23"/>
  <c r="CA96" i="23"/>
  <c r="CB96" i="23"/>
  <c r="CC96" i="23"/>
  <c r="CD96" i="23"/>
  <c r="CE96" i="23"/>
  <c r="CF96" i="23"/>
  <c r="CG96" i="23"/>
  <c r="CH96" i="23"/>
  <c r="CI96" i="23"/>
  <c r="CJ96" i="23"/>
  <c r="CK96" i="23"/>
  <c r="CL96" i="23"/>
  <c r="CM96" i="23"/>
  <c r="CN96" i="23"/>
  <c r="CO96" i="23"/>
  <c r="CP96" i="23"/>
  <c r="CQ96" i="23"/>
  <c r="CR96" i="23"/>
  <c r="CS96" i="23"/>
  <c r="CT96" i="23"/>
  <c r="CU96" i="23"/>
  <c r="CV96" i="23"/>
  <c r="CW96" i="23"/>
  <c r="CX96" i="23"/>
  <c r="CY96" i="23"/>
  <c r="CZ96" i="23"/>
  <c r="DA96" i="23"/>
  <c r="DB96" i="23"/>
  <c r="DC96" i="23"/>
  <c r="DD96" i="23"/>
  <c r="DE96" i="23"/>
  <c r="DF96" i="23"/>
  <c r="DG96" i="23"/>
  <c r="DH96" i="23"/>
  <c r="DI96" i="23"/>
  <c r="DJ96" i="23"/>
  <c r="DK96" i="23"/>
  <c r="DL96" i="23"/>
  <c r="DM96" i="23"/>
  <c r="DN96" i="23"/>
  <c r="DO96" i="23"/>
  <c r="DP96" i="23"/>
  <c r="DQ96" i="23"/>
  <c r="DR96" i="23"/>
  <c r="DS96" i="23"/>
  <c r="DT96" i="23"/>
  <c r="DU96" i="23"/>
  <c r="DV96" i="23"/>
  <c r="DW96" i="23"/>
  <c r="DX96" i="23"/>
  <c r="DY96" i="23"/>
  <c r="DZ96" i="23"/>
  <c r="EA96" i="23"/>
  <c r="EB96" i="23"/>
  <c r="EC96" i="23"/>
  <c r="ED96" i="23"/>
  <c r="EE96" i="23"/>
  <c r="EF96" i="23"/>
  <c r="EG96" i="23"/>
  <c r="EH96" i="23"/>
  <c r="EI96" i="23"/>
  <c r="EJ96" i="23"/>
  <c r="EK96" i="23"/>
  <c r="EL96" i="23"/>
  <c r="EM96" i="23"/>
  <c r="EN96" i="23"/>
  <c r="EO96" i="23"/>
  <c r="EP96" i="23"/>
  <c r="EQ96" i="23"/>
  <c r="ER96" i="23"/>
  <c r="ES96" i="23"/>
  <c r="ET96" i="23"/>
  <c r="EU96" i="23"/>
  <c r="EV96" i="23"/>
  <c r="EW96" i="23"/>
  <c r="EX96" i="23"/>
  <c r="EY96" i="23"/>
  <c r="EZ96" i="23"/>
  <c r="FA96" i="23"/>
  <c r="FB96" i="23"/>
  <c r="FC96" i="23"/>
  <c r="FD96" i="23"/>
  <c r="FE96" i="23"/>
  <c r="FF96" i="23"/>
  <c r="FG96" i="23"/>
  <c r="FH96" i="23"/>
  <c r="FI96" i="23"/>
  <c r="FJ96" i="23"/>
  <c r="FK96" i="23"/>
  <c r="FL96" i="23"/>
  <c r="FM96" i="23"/>
  <c r="FN96" i="23"/>
  <c r="FO96" i="23"/>
  <c r="FP96" i="23"/>
  <c r="FQ96" i="23"/>
  <c r="FR96" i="23"/>
  <c r="FS96" i="23"/>
  <c r="FT96" i="23"/>
  <c r="FU96" i="23"/>
  <c r="FV96" i="23"/>
  <c r="FW96" i="23"/>
  <c r="FX96" i="23"/>
  <c r="FY96" i="23"/>
  <c r="FZ96" i="23"/>
  <c r="GA96" i="23"/>
  <c r="GB96" i="23"/>
  <c r="GC96" i="23"/>
  <c r="GD96" i="23"/>
  <c r="GE96" i="23"/>
  <c r="GF96" i="23"/>
  <c r="GG96" i="23"/>
  <c r="GH96" i="23"/>
  <c r="GI96" i="23"/>
  <c r="GJ96" i="23"/>
  <c r="GK96" i="23"/>
  <c r="GL96" i="23"/>
  <c r="GM96" i="23"/>
  <c r="GN96" i="23"/>
  <c r="GO96" i="23"/>
  <c r="GP96" i="23"/>
  <c r="GQ96" i="23"/>
  <c r="GR96" i="23"/>
  <c r="GS96" i="23"/>
  <c r="GT96" i="23"/>
  <c r="GU96" i="23"/>
  <c r="GV96" i="23"/>
  <c r="GW96" i="23"/>
  <c r="GX96" i="23"/>
  <c r="GY96" i="23"/>
  <c r="GZ96" i="23"/>
  <c r="HA96" i="23"/>
  <c r="HB96" i="23"/>
  <c r="HC96" i="23"/>
  <c r="HD96" i="23"/>
  <c r="HE96" i="23"/>
  <c r="HF96" i="23"/>
  <c r="HG96" i="23"/>
  <c r="HH96" i="23"/>
  <c r="HI96" i="23"/>
  <c r="HJ96" i="23"/>
  <c r="HK96" i="23"/>
  <c r="HL96" i="23"/>
  <c r="HM96" i="23"/>
  <c r="HN96" i="23"/>
  <c r="HO96" i="23"/>
  <c r="HP96" i="23"/>
  <c r="HQ96" i="23"/>
  <c r="HR96" i="23"/>
  <c r="HS96" i="23"/>
  <c r="HT96" i="23"/>
  <c r="HU96" i="23"/>
  <c r="HV96" i="23"/>
  <c r="HW96" i="23"/>
  <c r="HX96" i="23"/>
  <c r="HY96" i="23"/>
  <c r="HZ96" i="23"/>
  <c r="IA96" i="23"/>
  <c r="IB96" i="23"/>
  <c r="IC96" i="23"/>
  <c r="ID96" i="23"/>
  <c r="IE96" i="23"/>
  <c r="IF96" i="23"/>
  <c r="IG96" i="23"/>
  <c r="IH96" i="23"/>
  <c r="II96" i="23"/>
  <c r="IJ96" i="23"/>
  <c r="IK96" i="23"/>
  <c r="IL96" i="23"/>
  <c r="IM96" i="23"/>
  <c r="IN96" i="23"/>
  <c r="IO96" i="23"/>
  <c r="IP96" i="23"/>
  <c r="IQ96" i="23"/>
  <c r="IR96" i="23"/>
  <c r="IS96" i="23"/>
  <c r="IT96" i="23"/>
  <c r="IU96" i="23"/>
  <c r="IV96" i="23"/>
  <c r="A95" i="23"/>
  <c r="B95" i="23"/>
  <c r="C95" i="23"/>
  <c r="D95" i="23"/>
  <c r="E95" i="23"/>
  <c r="F95" i="23"/>
  <c r="G95" i="23"/>
  <c r="I95" i="23"/>
  <c r="J95" i="23"/>
  <c r="K95" i="23"/>
  <c r="L95" i="23"/>
  <c r="M95" i="23"/>
  <c r="N95" i="23"/>
  <c r="O95" i="23"/>
  <c r="P95" i="23"/>
  <c r="Q95" i="23"/>
  <c r="R95" i="23"/>
  <c r="S95" i="23"/>
  <c r="T95" i="23"/>
  <c r="U95" i="23"/>
  <c r="V95" i="23"/>
  <c r="W95" i="23"/>
  <c r="X95" i="23"/>
  <c r="Y95" i="23"/>
  <c r="Z95" i="23"/>
  <c r="AA95" i="23"/>
  <c r="AB95" i="23"/>
  <c r="AC95" i="23"/>
  <c r="AD95" i="23"/>
  <c r="AE95" i="23"/>
  <c r="AF95" i="23"/>
  <c r="AG95" i="23"/>
  <c r="AH95" i="23"/>
  <c r="AI95" i="23"/>
  <c r="AJ95" i="23"/>
  <c r="AK95" i="23"/>
  <c r="AL95" i="23"/>
  <c r="AM95" i="23"/>
  <c r="AN95" i="23"/>
  <c r="AO95" i="23"/>
  <c r="AP95" i="23"/>
  <c r="AQ95" i="23"/>
  <c r="AR95" i="23"/>
  <c r="AS95" i="23"/>
  <c r="AT95" i="23"/>
  <c r="AU95" i="23"/>
  <c r="AV95" i="23"/>
  <c r="AW95" i="23"/>
  <c r="AX95" i="23"/>
  <c r="AY95" i="23"/>
  <c r="AZ95" i="23"/>
  <c r="BA95" i="23"/>
  <c r="BB95" i="23"/>
  <c r="BC95" i="23"/>
  <c r="BD95" i="23"/>
  <c r="BE95" i="23"/>
  <c r="BF95" i="23"/>
  <c r="BG95" i="23"/>
  <c r="BH95" i="23"/>
  <c r="BI95" i="23"/>
  <c r="BJ95" i="23"/>
  <c r="BK95" i="23"/>
  <c r="BL95" i="23"/>
  <c r="BM95" i="23"/>
  <c r="BN95" i="23"/>
  <c r="BO95" i="23"/>
  <c r="BP95" i="23"/>
  <c r="BQ95" i="23"/>
  <c r="BR95" i="23"/>
  <c r="BS95" i="23"/>
  <c r="BT95" i="23"/>
  <c r="BU95" i="23"/>
  <c r="BV95" i="23"/>
  <c r="BW95" i="23"/>
  <c r="BX95" i="23"/>
  <c r="BY95" i="23"/>
  <c r="BZ95" i="23"/>
  <c r="CA95" i="23"/>
  <c r="CB95" i="23"/>
  <c r="CC95" i="23"/>
  <c r="CD95" i="23"/>
  <c r="CE95" i="23"/>
  <c r="CF95" i="23"/>
  <c r="CG95" i="23"/>
  <c r="CH95" i="23"/>
  <c r="CI95" i="23"/>
  <c r="CJ95" i="23"/>
  <c r="CK95" i="23"/>
  <c r="CL95" i="23"/>
  <c r="CM95" i="23"/>
  <c r="CN95" i="23"/>
  <c r="CO95" i="23"/>
  <c r="CP95" i="23"/>
  <c r="CQ95" i="23"/>
  <c r="CR95" i="23"/>
  <c r="CS95" i="23"/>
  <c r="CT95" i="23"/>
  <c r="CU95" i="23"/>
  <c r="CV95" i="23"/>
  <c r="CW95" i="23"/>
  <c r="CX95" i="23"/>
  <c r="CY95" i="23"/>
  <c r="CZ95" i="23"/>
  <c r="DA95" i="23"/>
  <c r="DB95" i="23"/>
  <c r="DC95" i="23"/>
  <c r="DD95" i="23"/>
  <c r="DE95" i="23"/>
  <c r="DF95" i="23"/>
  <c r="DG95" i="23"/>
  <c r="DH95" i="23"/>
  <c r="DI95" i="23"/>
  <c r="DJ95" i="23"/>
  <c r="DK95" i="23"/>
  <c r="DL95" i="23"/>
  <c r="DM95" i="23"/>
  <c r="DN95" i="23"/>
  <c r="DO95" i="23"/>
  <c r="DP95" i="23"/>
  <c r="DQ95" i="23"/>
  <c r="DR95" i="23"/>
  <c r="DS95" i="23"/>
  <c r="DT95" i="23"/>
  <c r="DU95" i="23"/>
  <c r="DV95" i="23"/>
  <c r="DW95" i="23"/>
  <c r="DX95" i="23"/>
  <c r="DY95" i="23"/>
  <c r="DZ95" i="23"/>
  <c r="EA95" i="23"/>
  <c r="EB95" i="23"/>
  <c r="EC95" i="23"/>
  <c r="ED95" i="23"/>
  <c r="EE95" i="23"/>
  <c r="EF95" i="23"/>
  <c r="EG95" i="23"/>
  <c r="EH95" i="23"/>
  <c r="EI95" i="23"/>
  <c r="EJ95" i="23"/>
  <c r="EK95" i="23"/>
  <c r="EL95" i="23"/>
  <c r="EM95" i="23"/>
  <c r="EN95" i="23"/>
  <c r="EO95" i="23"/>
  <c r="EP95" i="23"/>
  <c r="EQ95" i="23"/>
  <c r="ER95" i="23"/>
  <c r="ES95" i="23"/>
  <c r="ET95" i="23"/>
  <c r="EU95" i="23"/>
  <c r="EV95" i="23"/>
  <c r="EW95" i="23"/>
  <c r="EX95" i="23"/>
  <c r="EY95" i="23"/>
  <c r="EZ95" i="23"/>
  <c r="FA95" i="23"/>
  <c r="FB95" i="23"/>
  <c r="FC95" i="23"/>
  <c r="FD95" i="23"/>
  <c r="FE95" i="23"/>
  <c r="FF95" i="23"/>
  <c r="FG95" i="23"/>
  <c r="FH95" i="23"/>
  <c r="FI95" i="23"/>
  <c r="FJ95" i="23"/>
  <c r="FK95" i="23"/>
  <c r="FL95" i="23"/>
  <c r="FM95" i="23"/>
  <c r="FN95" i="23"/>
  <c r="FO95" i="23"/>
  <c r="FP95" i="23"/>
  <c r="FQ95" i="23"/>
  <c r="FR95" i="23"/>
  <c r="FS95" i="23"/>
  <c r="FT95" i="23"/>
  <c r="FU95" i="23"/>
  <c r="FV95" i="23"/>
  <c r="FW95" i="23"/>
  <c r="FX95" i="23"/>
  <c r="FY95" i="23"/>
  <c r="FZ95" i="23"/>
  <c r="GA95" i="23"/>
  <c r="GB95" i="23"/>
  <c r="GC95" i="23"/>
  <c r="GD95" i="23"/>
  <c r="GE95" i="23"/>
  <c r="GF95" i="23"/>
  <c r="GG95" i="23"/>
  <c r="GH95" i="23"/>
  <c r="GI95" i="23"/>
  <c r="GJ95" i="23"/>
  <c r="GK95" i="23"/>
  <c r="GL95" i="23"/>
  <c r="GM95" i="23"/>
  <c r="GN95" i="23"/>
  <c r="GO95" i="23"/>
  <c r="GP95" i="23"/>
  <c r="GQ95" i="23"/>
  <c r="GR95" i="23"/>
  <c r="GS95" i="23"/>
  <c r="GT95" i="23"/>
  <c r="GU95" i="23"/>
  <c r="GV95" i="23"/>
  <c r="GW95" i="23"/>
  <c r="GX95" i="23"/>
  <c r="GY95" i="23"/>
  <c r="GZ95" i="23"/>
  <c r="HA95" i="23"/>
  <c r="HB95" i="23"/>
  <c r="HC95" i="23"/>
  <c r="HD95" i="23"/>
  <c r="HE95" i="23"/>
  <c r="HF95" i="23"/>
  <c r="HG95" i="23"/>
  <c r="HH95" i="23"/>
  <c r="HI95" i="23"/>
  <c r="HJ95" i="23"/>
  <c r="HK95" i="23"/>
  <c r="HL95" i="23"/>
  <c r="HM95" i="23"/>
  <c r="HN95" i="23"/>
  <c r="HO95" i="23"/>
  <c r="HP95" i="23"/>
  <c r="HQ95" i="23"/>
  <c r="HR95" i="23"/>
  <c r="HS95" i="23"/>
  <c r="HT95" i="23"/>
  <c r="HU95" i="23"/>
  <c r="HV95" i="23"/>
  <c r="HW95" i="23"/>
  <c r="HX95" i="23"/>
  <c r="HY95" i="23"/>
  <c r="HZ95" i="23"/>
  <c r="IA95" i="23"/>
  <c r="IB95" i="23"/>
  <c r="IC95" i="23"/>
  <c r="ID95" i="23"/>
  <c r="IE95" i="23"/>
  <c r="IF95" i="23"/>
  <c r="IG95" i="23"/>
  <c r="IH95" i="23"/>
  <c r="II95" i="23"/>
  <c r="IJ95" i="23"/>
  <c r="IK95" i="23"/>
  <c r="IL95" i="23"/>
  <c r="IM95" i="23"/>
  <c r="IN95" i="23"/>
  <c r="IO95" i="23"/>
  <c r="IP95" i="23"/>
  <c r="IQ95" i="23"/>
  <c r="IR95" i="23"/>
  <c r="IS95" i="23"/>
  <c r="IT95" i="23"/>
  <c r="IU95" i="23"/>
  <c r="IV95" i="23"/>
  <c r="A94" i="23"/>
  <c r="B94" i="23"/>
  <c r="C94" i="23"/>
  <c r="D94" i="23"/>
  <c r="E94" i="23"/>
  <c r="F94" i="23"/>
  <c r="G94" i="23"/>
  <c r="H94" i="23"/>
  <c r="I94" i="23"/>
  <c r="J94" i="23"/>
  <c r="K94" i="23"/>
  <c r="L94" i="23"/>
  <c r="M94" i="23"/>
  <c r="N94" i="23"/>
  <c r="O94" i="23"/>
  <c r="P94" i="23"/>
  <c r="Q94" i="23"/>
  <c r="R94" i="23"/>
  <c r="S94" i="23"/>
  <c r="T94" i="23"/>
  <c r="U94" i="23"/>
  <c r="V94" i="23"/>
  <c r="W94" i="23"/>
  <c r="X94" i="23"/>
  <c r="Y94" i="23"/>
  <c r="Z94" i="23"/>
  <c r="AA94" i="23"/>
  <c r="AB94" i="23"/>
  <c r="AC94" i="23"/>
  <c r="AD94" i="23"/>
  <c r="AE94" i="23"/>
  <c r="AF94" i="23"/>
  <c r="AG94" i="23"/>
  <c r="AH94" i="23"/>
  <c r="AI94" i="23"/>
  <c r="AJ94" i="23"/>
  <c r="AK94" i="23"/>
  <c r="AL94" i="23"/>
  <c r="AM94" i="23"/>
  <c r="AN94" i="23"/>
  <c r="AO94" i="23"/>
  <c r="AP94" i="23"/>
  <c r="AQ94" i="23"/>
  <c r="AR94" i="23"/>
  <c r="AS94" i="23"/>
  <c r="AT94" i="23"/>
  <c r="AU94" i="23"/>
  <c r="AV94" i="23"/>
  <c r="AW94" i="23"/>
  <c r="AX94" i="23"/>
  <c r="AY94" i="23"/>
  <c r="AZ94" i="23"/>
  <c r="BA94" i="23"/>
  <c r="BB94" i="23"/>
  <c r="BC94" i="23"/>
  <c r="BD94" i="23"/>
  <c r="BE94" i="23"/>
  <c r="BF94" i="23"/>
  <c r="BG94" i="23"/>
  <c r="BH94" i="23"/>
  <c r="BI94" i="23"/>
  <c r="BJ94" i="23"/>
  <c r="BK94" i="23"/>
  <c r="BL94" i="23"/>
  <c r="BM94" i="23"/>
  <c r="BN94" i="23"/>
  <c r="BO94" i="23"/>
  <c r="BP94" i="23"/>
  <c r="BQ94" i="23"/>
  <c r="BR94" i="23"/>
  <c r="BS94" i="23"/>
  <c r="BT94" i="23"/>
  <c r="BU94" i="23"/>
  <c r="BV94" i="23"/>
  <c r="BW94" i="23"/>
  <c r="BX94" i="23"/>
  <c r="BY94" i="23"/>
  <c r="BZ94" i="23"/>
  <c r="CA94" i="23"/>
  <c r="CB94" i="23"/>
  <c r="CC94" i="23"/>
  <c r="CD94" i="23"/>
  <c r="CE94" i="23"/>
  <c r="CF94" i="23"/>
  <c r="CG94" i="23"/>
  <c r="CH94" i="23"/>
  <c r="CI94" i="23"/>
  <c r="CJ94" i="23"/>
  <c r="CK94" i="23"/>
  <c r="CL94" i="23"/>
  <c r="CM94" i="23"/>
  <c r="CN94" i="23"/>
  <c r="CO94" i="23"/>
  <c r="CP94" i="23"/>
  <c r="CQ94" i="23"/>
  <c r="CR94" i="23"/>
  <c r="CS94" i="23"/>
  <c r="CT94" i="23"/>
  <c r="CU94" i="23"/>
  <c r="CV94" i="23"/>
  <c r="CW94" i="23"/>
  <c r="CX94" i="23"/>
  <c r="CY94" i="23"/>
  <c r="CZ94" i="23"/>
  <c r="DA94" i="23"/>
  <c r="DB94" i="23"/>
  <c r="DC94" i="23"/>
  <c r="DD94" i="23"/>
  <c r="DE94" i="23"/>
  <c r="DF94" i="23"/>
  <c r="DG94" i="23"/>
  <c r="DH94" i="23"/>
  <c r="DI94" i="23"/>
  <c r="DJ94" i="23"/>
  <c r="DK94" i="23"/>
  <c r="DL94" i="23"/>
  <c r="DM94" i="23"/>
  <c r="DN94" i="23"/>
  <c r="DO94" i="23"/>
  <c r="DP94" i="23"/>
  <c r="DQ94" i="23"/>
  <c r="DR94" i="23"/>
  <c r="DS94" i="23"/>
  <c r="DT94" i="23"/>
  <c r="DU94" i="23"/>
  <c r="DV94" i="23"/>
  <c r="DW94" i="23"/>
  <c r="DX94" i="23"/>
  <c r="DY94" i="23"/>
  <c r="DZ94" i="23"/>
  <c r="EA94" i="23"/>
  <c r="EB94" i="23"/>
  <c r="EC94" i="23"/>
  <c r="ED94" i="23"/>
  <c r="EE94" i="23"/>
  <c r="EF94" i="23"/>
  <c r="EG94" i="23"/>
  <c r="EH94" i="23"/>
  <c r="EI94" i="23"/>
  <c r="EJ94" i="23"/>
  <c r="EK94" i="23"/>
  <c r="EL94" i="23"/>
  <c r="EM94" i="23"/>
  <c r="EN94" i="23"/>
  <c r="EO94" i="23"/>
  <c r="EP94" i="23"/>
  <c r="EQ94" i="23"/>
  <c r="ER94" i="23"/>
  <c r="ES94" i="23"/>
  <c r="ET94" i="23"/>
  <c r="EU94" i="23"/>
  <c r="EV94" i="23"/>
  <c r="EW94" i="23"/>
  <c r="EX94" i="23"/>
  <c r="EY94" i="23"/>
  <c r="EZ94" i="23"/>
  <c r="FA94" i="23"/>
  <c r="FB94" i="23"/>
  <c r="FC94" i="23"/>
  <c r="FD94" i="23"/>
  <c r="FE94" i="23"/>
  <c r="FF94" i="23"/>
  <c r="FG94" i="23"/>
  <c r="FH94" i="23"/>
  <c r="FI94" i="23"/>
  <c r="FJ94" i="23"/>
  <c r="FK94" i="23"/>
  <c r="FL94" i="23"/>
  <c r="FM94" i="23"/>
  <c r="FN94" i="23"/>
  <c r="FO94" i="23"/>
  <c r="FP94" i="23"/>
  <c r="FQ94" i="23"/>
  <c r="FR94" i="23"/>
  <c r="FS94" i="23"/>
  <c r="FT94" i="23"/>
  <c r="FU94" i="23"/>
  <c r="FV94" i="23"/>
  <c r="FW94" i="23"/>
  <c r="FX94" i="23"/>
  <c r="FY94" i="23"/>
  <c r="FZ94" i="23"/>
  <c r="GA94" i="23"/>
  <c r="GB94" i="23"/>
  <c r="GC94" i="23"/>
  <c r="GD94" i="23"/>
  <c r="GE94" i="23"/>
  <c r="GF94" i="23"/>
  <c r="GG94" i="23"/>
  <c r="GH94" i="23"/>
  <c r="GI94" i="23"/>
  <c r="GJ94" i="23"/>
  <c r="GK94" i="23"/>
  <c r="GL94" i="23"/>
  <c r="GM94" i="23"/>
  <c r="GN94" i="23"/>
  <c r="GO94" i="23"/>
  <c r="GP94" i="23"/>
  <c r="GQ94" i="23"/>
  <c r="GR94" i="23"/>
  <c r="GS94" i="23"/>
  <c r="GT94" i="23"/>
  <c r="GU94" i="23"/>
  <c r="GV94" i="23"/>
  <c r="GW94" i="23"/>
  <c r="GX94" i="23"/>
  <c r="GY94" i="23"/>
  <c r="GZ94" i="23"/>
  <c r="HA94" i="23"/>
  <c r="HB94" i="23"/>
  <c r="HC94" i="23"/>
  <c r="HD94" i="23"/>
  <c r="HE94" i="23"/>
  <c r="HF94" i="23"/>
  <c r="HG94" i="23"/>
  <c r="HH94" i="23"/>
  <c r="HI94" i="23"/>
  <c r="HJ94" i="23"/>
  <c r="HK94" i="23"/>
  <c r="HL94" i="23"/>
  <c r="HM94" i="23"/>
  <c r="HN94" i="23"/>
  <c r="HO94" i="23"/>
  <c r="HP94" i="23"/>
  <c r="HQ94" i="23"/>
  <c r="HR94" i="23"/>
  <c r="HS94" i="23"/>
  <c r="HT94" i="23"/>
  <c r="HU94" i="23"/>
  <c r="HV94" i="23"/>
  <c r="HW94" i="23"/>
  <c r="HX94" i="23"/>
  <c r="HY94" i="23"/>
  <c r="HZ94" i="23"/>
  <c r="IA94" i="23"/>
  <c r="IB94" i="23"/>
  <c r="IC94" i="23"/>
  <c r="ID94" i="23"/>
  <c r="IE94" i="23"/>
  <c r="IF94" i="23"/>
  <c r="IG94" i="23"/>
  <c r="IH94" i="23"/>
  <c r="II94" i="23"/>
  <c r="IJ94" i="23"/>
  <c r="IK94" i="23"/>
  <c r="IL94" i="23"/>
  <c r="IM94" i="23"/>
  <c r="IN94" i="23"/>
  <c r="IO94" i="23"/>
  <c r="IP94" i="23"/>
  <c r="IQ94" i="23"/>
  <c r="IR94" i="23"/>
  <c r="IS94" i="23"/>
  <c r="IT94" i="23"/>
  <c r="IU94" i="23"/>
  <c r="IV94" i="23"/>
  <c r="A93" i="23"/>
  <c r="B93" i="23"/>
  <c r="C93" i="23"/>
  <c r="D93" i="23"/>
  <c r="E93" i="23"/>
  <c r="F93" i="23"/>
  <c r="G93" i="23"/>
  <c r="H93" i="23"/>
  <c r="I93" i="23"/>
  <c r="J93" i="23"/>
  <c r="K93" i="23"/>
  <c r="L93" i="23"/>
  <c r="M93" i="23"/>
  <c r="N93" i="23"/>
  <c r="O93" i="23"/>
  <c r="P93" i="23"/>
  <c r="Q93" i="23"/>
  <c r="R93" i="23"/>
  <c r="S93" i="23"/>
  <c r="T93" i="23"/>
  <c r="U93" i="23"/>
  <c r="V93" i="23"/>
  <c r="W93" i="23"/>
  <c r="X93" i="23"/>
  <c r="Y93" i="23"/>
  <c r="Z93" i="23"/>
  <c r="AA93" i="23"/>
  <c r="AB93" i="23"/>
  <c r="AC93" i="23"/>
  <c r="AD93" i="23"/>
  <c r="AE93" i="23"/>
  <c r="AF93" i="23"/>
  <c r="AG93" i="23"/>
  <c r="AH93" i="23"/>
  <c r="AI93" i="23"/>
  <c r="AJ93" i="23"/>
  <c r="AK93" i="23"/>
  <c r="AL93" i="23"/>
  <c r="AM93" i="23"/>
  <c r="AN93" i="23"/>
  <c r="AO93" i="23"/>
  <c r="AP93" i="23"/>
  <c r="AQ93" i="23"/>
  <c r="AR93" i="23"/>
  <c r="AS93" i="23"/>
  <c r="AT93" i="23"/>
  <c r="AU93" i="23"/>
  <c r="AV93" i="23"/>
  <c r="AW93" i="23"/>
  <c r="AX93" i="23"/>
  <c r="AY93" i="23"/>
  <c r="AZ93" i="23"/>
  <c r="BA93" i="23"/>
  <c r="BB93" i="23"/>
  <c r="BC93" i="23"/>
  <c r="BD93" i="23"/>
  <c r="BE93" i="23"/>
  <c r="BF93" i="23"/>
  <c r="BG93" i="23"/>
  <c r="BH93" i="23"/>
  <c r="BI93" i="23"/>
  <c r="BJ93" i="23"/>
  <c r="BK93" i="23"/>
  <c r="BL93" i="23"/>
  <c r="BM93" i="23"/>
  <c r="BN93" i="23"/>
  <c r="BO93" i="23"/>
  <c r="BP93" i="23"/>
  <c r="BQ93" i="23"/>
  <c r="BR93" i="23"/>
  <c r="BS93" i="23"/>
  <c r="BT93" i="23"/>
  <c r="BU93" i="23"/>
  <c r="BV93" i="23"/>
  <c r="BW93" i="23"/>
  <c r="BX93" i="23"/>
  <c r="BY93" i="23"/>
  <c r="BZ93" i="23"/>
  <c r="CA93" i="23"/>
  <c r="CB93" i="23"/>
  <c r="CC93" i="23"/>
  <c r="CD93" i="23"/>
  <c r="CE93" i="23"/>
  <c r="CF93" i="23"/>
  <c r="CG93" i="23"/>
  <c r="CH93" i="23"/>
  <c r="CI93" i="23"/>
  <c r="CJ93" i="23"/>
  <c r="CK93" i="23"/>
  <c r="CL93" i="23"/>
  <c r="CM93" i="23"/>
  <c r="CN93" i="23"/>
  <c r="CO93" i="23"/>
  <c r="CP93" i="23"/>
  <c r="CQ93" i="23"/>
  <c r="CR93" i="23"/>
  <c r="CS93" i="23"/>
  <c r="CT93" i="23"/>
  <c r="CU93" i="23"/>
  <c r="CV93" i="23"/>
  <c r="CW93" i="23"/>
  <c r="CX93" i="23"/>
  <c r="CY93" i="23"/>
  <c r="CZ93" i="23"/>
  <c r="DA93" i="23"/>
  <c r="DB93" i="23"/>
  <c r="DC93" i="23"/>
  <c r="DD93" i="23"/>
  <c r="DE93" i="23"/>
  <c r="DF93" i="23"/>
  <c r="DG93" i="23"/>
  <c r="DH93" i="23"/>
  <c r="DI93" i="23"/>
  <c r="DJ93" i="23"/>
  <c r="DK93" i="23"/>
  <c r="DL93" i="23"/>
  <c r="DM93" i="23"/>
  <c r="DN93" i="23"/>
  <c r="DO93" i="23"/>
  <c r="DP93" i="23"/>
  <c r="DQ93" i="23"/>
  <c r="DR93" i="23"/>
  <c r="DS93" i="23"/>
  <c r="DT93" i="23"/>
  <c r="DU93" i="23"/>
  <c r="DV93" i="23"/>
  <c r="DW93" i="23"/>
  <c r="DX93" i="23"/>
  <c r="DY93" i="23"/>
  <c r="DZ93" i="23"/>
  <c r="EA93" i="23"/>
  <c r="EB93" i="23"/>
  <c r="EC93" i="23"/>
  <c r="ED93" i="23"/>
  <c r="EE93" i="23"/>
  <c r="EF93" i="23"/>
  <c r="EG93" i="23"/>
  <c r="EH93" i="23"/>
  <c r="EI93" i="23"/>
  <c r="EJ93" i="23"/>
  <c r="EK93" i="23"/>
  <c r="EL93" i="23"/>
  <c r="EM93" i="23"/>
  <c r="EN93" i="23"/>
  <c r="EO93" i="23"/>
  <c r="EP93" i="23"/>
  <c r="EQ93" i="23"/>
  <c r="ER93" i="23"/>
  <c r="ES93" i="23"/>
  <c r="ET93" i="23"/>
  <c r="EU93" i="23"/>
  <c r="EV93" i="23"/>
  <c r="EW93" i="23"/>
  <c r="EX93" i="23"/>
  <c r="EY93" i="23"/>
  <c r="EZ93" i="23"/>
  <c r="FA93" i="23"/>
  <c r="FB93" i="23"/>
  <c r="FC93" i="23"/>
  <c r="FD93" i="23"/>
  <c r="FE93" i="23"/>
  <c r="FF93" i="23"/>
  <c r="FG93" i="23"/>
  <c r="FH93" i="23"/>
  <c r="FI93" i="23"/>
  <c r="FJ93" i="23"/>
  <c r="FK93" i="23"/>
  <c r="FL93" i="23"/>
  <c r="FM93" i="23"/>
  <c r="FN93" i="23"/>
  <c r="FO93" i="23"/>
  <c r="FP93" i="23"/>
  <c r="FQ93" i="23"/>
  <c r="FR93" i="23"/>
  <c r="FS93" i="23"/>
  <c r="FT93" i="23"/>
  <c r="FU93" i="23"/>
  <c r="FV93" i="23"/>
  <c r="FW93" i="23"/>
  <c r="FX93" i="23"/>
  <c r="FY93" i="23"/>
  <c r="FZ93" i="23"/>
  <c r="GA93" i="23"/>
  <c r="GB93" i="23"/>
  <c r="GC93" i="23"/>
  <c r="GD93" i="23"/>
  <c r="GE93" i="23"/>
  <c r="GF93" i="23"/>
  <c r="GG93" i="23"/>
  <c r="GH93" i="23"/>
  <c r="GI93" i="23"/>
  <c r="GJ93" i="23"/>
  <c r="GK93" i="23"/>
  <c r="GL93" i="23"/>
  <c r="GM93" i="23"/>
  <c r="GN93" i="23"/>
  <c r="GO93" i="23"/>
  <c r="GP93" i="23"/>
  <c r="GQ93" i="23"/>
  <c r="GR93" i="23"/>
  <c r="GS93" i="23"/>
  <c r="GT93" i="23"/>
  <c r="GU93" i="23"/>
  <c r="GV93" i="23"/>
  <c r="GW93" i="23"/>
  <c r="GX93" i="23"/>
  <c r="GY93" i="23"/>
  <c r="GZ93" i="23"/>
  <c r="HA93" i="23"/>
  <c r="HB93" i="23"/>
  <c r="HC93" i="23"/>
  <c r="HD93" i="23"/>
  <c r="HE93" i="23"/>
  <c r="HF93" i="23"/>
  <c r="HG93" i="23"/>
  <c r="HH93" i="23"/>
  <c r="HI93" i="23"/>
  <c r="HJ93" i="23"/>
  <c r="HK93" i="23"/>
  <c r="HL93" i="23"/>
  <c r="HM93" i="23"/>
  <c r="HN93" i="23"/>
  <c r="HO93" i="23"/>
  <c r="HP93" i="23"/>
  <c r="HQ93" i="23"/>
  <c r="HR93" i="23"/>
  <c r="HS93" i="23"/>
  <c r="HT93" i="23"/>
  <c r="HU93" i="23"/>
  <c r="HV93" i="23"/>
  <c r="HW93" i="23"/>
  <c r="HX93" i="23"/>
  <c r="HY93" i="23"/>
  <c r="HZ93" i="23"/>
  <c r="IA93" i="23"/>
  <c r="IB93" i="23"/>
  <c r="IC93" i="23"/>
  <c r="ID93" i="23"/>
  <c r="IE93" i="23"/>
  <c r="IF93" i="23"/>
  <c r="IG93" i="23"/>
  <c r="IH93" i="23"/>
  <c r="II93" i="23"/>
  <c r="IJ93" i="23"/>
  <c r="IK93" i="23"/>
  <c r="IL93" i="23"/>
  <c r="IM93" i="23"/>
  <c r="IN93" i="23"/>
  <c r="IO93" i="23"/>
  <c r="IP93" i="23"/>
  <c r="IQ93" i="23"/>
  <c r="IR93" i="23"/>
  <c r="IS93" i="23"/>
  <c r="IT93" i="23"/>
  <c r="IU93" i="23"/>
  <c r="IV93" i="23"/>
  <c r="A92" i="23"/>
  <c r="B92" i="23"/>
  <c r="C92" i="23"/>
  <c r="D92" i="23"/>
  <c r="E92" i="23"/>
  <c r="G92" i="23"/>
  <c r="H92" i="23"/>
  <c r="I92" i="23"/>
  <c r="J92" i="23"/>
  <c r="K92" i="23"/>
  <c r="L92" i="23"/>
  <c r="M92" i="23"/>
  <c r="N92" i="23"/>
  <c r="O92" i="23"/>
  <c r="P92" i="23"/>
  <c r="Q92" i="23"/>
  <c r="R92" i="23"/>
  <c r="S92" i="23"/>
  <c r="T92" i="23"/>
  <c r="U92" i="23"/>
  <c r="V92" i="23"/>
  <c r="W92" i="23"/>
  <c r="X92" i="23"/>
  <c r="Y92" i="23"/>
  <c r="Z92" i="23"/>
  <c r="AA92" i="23"/>
  <c r="AB92" i="23"/>
  <c r="AC92" i="23"/>
  <c r="AD92" i="23"/>
  <c r="AE92" i="23"/>
  <c r="AF92" i="23"/>
  <c r="AG92" i="23"/>
  <c r="AH92" i="23"/>
  <c r="AI92" i="23"/>
  <c r="AJ92" i="23"/>
  <c r="AK92" i="23"/>
  <c r="AL92" i="23"/>
  <c r="AM92" i="23"/>
  <c r="AN92" i="23"/>
  <c r="AO92" i="23"/>
  <c r="AP92" i="23"/>
  <c r="AQ92" i="23"/>
  <c r="AR92" i="23"/>
  <c r="AS92" i="23"/>
  <c r="AT92" i="23"/>
  <c r="AU92" i="23"/>
  <c r="AV92" i="23"/>
  <c r="AW92" i="23"/>
  <c r="AX92" i="23"/>
  <c r="AY92" i="23"/>
  <c r="AZ92" i="23"/>
  <c r="BA92" i="23"/>
  <c r="BB92" i="23"/>
  <c r="BC92" i="23"/>
  <c r="BD92" i="23"/>
  <c r="BE92" i="23"/>
  <c r="BF92" i="23"/>
  <c r="BG92" i="23"/>
  <c r="BH92" i="23"/>
  <c r="BI92" i="23"/>
  <c r="BJ92" i="23"/>
  <c r="BK92" i="23"/>
  <c r="BL92" i="23"/>
  <c r="BM92" i="23"/>
  <c r="BN92" i="23"/>
  <c r="BO92" i="23"/>
  <c r="BP92" i="23"/>
  <c r="BQ92" i="23"/>
  <c r="BR92" i="23"/>
  <c r="BS92" i="23"/>
  <c r="BT92" i="23"/>
  <c r="BU92" i="23"/>
  <c r="BV92" i="23"/>
  <c r="BW92" i="23"/>
  <c r="BX92" i="23"/>
  <c r="BY92" i="23"/>
  <c r="BZ92" i="23"/>
  <c r="CA92" i="23"/>
  <c r="CB92" i="23"/>
  <c r="CC92" i="23"/>
  <c r="CD92" i="23"/>
  <c r="CE92" i="23"/>
  <c r="CF92" i="23"/>
  <c r="CG92" i="23"/>
  <c r="CH92" i="23"/>
  <c r="CI92" i="23"/>
  <c r="CJ92" i="23"/>
  <c r="CK92" i="23"/>
  <c r="CL92" i="23"/>
  <c r="CM92" i="23"/>
  <c r="CN92" i="23"/>
  <c r="CO92" i="23"/>
  <c r="CP92" i="23"/>
  <c r="CQ92" i="23"/>
  <c r="CR92" i="23"/>
  <c r="CS92" i="23"/>
  <c r="CT92" i="23"/>
  <c r="CU92" i="23"/>
  <c r="CV92" i="23"/>
  <c r="CW92" i="23"/>
  <c r="CX92" i="23"/>
  <c r="CY92" i="23"/>
  <c r="CZ92" i="23"/>
  <c r="DA92" i="23"/>
  <c r="DB92" i="23"/>
  <c r="DC92" i="23"/>
  <c r="DD92" i="23"/>
  <c r="DE92" i="23"/>
  <c r="DF92" i="23"/>
  <c r="DG92" i="23"/>
  <c r="DH92" i="23"/>
  <c r="DI92" i="23"/>
  <c r="DJ92" i="23"/>
  <c r="DK92" i="23"/>
  <c r="DL92" i="23"/>
  <c r="DM92" i="23"/>
  <c r="DN92" i="23"/>
  <c r="DO92" i="23"/>
  <c r="DP92" i="23"/>
  <c r="DQ92" i="23"/>
  <c r="DR92" i="23"/>
  <c r="DS92" i="23"/>
  <c r="DT92" i="23"/>
  <c r="DU92" i="23"/>
  <c r="DV92" i="23"/>
  <c r="DW92" i="23"/>
  <c r="DX92" i="23"/>
  <c r="DY92" i="23"/>
  <c r="DZ92" i="23"/>
  <c r="EA92" i="23"/>
  <c r="EB92" i="23"/>
  <c r="EC92" i="23"/>
  <c r="ED92" i="23"/>
  <c r="EE92" i="23"/>
  <c r="EF92" i="23"/>
  <c r="EG92" i="23"/>
  <c r="EH92" i="23"/>
  <c r="EI92" i="23"/>
  <c r="EJ92" i="23"/>
  <c r="EK92" i="23"/>
  <c r="EL92" i="23"/>
  <c r="EM92" i="23"/>
  <c r="EN92" i="23"/>
  <c r="EO92" i="23"/>
  <c r="EP92" i="23"/>
  <c r="EQ92" i="23"/>
  <c r="ER92" i="23"/>
  <c r="ES92" i="23"/>
  <c r="ET92" i="23"/>
  <c r="EU92" i="23"/>
  <c r="EV92" i="23"/>
  <c r="EW92" i="23"/>
  <c r="EX92" i="23"/>
  <c r="EY92" i="23"/>
  <c r="EZ92" i="23"/>
  <c r="FA92" i="23"/>
  <c r="FB92" i="23"/>
  <c r="FC92" i="23"/>
  <c r="FD92" i="23"/>
  <c r="FE92" i="23"/>
  <c r="FF92" i="23"/>
  <c r="FG92" i="23"/>
  <c r="FH92" i="23"/>
  <c r="FI92" i="23"/>
  <c r="FJ92" i="23"/>
  <c r="FK92" i="23"/>
  <c r="FL92" i="23"/>
  <c r="FM92" i="23"/>
  <c r="FN92" i="23"/>
  <c r="FO92" i="23"/>
  <c r="FP92" i="23"/>
  <c r="FQ92" i="23"/>
  <c r="FR92" i="23"/>
  <c r="FS92" i="23"/>
  <c r="FT92" i="23"/>
  <c r="FU92" i="23"/>
  <c r="FV92" i="23"/>
  <c r="FW92" i="23"/>
  <c r="FX92" i="23"/>
  <c r="FY92" i="23"/>
  <c r="FZ92" i="23"/>
  <c r="GA92" i="23"/>
  <c r="GB92" i="23"/>
  <c r="GC92" i="23"/>
  <c r="GD92" i="23"/>
  <c r="GE92" i="23"/>
  <c r="GF92" i="23"/>
  <c r="GG92" i="23"/>
  <c r="GH92" i="23"/>
  <c r="GI92" i="23"/>
  <c r="GJ92" i="23"/>
  <c r="GK92" i="23"/>
  <c r="GL92" i="23"/>
  <c r="GM92" i="23"/>
  <c r="GN92" i="23"/>
  <c r="GO92" i="23"/>
  <c r="GP92" i="23"/>
  <c r="GQ92" i="23"/>
  <c r="GR92" i="23"/>
  <c r="GS92" i="23"/>
  <c r="GT92" i="23"/>
  <c r="GU92" i="23"/>
  <c r="GV92" i="23"/>
  <c r="GW92" i="23"/>
  <c r="GX92" i="23"/>
  <c r="GY92" i="23"/>
  <c r="GZ92" i="23"/>
  <c r="HA92" i="23"/>
  <c r="HB92" i="23"/>
  <c r="HC92" i="23"/>
  <c r="HD92" i="23"/>
  <c r="HE92" i="23"/>
  <c r="HF92" i="23"/>
  <c r="HG92" i="23"/>
  <c r="HH92" i="23"/>
  <c r="HI92" i="23"/>
  <c r="HJ92" i="23"/>
  <c r="HK92" i="23"/>
  <c r="HL92" i="23"/>
  <c r="HM92" i="23"/>
  <c r="HN92" i="23"/>
  <c r="HO92" i="23"/>
  <c r="HP92" i="23"/>
  <c r="HQ92" i="23"/>
  <c r="HR92" i="23"/>
  <c r="HS92" i="23"/>
  <c r="HT92" i="23"/>
  <c r="HU92" i="23"/>
  <c r="HV92" i="23"/>
  <c r="HW92" i="23"/>
  <c r="HX92" i="23"/>
  <c r="HY92" i="23"/>
  <c r="HZ92" i="23"/>
  <c r="IA92" i="23"/>
  <c r="IB92" i="23"/>
  <c r="IC92" i="23"/>
  <c r="ID92" i="23"/>
  <c r="IE92" i="23"/>
  <c r="IF92" i="23"/>
  <c r="IG92" i="23"/>
  <c r="IH92" i="23"/>
  <c r="II92" i="23"/>
  <c r="IJ92" i="23"/>
  <c r="IK92" i="23"/>
  <c r="IL92" i="23"/>
  <c r="IM92" i="23"/>
  <c r="IN92" i="23"/>
  <c r="IO92" i="23"/>
  <c r="IP92" i="23"/>
  <c r="IQ92" i="23"/>
  <c r="IR92" i="23"/>
  <c r="IS92" i="23"/>
  <c r="IT92" i="23"/>
  <c r="IU92" i="23"/>
  <c r="IV92" i="23"/>
  <c r="A91" i="23"/>
  <c r="B91" i="23"/>
  <c r="C91" i="23"/>
  <c r="D91" i="23"/>
  <c r="E91" i="23"/>
  <c r="F91" i="23"/>
  <c r="G91" i="23"/>
  <c r="H91" i="23"/>
  <c r="I91" i="23"/>
  <c r="J91" i="23"/>
  <c r="K91" i="23"/>
  <c r="L91" i="23"/>
  <c r="M91" i="23"/>
  <c r="N91" i="23"/>
  <c r="O91" i="23"/>
  <c r="P91" i="23"/>
  <c r="Q91" i="23"/>
  <c r="R91" i="23"/>
  <c r="S91" i="23"/>
  <c r="T91" i="23"/>
  <c r="U91" i="23"/>
  <c r="V91" i="23"/>
  <c r="W91" i="23"/>
  <c r="X91" i="23"/>
  <c r="Y91" i="23"/>
  <c r="Z91" i="23"/>
  <c r="AA91" i="23"/>
  <c r="AB91" i="23"/>
  <c r="AC91" i="23"/>
  <c r="AD91" i="23"/>
  <c r="AE91" i="23"/>
  <c r="AF91" i="23"/>
  <c r="AG91" i="23"/>
  <c r="AH91" i="23"/>
  <c r="AI91" i="23"/>
  <c r="AJ91" i="23"/>
  <c r="AK91" i="23"/>
  <c r="AL91" i="23"/>
  <c r="AM91" i="23"/>
  <c r="AN91" i="23"/>
  <c r="AO91" i="23"/>
  <c r="AP91" i="23"/>
  <c r="AQ91" i="23"/>
  <c r="AR91" i="23"/>
  <c r="AS91" i="23"/>
  <c r="AT91" i="23"/>
  <c r="AU91" i="23"/>
  <c r="AV91" i="23"/>
  <c r="AW91" i="23"/>
  <c r="AX91" i="23"/>
  <c r="AY91" i="23"/>
  <c r="AZ91" i="23"/>
  <c r="BA91" i="23"/>
  <c r="BB91" i="23"/>
  <c r="BC91" i="23"/>
  <c r="BD91" i="23"/>
  <c r="BE91" i="23"/>
  <c r="BF91" i="23"/>
  <c r="BG91" i="23"/>
  <c r="BH91" i="23"/>
  <c r="BI91" i="23"/>
  <c r="BJ91" i="23"/>
  <c r="BK91" i="23"/>
  <c r="BL91" i="23"/>
  <c r="BM91" i="23"/>
  <c r="BN91" i="23"/>
  <c r="BO91" i="23"/>
  <c r="BP91" i="23"/>
  <c r="BQ91" i="23"/>
  <c r="BR91" i="23"/>
  <c r="BS91" i="23"/>
  <c r="BT91" i="23"/>
  <c r="BU91" i="23"/>
  <c r="BV91" i="23"/>
  <c r="BW91" i="23"/>
  <c r="BX91" i="23"/>
  <c r="BY91" i="23"/>
  <c r="BZ91" i="23"/>
  <c r="CA91" i="23"/>
  <c r="CB91" i="23"/>
  <c r="CC91" i="23"/>
  <c r="CD91" i="23"/>
  <c r="CE91" i="23"/>
  <c r="CF91" i="23"/>
  <c r="CG91" i="23"/>
  <c r="CH91" i="23"/>
  <c r="CI91" i="23"/>
  <c r="CJ91" i="23"/>
  <c r="CK91" i="23"/>
  <c r="CL91" i="23"/>
  <c r="CM91" i="23"/>
  <c r="CN91" i="23"/>
  <c r="CO91" i="23"/>
  <c r="CP91" i="23"/>
  <c r="CQ91" i="23"/>
  <c r="CR91" i="23"/>
  <c r="CS91" i="23"/>
  <c r="CT91" i="23"/>
  <c r="CU91" i="23"/>
  <c r="CV91" i="23"/>
  <c r="CW91" i="23"/>
  <c r="CX91" i="23"/>
  <c r="CY91" i="23"/>
  <c r="CZ91" i="23"/>
  <c r="DA91" i="23"/>
  <c r="DB91" i="23"/>
  <c r="DC91" i="23"/>
  <c r="DD91" i="23"/>
  <c r="DE91" i="23"/>
  <c r="DF91" i="23"/>
  <c r="DG91" i="23"/>
  <c r="DH91" i="23"/>
  <c r="DI91" i="23"/>
  <c r="DJ91" i="23"/>
  <c r="DK91" i="23"/>
  <c r="DL91" i="23"/>
  <c r="DM91" i="23"/>
  <c r="DN91" i="23"/>
  <c r="DO91" i="23"/>
  <c r="DP91" i="23"/>
  <c r="DQ91" i="23"/>
  <c r="DR91" i="23"/>
  <c r="DS91" i="23"/>
  <c r="DT91" i="23"/>
  <c r="DU91" i="23"/>
  <c r="DV91" i="23"/>
  <c r="DW91" i="23"/>
  <c r="DX91" i="23"/>
  <c r="DY91" i="23"/>
  <c r="DZ91" i="23"/>
  <c r="EA91" i="23"/>
  <c r="EB91" i="23"/>
  <c r="EC91" i="23"/>
  <c r="ED91" i="23"/>
  <c r="EE91" i="23"/>
  <c r="EF91" i="23"/>
  <c r="EG91" i="23"/>
  <c r="EH91" i="23"/>
  <c r="EI91" i="23"/>
  <c r="EJ91" i="23"/>
  <c r="EK91" i="23"/>
  <c r="EL91" i="23"/>
  <c r="EM91" i="23"/>
  <c r="EN91" i="23"/>
  <c r="EO91" i="23"/>
  <c r="EP91" i="23"/>
  <c r="EQ91" i="23"/>
  <c r="ER91" i="23"/>
  <c r="ES91" i="23"/>
  <c r="ET91" i="23"/>
  <c r="EU91" i="23"/>
  <c r="EV91" i="23"/>
  <c r="EW91" i="23"/>
  <c r="EX91" i="23"/>
  <c r="EY91" i="23"/>
  <c r="EZ91" i="23"/>
  <c r="FA91" i="23"/>
  <c r="FB91" i="23"/>
  <c r="FC91" i="23"/>
  <c r="FD91" i="23"/>
  <c r="FE91" i="23"/>
  <c r="FF91" i="23"/>
  <c r="FG91" i="23"/>
  <c r="FH91" i="23"/>
  <c r="FI91" i="23"/>
  <c r="FJ91" i="23"/>
  <c r="FK91" i="23"/>
  <c r="FL91" i="23"/>
  <c r="FM91" i="23"/>
  <c r="FN91" i="23"/>
  <c r="FO91" i="23"/>
  <c r="FP91" i="23"/>
  <c r="FQ91" i="23"/>
  <c r="FR91" i="23"/>
  <c r="FS91" i="23"/>
  <c r="FT91" i="23"/>
  <c r="FU91" i="23"/>
  <c r="FV91" i="23"/>
  <c r="FW91" i="23"/>
  <c r="FX91" i="23"/>
  <c r="FY91" i="23"/>
  <c r="FZ91" i="23"/>
  <c r="GA91" i="23"/>
  <c r="GB91" i="23"/>
  <c r="GC91" i="23"/>
  <c r="GD91" i="23"/>
  <c r="GE91" i="23"/>
  <c r="GF91" i="23"/>
  <c r="GG91" i="23"/>
  <c r="GH91" i="23"/>
  <c r="GI91" i="23"/>
  <c r="GJ91" i="23"/>
  <c r="GK91" i="23"/>
  <c r="GL91" i="23"/>
  <c r="GM91" i="23"/>
  <c r="GN91" i="23"/>
  <c r="GO91" i="23"/>
  <c r="GP91" i="23"/>
  <c r="GQ91" i="23"/>
  <c r="GR91" i="23"/>
  <c r="GS91" i="23"/>
  <c r="GT91" i="23"/>
  <c r="GU91" i="23"/>
  <c r="GV91" i="23"/>
  <c r="GW91" i="23"/>
  <c r="GX91" i="23"/>
  <c r="GY91" i="23"/>
  <c r="GZ91" i="23"/>
  <c r="HA91" i="23"/>
  <c r="HB91" i="23"/>
  <c r="HC91" i="23"/>
  <c r="HD91" i="23"/>
  <c r="HE91" i="23"/>
  <c r="HF91" i="23"/>
  <c r="HG91" i="23"/>
  <c r="HH91" i="23"/>
  <c r="HI91" i="23"/>
  <c r="HJ91" i="23"/>
  <c r="HK91" i="23"/>
  <c r="HL91" i="23"/>
  <c r="HM91" i="23"/>
  <c r="HN91" i="23"/>
  <c r="HO91" i="23"/>
  <c r="HP91" i="23"/>
  <c r="HQ91" i="23"/>
  <c r="HR91" i="23"/>
  <c r="HS91" i="23"/>
  <c r="HT91" i="23"/>
  <c r="HU91" i="23"/>
  <c r="HV91" i="23"/>
  <c r="HW91" i="23"/>
  <c r="HX91" i="23"/>
  <c r="HY91" i="23"/>
  <c r="HZ91" i="23"/>
  <c r="IA91" i="23"/>
  <c r="IB91" i="23"/>
  <c r="IC91" i="23"/>
  <c r="ID91" i="23"/>
  <c r="IE91" i="23"/>
  <c r="IF91" i="23"/>
  <c r="IG91" i="23"/>
  <c r="IH91" i="23"/>
  <c r="II91" i="23"/>
  <c r="IJ91" i="23"/>
  <c r="IK91" i="23"/>
  <c r="IL91" i="23"/>
  <c r="IM91" i="23"/>
  <c r="IN91" i="23"/>
  <c r="IO91" i="23"/>
  <c r="IP91" i="23"/>
  <c r="IQ91" i="23"/>
  <c r="IR91" i="23"/>
  <c r="IS91" i="23"/>
  <c r="IT91" i="23"/>
  <c r="IU91" i="23"/>
  <c r="IV91" i="23"/>
  <c r="A90" i="23"/>
  <c r="B90" i="23"/>
  <c r="C90" i="23"/>
  <c r="D90" i="23"/>
  <c r="E90" i="23"/>
  <c r="F90" i="23"/>
  <c r="G90" i="23"/>
  <c r="H90" i="23"/>
  <c r="I90" i="23"/>
  <c r="J90" i="23"/>
  <c r="K90" i="23"/>
  <c r="L90" i="23"/>
  <c r="M90" i="23"/>
  <c r="N90" i="23"/>
  <c r="O90" i="23"/>
  <c r="P90" i="23"/>
  <c r="Q90" i="23"/>
  <c r="R90" i="23"/>
  <c r="S90" i="23"/>
  <c r="T90" i="23"/>
  <c r="U90" i="23"/>
  <c r="V90" i="23"/>
  <c r="W90" i="23"/>
  <c r="X90" i="23"/>
  <c r="Y90" i="23"/>
  <c r="Z90" i="23"/>
  <c r="AA90" i="23"/>
  <c r="AB90" i="23"/>
  <c r="AC90" i="23"/>
  <c r="AD90" i="23"/>
  <c r="AE90" i="23"/>
  <c r="AF90" i="23"/>
  <c r="AG90" i="23"/>
  <c r="AH90" i="23"/>
  <c r="AI90" i="23"/>
  <c r="AJ90" i="23"/>
  <c r="AK90" i="23"/>
  <c r="AL90" i="23"/>
  <c r="AM90" i="23"/>
  <c r="AN90" i="23"/>
  <c r="AO90" i="23"/>
  <c r="AP90" i="23"/>
  <c r="AQ90" i="23"/>
  <c r="AR90" i="23"/>
  <c r="AS90" i="23"/>
  <c r="AT90" i="23"/>
  <c r="AU90" i="23"/>
  <c r="AV90" i="23"/>
  <c r="AW90" i="23"/>
  <c r="AX90" i="23"/>
  <c r="AY90" i="23"/>
  <c r="AZ90" i="23"/>
  <c r="BA90" i="23"/>
  <c r="BB90" i="23"/>
  <c r="BC90" i="23"/>
  <c r="BD90" i="23"/>
  <c r="BE90" i="23"/>
  <c r="BF90" i="23"/>
  <c r="BG90" i="23"/>
  <c r="BH90" i="23"/>
  <c r="BI90" i="23"/>
  <c r="BJ90" i="23"/>
  <c r="BK90" i="23"/>
  <c r="BL90" i="23"/>
  <c r="BM90" i="23"/>
  <c r="BN90" i="23"/>
  <c r="BO90" i="23"/>
  <c r="BP90" i="23"/>
  <c r="BQ90" i="23"/>
  <c r="BR90" i="23"/>
  <c r="BS90" i="23"/>
  <c r="BT90" i="23"/>
  <c r="BU90" i="23"/>
  <c r="BV90" i="23"/>
  <c r="BW90" i="23"/>
  <c r="BX90" i="23"/>
  <c r="BY90" i="23"/>
  <c r="BZ90" i="23"/>
  <c r="CA90" i="23"/>
  <c r="CB90" i="23"/>
  <c r="CC90" i="23"/>
  <c r="CD90" i="23"/>
  <c r="CE90" i="23"/>
  <c r="CF90" i="23"/>
  <c r="CG90" i="23"/>
  <c r="CH90" i="23"/>
  <c r="CI90" i="23"/>
  <c r="CJ90" i="23"/>
  <c r="CK90" i="23"/>
  <c r="CL90" i="23"/>
  <c r="CM90" i="23"/>
  <c r="CN90" i="23"/>
  <c r="CO90" i="23"/>
  <c r="CP90" i="23"/>
  <c r="CQ90" i="23"/>
  <c r="CR90" i="23"/>
  <c r="CS90" i="23"/>
  <c r="CT90" i="23"/>
  <c r="CU90" i="23"/>
  <c r="CV90" i="23"/>
  <c r="CW90" i="23"/>
  <c r="CX90" i="23"/>
  <c r="CY90" i="23"/>
  <c r="CZ90" i="23"/>
  <c r="DA90" i="23"/>
  <c r="DB90" i="23"/>
  <c r="DC90" i="23"/>
  <c r="DD90" i="23"/>
  <c r="DE90" i="23"/>
  <c r="DF90" i="23"/>
  <c r="DG90" i="23"/>
  <c r="DH90" i="23"/>
  <c r="DI90" i="23"/>
  <c r="DJ90" i="23"/>
  <c r="DK90" i="23"/>
  <c r="DL90" i="23"/>
  <c r="DM90" i="23"/>
  <c r="DN90" i="23"/>
  <c r="DO90" i="23"/>
  <c r="DP90" i="23"/>
  <c r="DQ90" i="23"/>
  <c r="DR90" i="23"/>
  <c r="DS90" i="23"/>
  <c r="DT90" i="23"/>
  <c r="DU90" i="23"/>
  <c r="DV90" i="23"/>
  <c r="DW90" i="23"/>
  <c r="DX90" i="23"/>
  <c r="DY90" i="23"/>
  <c r="DZ90" i="23"/>
  <c r="EA90" i="23"/>
  <c r="EB90" i="23"/>
  <c r="EC90" i="23"/>
  <c r="ED90" i="23"/>
  <c r="EE90" i="23"/>
  <c r="EF90" i="23"/>
  <c r="EG90" i="23"/>
  <c r="EH90" i="23"/>
  <c r="EI90" i="23"/>
  <c r="EJ90" i="23"/>
  <c r="EK90" i="23"/>
  <c r="EL90" i="23"/>
  <c r="EM90" i="23"/>
  <c r="EN90" i="23"/>
  <c r="EO90" i="23"/>
  <c r="EP90" i="23"/>
  <c r="EQ90" i="23"/>
  <c r="ER90" i="23"/>
  <c r="ES90" i="23"/>
  <c r="ET90" i="23"/>
  <c r="EU90" i="23"/>
  <c r="EV90" i="23"/>
  <c r="EW90" i="23"/>
  <c r="EX90" i="23"/>
  <c r="EY90" i="23"/>
  <c r="EZ90" i="23"/>
  <c r="FA90" i="23"/>
  <c r="FB90" i="23"/>
  <c r="FC90" i="23"/>
  <c r="FD90" i="23"/>
  <c r="FE90" i="23"/>
  <c r="FF90" i="23"/>
  <c r="FG90" i="23"/>
  <c r="FH90" i="23"/>
  <c r="FI90" i="23"/>
  <c r="FJ90" i="23"/>
  <c r="FK90" i="23"/>
  <c r="FL90" i="23"/>
  <c r="FM90" i="23"/>
  <c r="FN90" i="23"/>
  <c r="FO90" i="23"/>
  <c r="FP90" i="23"/>
  <c r="FQ90" i="23"/>
  <c r="FR90" i="23"/>
  <c r="FS90" i="23"/>
  <c r="FT90" i="23"/>
  <c r="FU90" i="23"/>
  <c r="FV90" i="23"/>
  <c r="FW90" i="23"/>
  <c r="FX90" i="23"/>
  <c r="FY90" i="23"/>
  <c r="FZ90" i="23"/>
  <c r="GA90" i="23"/>
  <c r="GB90" i="23"/>
  <c r="GC90" i="23"/>
  <c r="GD90" i="23"/>
  <c r="GE90" i="23"/>
  <c r="GF90" i="23"/>
  <c r="GG90" i="23"/>
  <c r="GH90" i="23"/>
  <c r="GI90" i="23"/>
  <c r="GJ90" i="23"/>
  <c r="GK90" i="23"/>
  <c r="GL90" i="23"/>
  <c r="GM90" i="23"/>
  <c r="GN90" i="23"/>
  <c r="GO90" i="23"/>
  <c r="GP90" i="23"/>
  <c r="GQ90" i="23"/>
  <c r="GR90" i="23"/>
  <c r="GS90" i="23"/>
  <c r="GT90" i="23"/>
  <c r="GU90" i="23"/>
  <c r="GV90" i="23"/>
  <c r="GW90" i="23"/>
  <c r="GX90" i="23"/>
  <c r="GY90" i="23"/>
  <c r="GZ90" i="23"/>
  <c r="HA90" i="23"/>
  <c r="HB90" i="23"/>
  <c r="HC90" i="23"/>
  <c r="HD90" i="23"/>
  <c r="HE90" i="23"/>
  <c r="HF90" i="23"/>
  <c r="HG90" i="23"/>
  <c r="HH90" i="23"/>
  <c r="HI90" i="23"/>
  <c r="HJ90" i="23"/>
  <c r="HK90" i="23"/>
  <c r="HL90" i="23"/>
  <c r="HM90" i="23"/>
  <c r="HN90" i="23"/>
  <c r="HO90" i="23"/>
  <c r="HP90" i="23"/>
  <c r="HQ90" i="23"/>
  <c r="HR90" i="23"/>
  <c r="HS90" i="23"/>
  <c r="HT90" i="23"/>
  <c r="HU90" i="23"/>
  <c r="HV90" i="23"/>
  <c r="HW90" i="23"/>
  <c r="HX90" i="23"/>
  <c r="HY90" i="23"/>
  <c r="HZ90" i="23"/>
  <c r="IA90" i="23"/>
  <c r="IB90" i="23"/>
  <c r="IC90" i="23"/>
  <c r="ID90" i="23"/>
  <c r="IE90" i="23"/>
  <c r="IF90" i="23"/>
  <c r="IG90" i="23"/>
  <c r="IH90" i="23"/>
  <c r="II90" i="23"/>
  <c r="IJ90" i="23"/>
  <c r="IK90" i="23"/>
  <c r="IL90" i="23"/>
  <c r="IM90" i="23"/>
  <c r="IN90" i="23"/>
  <c r="IO90" i="23"/>
  <c r="IP90" i="23"/>
  <c r="IQ90" i="23"/>
  <c r="IR90" i="23"/>
  <c r="IS90" i="23"/>
  <c r="IT90" i="23"/>
  <c r="IU90" i="23"/>
  <c r="IV90" i="23"/>
  <c r="A89" i="23"/>
  <c r="B89" i="23"/>
  <c r="C89" i="23"/>
  <c r="D89" i="23"/>
  <c r="E89" i="23"/>
  <c r="F89" i="23"/>
  <c r="G89" i="23"/>
  <c r="H89" i="23"/>
  <c r="I89" i="23"/>
  <c r="J89" i="23"/>
  <c r="K89" i="23"/>
  <c r="L89" i="23"/>
  <c r="M89" i="23"/>
  <c r="N89" i="23"/>
  <c r="O89" i="23"/>
  <c r="P89" i="23"/>
  <c r="Q89" i="23"/>
  <c r="R89" i="23"/>
  <c r="S89" i="23"/>
  <c r="T89" i="23"/>
  <c r="U89" i="23"/>
  <c r="V89" i="23"/>
  <c r="W89" i="23"/>
  <c r="X89" i="23"/>
  <c r="Y89" i="23"/>
  <c r="Z89" i="23"/>
  <c r="AA89" i="23"/>
  <c r="AB89" i="23"/>
  <c r="AC89" i="23"/>
  <c r="AD89" i="23"/>
  <c r="AE89" i="23"/>
  <c r="AF89" i="23"/>
  <c r="AG89" i="23"/>
  <c r="AH89" i="23"/>
  <c r="AI89" i="23"/>
  <c r="AJ89" i="23"/>
  <c r="AK89" i="23"/>
  <c r="AL89" i="23"/>
  <c r="AM89" i="23"/>
  <c r="AN89" i="23"/>
  <c r="AO89" i="23"/>
  <c r="AP89" i="23"/>
  <c r="AQ89" i="23"/>
  <c r="AR89" i="23"/>
  <c r="AS89" i="23"/>
  <c r="AT89" i="23"/>
  <c r="AU89" i="23"/>
  <c r="AV89" i="23"/>
  <c r="AW89" i="23"/>
  <c r="AX89" i="23"/>
  <c r="AY89" i="23"/>
  <c r="AZ89" i="23"/>
  <c r="BA89" i="23"/>
  <c r="BB89" i="23"/>
  <c r="BC89" i="23"/>
  <c r="BD89" i="23"/>
  <c r="BE89" i="23"/>
  <c r="BF89" i="23"/>
  <c r="BG89" i="23"/>
  <c r="BH89" i="23"/>
  <c r="BI89" i="23"/>
  <c r="BJ89" i="23"/>
  <c r="BK89" i="23"/>
  <c r="BL89" i="23"/>
  <c r="BM89" i="23"/>
  <c r="BN89" i="23"/>
  <c r="BO89" i="23"/>
  <c r="BP89" i="23"/>
  <c r="BQ89" i="23"/>
  <c r="BR89" i="23"/>
  <c r="BS89" i="23"/>
  <c r="BT89" i="23"/>
  <c r="BU89" i="23"/>
  <c r="BV89" i="23"/>
  <c r="BW89" i="23"/>
  <c r="BX89" i="23"/>
  <c r="BY89" i="23"/>
  <c r="BZ89" i="23"/>
  <c r="CA89" i="23"/>
  <c r="CB89" i="23"/>
  <c r="CC89" i="23"/>
  <c r="CD89" i="23"/>
  <c r="CE89" i="23"/>
  <c r="CF89" i="23"/>
  <c r="CG89" i="23"/>
  <c r="CH89" i="23"/>
  <c r="CI89" i="23"/>
  <c r="CJ89" i="23"/>
  <c r="CK89" i="23"/>
  <c r="CL89" i="23"/>
  <c r="CM89" i="23"/>
  <c r="CN89" i="23"/>
  <c r="CO89" i="23"/>
  <c r="CP89" i="23"/>
  <c r="CQ89" i="23"/>
  <c r="CR89" i="23"/>
  <c r="CS89" i="23"/>
  <c r="CT89" i="23"/>
  <c r="CU89" i="23"/>
  <c r="CV89" i="23"/>
  <c r="CW89" i="23"/>
  <c r="CX89" i="23"/>
  <c r="CY89" i="23"/>
  <c r="CZ89" i="23"/>
  <c r="DA89" i="23"/>
  <c r="DB89" i="23"/>
  <c r="DC89" i="23"/>
  <c r="DD89" i="23"/>
  <c r="DE89" i="23"/>
  <c r="DF89" i="23"/>
  <c r="DG89" i="23"/>
  <c r="DH89" i="23"/>
  <c r="DI89" i="23"/>
  <c r="DJ89" i="23"/>
  <c r="DK89" i="23"/>
  <c r="DL89" i="23"/>
  <c r="DM89" i="23"/>
  <c r="DN89" i="23"/>
  <c r="DO89" i="23"/>
  <c r="DP89" i="23"/>
  <c r="DQ89" i="23"/>
  <c r="DR89" i="23"/>
  <c r="DS89" i="23"/>
  <c r="DT89" i="23"/>
  <c r="DU89" i="23"/>
  <c r="DV89" i="23"/>
  <c r="DW89" i="23"/>
  <c r="DX89" i="23"/>
  <c r="DY89" i="23"/>
  <c r="DZ89" i="23"/>
  <c r="EA89" i="23"/>
  <c r="EB89" i="23"/>
  <c r="EC89" i="23"/>
  <c r="ED89" i="23"/>
  <c r="EE89" i="23"/>
  <c r="EF89" i="23"/>
  <c r="EG89" i="23"/>
  <c r="EH89" i="23"/>
  <c r="EI89" i="23"/>
  <c r="EJ89" i="23"/>
  <c r="EK89" i="23"/>
  <c r="EL89" i="23"/>
  <c r="EM89" i="23"/>
  <c r="EN89" i="23"/>
  <c r="EO89" i="23"/>
  <c r="EP89" i="23"/>
  <c r="EQ89" i="23"/>
  <c r="ER89" i="23"/>
  <c r="ES89" i="23"/>
  <c r="ET89" i="23"/>
  <c r="EU89" i="23"/>
  <c r="EV89" i="23"/>
  <c r="EW89" i="23"/>
  <c r="EX89" i="23"/>
  <c r="EY89" i="23"/>
  <c r="EZ89" i="23"/>
  <c r="FA89" i="23"/>
  <c r="FB89" i="23"/>
  <c r="FC89" i="23"/>
  <c r="FD89" i="23"/>
  <c r="FE89" i="23"/>
  <c r="FF89" i="23"/>
  <c r="FG89" i="23"/>
  <c r="FH89" i="23"/>
  <c r="FI89" i="23"/>
  <c r="FJ89" i="23"/>
  <c r="FK89" i="23"/>
  <c r="FL89" i="23"/>
  <c r="FM89" i="23"/>
  <c r="FN89" i="23"/>
  <c r="FO89" i="23"/>
  <c r="FP89" i="23"/>
  <c r="FQ89" i="23"/>
  <c r="FR89" i="23"/>
  <c r="FS89" i="23"/>
  <c r="FT89" i="23"/>
  <c r="FU89" i="23"/>
  <c r="FV89" i="23"/>
  <c r="FW89" i="23"/>
  <c r="FX89" i="23"/>
  <c r="FY89" i="23"/>
  <c r="FZ89" i="23"/>
  <c r="GA89" i="23"/>
  <c r="GB89" i="23"/>
  <c r="GC89" i="23"/>
  <c r="GD89" i="23"/>
  <c r="GE89" i="23"/>
  <c r="GF89" i="23"/>
  <c r="GG89" i="23"/>
  <c r="GH89" i="23"/>
  <c r="GI89" i="23"/>
  <c r="GJ89" i="23"/>
  <c r="GK89" i="23"/>
  <c r="GL89" i="23"/>
  <c r="GM89" i="23"/>
  <c r="GN89" i="23"/>
  <c r="GO89" i="23"/>
  <c r="GP89" i="23"/>
  <c r="GQ89" i="23"/>
  <c r="GR89" i="23"/>
  <c r="GS89" i="23"/>
  <c r="GT89" i="23"/>
  <c r="GU89" i="23"/>
  <c r="GV89" i="23"/>
  <c r="GW89" i="23"/>
  <c r="GX89" i="23"/>
  <c r="GY89" i="23"/>
  <c r="GZ89" i="23"/>
  <c r="HA89" i="23"/>
  <c r="HB89" i="23"/>
  <c r="HC89" i="23"/>
  <c r="HD89" i="23"/>
  <c r="HE89" i="23"/>
  <c r="HF89" i="23"/>
  <c r="HG89" i="23"/>
  <c r="HH89" i="23"/>
  <c r="HI89" i="23"/>
  <c r="HJ89" i="23"/>
  <c r="HK89" i="23"/>
  <c r="HL89" i="23"/>
  <c r="HM89" i="23"/>
  <c r="HN89" i="23"/>
  <c r="HO89" i="23"/>
  <c r="HP89" i="23"/>
  <c r="HQ89" i="23"/>
  <c r="HR89" i="23"/>
  <c r="HS89" i="23"/>
  <c r="HT89" i="23"/>
  <c r="HU89" i="23"/>
  <c r="HV89" i="23"/>
  <c r="HW89" i="23"/>
  <c r="HX89" i="23"/>
  <c r="HY89" i="23"/>
  <c r="HZ89" i="23"/>
  <c r="IA89" i="23"/>
  <c r="IB89" i="23"/>
  <c r="IC89" i="23"/>
  <c r="ID89" i="23"/>
  <c r="IE89" i="23"/>
  <c r="IF89" i="23"/>
  <c r="IG89" i="23"/>
  <c r="IH89" i="23"/>
  <c r="II89" i="23"/>
  <c r="IJ89" i="23"/>
  <c r="IK89" i="23"/>
  <c r="IL89" i="23"/>
  <c r="IM89" i="23"/>
  <c r="IN89" i="23"/>
  <c r="IO89" i="23"/>
  <c r="IP89" i="23"/>
  <c r="IQ89" i="23"/>
  <c r="IR89" i="23"/>
  <c r="IS89" i="23"/>
  <c r="IT89" i="23"/>
  <c r="IU89" i="23"/>
  <c r="IV89" i="23"/>
  <c r="A88" i="23"/>
  <c r="B88" i="23"/>
  <c r="C88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T88" i="23"/>
  <c r="U88" i="23"/>
  <c r="V88" i="23"/>
  <c r="W88" i="23"/>
  <c r="X88" i="23"/>
  <c r="Y88" i="23"/>
  <c r="Z88" i="23"/>
  <c r="AA88" i="23"/>
  <c r="AB88" i="23"/>
  <c r="AC88" i="23"/>
  <c r="AD88" i="23"/>
  <c r="AE88" i="23"/>
  <c r="AF88" i="23"/>
  <c r="AG88" i="23"/>
  <c r="AH88" i="23"/>
  <c r="AI88" i="23"/>
  <c r="AJ88" i="23"/>
  <c r="AK88" i="23"/>
  <c r="AL88" i="23"/>
  <c r="AM88" i="23"/>
  <c r="AN88" i="23"/>
  <c r="AO88" i="23"/>
  <c r="AP88" i="23"/>
  <c r="AQ88" i="23"/>
  <c r="AR88" i="23"/>
  <c r="AS88" i="23"/>
  <c r="AT88" i="23"/>
  <c r="AU88" i="23"/>
  <c r="AV88" i="23"/>
  <c r="AW88" i="23"/>
  <c r="AX88" i="23"/>
  <c r="AY88" i="23"/>
  <c r="AZ88" i="23"/>
  <c r="BA88" i="23"/>
  <c r="BB88" i="23"/>
  <c r="BC88" i="23"/>
  <c r="BD88" i="23"/>
  <c r="BE88" i="23"/>
  <c r="BF88" i="23"/>
  <c r="BG88" i="23"/>
  <c r="BH88" i="23"/>
  <c r="BI88" i="23"/>
  <c r="BJ88" i="23"/>
  <c r="BK88" i="23"/>
  <c r="BL88" i="23"/>
  <c r="BM88" i="23"/>
  <c r="BN88" i="23"/>
  <c r="BO88" i="23"/>
  <c r="BP88" i="23"/>
  <c r="BQ88" i="23"/>
  <c r="BR88" i="23"/>
  <c r="BS88" i="23"/>
  <c r="BT88" i="23"/>
  <c r="BU88" i="23"/>
  <c r="BV88" i="23"/>
  <c r="BW88" i="23"/>
  <c r="BX88" i="23"/>
  <c r="BY88" i="23"/>
  <c r="BZ88" i="23"/>
  <c r="CA88" i="23"/>
  <c r="CB88" i="23"/>
  <c r="CC88" i="23"/>
  <c r="CD88" i="23"/>
  <c r="CE88" i="23"/>
  <c r="CF88" i="23"/>
  <c r="CG88" i="23"/>
  <c r="CH88" i="23"/>
  <c r="CI88" i="23"/>
  <c r="CJ88" i="23"/>
  <c r="CK88" i="23"/>
  <c r="CL88" i="23"/>
  <c r="CM88" i="23"/>
  <c r="CN88" i="23"/>
  <c r="CO88" i="23"/>
  <c r="CP88" i="23"/>
  <c r="CQ88" i="23"/>
  <c r="CR88" i="23"/>
  <c r="CS88" i="23"/>
  <c r="CT88" i="23"/>
  <c r="CU88" i="23"/>
  <c r="CV88" i="23"/>
  <c r="CW88" i="23"/>
  <c r="CX88" i="23"/>
  <c r="CY88" i="23"/>
  <c r="CZ88" i="23"/>
  <c r="DA88" i="23"/>
  <c r="DB88" i="23"/>
  <c r="DC88" i="23"/>
  <c r="DD88" i="23"/>
  <c r="DE88" i="23"/>
  <c r="DF88" i="23"/>
  <c r="DG88" i="23"/>
  <c r="DH88" i="23"/>
  <c r="DI88" i="23"/>
  <c r="DJ88" i="23"/>
  <c r="DK88" i="23"/>
  <c r="DL88" i="23"/>
  <c r="DM88" i="23"/>
  <c r="DN88" i="23"/>
  <c r="DO88" i="23"/>
  <c r="DP88" i="23"/>
  <c r="DQ88" i="23"/>
  <c r="DR88" i="23"/>
  <c r="DS88" i="23"/>
  <c r="DT88" i="23"/>
  <c r="DU88" i="23"/>
  <c r="DV88" i="23"/>
  <c r="DW88" i="23"/>
  <c r="DX88" i="23"/>
  <c r="DY88" i="23"/>
  <c r="DZ88" i="23"/>
  <c r="EA88" i="23"/>
  <c r="EB88" i="23"/>
  <c r="EC88" i="23"/>
  <c r="ED88" i="23"/>
  <c r="EE88" i="23"/>
  <c r="EF88" i="23"/>
  <c r="EG88" i="23"/>
  <c r="EH88" i="23"/>
  <c r="EI88" i="23"/>
  <c r="EJ88" i="23"/>
  <c r="EK88" i="23"/>
  <c r="EL88" i="23"/>
  <c r="EM88" i="23"/>
  <c r="EN88" i="23"/>
  <c r="EO88" i="23"/>
  <c r="EP88" i="23"/>
  <c r="EQ88" i="23"/>
  <c r="ER88" i="23"/>
  <c r="ES88" i="23"/>
  <c r="ET88" i="23"/>
  <c r="EU88" i="23"/>
  <c r="EV88" i="23"/>
  <c r="EW88" i="23"/>
  <c r="EX88" i="23"/>
  <c r="EY88" i="23"/>
  <c r="EZ88" i="23"/>
  <c r="FA88" i="23"/>
  <c r="FB88" i="23"/>
  <c r="FF88" i="23"/>
  <c r="FG88" i="23"/>
  <c r="FH88" i="23"/>
  <c r="FI88" i="23"/>
  <c r="FJ88" i="23"/>
  <c r="FK88" i="23"/>
  <c r="FL88" i="23"/>
  <c r="FM88" i="23"/>
  <c r="FN88" i="23"/>
  <c r="FO88" i="23"/>
  <c r="FP88" i="23"/>
  <c r="FQ88" i="23"/>
  <c r="FR88" i="23"/>
  <c r="FS88" i="23"/>
  <c r="FT88" i="23"/>
  <c r="FU88" i="23"/>
  <c r="FV88" i="23"/>
  <c r="FW88" i="23"/>
  <c r="FX88" i="23"/>
  <c r="FY88" i="23"/>
  <c r="FZ88" i="23"/>
  <c r="GA88" i="23"/>
  <c r="GB88" i="23"/>
  <c r="GC88" i="23"/>
  <c r="GD88" i="23"/>
  <c r="GE88" i="23"/>
  <c r="GF88" i="23"/>
  <c r="GG88" i="23"/>
  <c r="GH88" i="23"/>
  <c r="GI88" i="23"/>
  <c r="GJ88" i="23"/>
  <c r="GK88" i="23"/>
  <c r="GL88" i="23"/>
  <c r="GM88" i="23"/>
  <c r="GN88" i="23"/>
  <c r="GO88" i="23"/>
  <c r="GP88" i="23"/>
  <c r="GQ88" i="23"/>
  <c r="GR88" i="23"/>
  <c r="GS88" i="23"/>
  <c r="GT88" i="23"/>
  <c r="GU88" i="23"/>
  <c r="GV88" i="23"/>
  <c r="GW88" i="23"/>
  <c r="GX88" i="23"/>
  <c r="GY88" i="23"/>
  <c r="GZ88" i="23"/>
  <c r="HA88" i="23"/>
  <c r="HB88" i="23"/>
  <c r="HC88" i="23"/>
  <c r="HD88" i="23"/>
  <c r="HE88" i="23"/>
  <c r="HF88" i="23"/>
  <c r="HG88" i="23"/>
  <c r="HH88" i="23"/>
  <c r="HI88" i="23"/>
  <c r="HJ88" i="23"/>
  <c r="HK88" i="23"/>
  <c r="HL88" i="23"/>
  <c r="HM88" i="23"/>
  <c r="HN88" i="23"/>
  <c r="HO88" i="23"/>
  <c r="HP88" i="23"/>
  <c r="HQ88" i="23"/>
  <c r="HR88" i="23"/>
  <c r="HS88" i="23"/>
  <c r="HT88" i="23"/>
  <c r="HU88" i="23"/>
  <c r="HV88" i="23"/>
  <c r="HW88" i="23"/>
  <c r="HX88" i="23"/>
  <c r="HY88" i="23"/>
  <c r="HZ88" i="23"/>
  <c r="IA88" i="23"/>
  <c r="IB88" i="23"/>
  <c r="IC88" i="23"/>
  <c r="ID88" i="23"/>
  <c r="IE88" i="23"/>
  <c r="IF88" i="23"/>
  <c r="IG88" i="23"/>
  <c r="IH88" i="23"/>
  <c r="II88" i="23"/>
  <c r="IJ88" i="23"/>
  <c r="IK88" i="23"/>
  <c r="IL88" i="23"/>
  <c r="IM88" i="23"/>
  <c r="IN88" i="23"/>
  <c r="IO88" i="23"/>
  <c r="IP88" i="23"/>
  <c r="IQ88" i="23"/>
  <c r="IR88" i="23"/>
  <c r="IS88" i="23"/>
  <c r="IT88" i="23"/>
  <c r="IU88" i="23"/>
  <c r="IV88" i="23"/>
  <c r="A87" i="23"/>
  <c r="B87" i="23"/>
  <c r="C87" i="23"/>
  <c r="D87" i="23"/>
  <c r="E87" i="23"/>
  <c r="F87" i="23"/>
  <c r="G87" i="23"/>
  <c r="H87" i="23"/>
  <c r="I87" i="23"/>
  <c r="J87" i="23"/>
  <c r="K87" i="23"/>
  <c r="L87" i="23"/>
  <c r="M87" i="23"/>
  <c r="N87" i="23"/>
  <c r="O87" i="23"/>
  <c r="P87" i="23"/>
  <c r="Q87" i="23"/>
  <c r="R87" i="23"/>
  <c r="S87" i="23"/>
  <c r="T87" i="23"/>
  <c r="U87" i="23"/>
  <c r="V87" i="23"/>
  <c r="W87" i="23"/>
  <c r="X87" i="23"/>
  <c r="Y87" i="23"/>
  <c r="Z87" i="23"/>
  <c r="AA87" i="23"/>
  <c r="AB87" i="23"/>
  <c r="AC87" i="23"/>
  <c r="AD87" i="23"/>
  <c r="AE87" i="23"/>
  <c r="AF87" i="23"/>
  <c r="AG87" i="23"/>
  <c r="AH87" i="23"/>
  <c r="AI87" i="23"/>
  <c r="AJ87" i="23"/>
  <c r="AK87" i="23"/>
  <c r="AL87" i="23"/>
  <c r="AM87" i="23"/>
  <c r="AN87" i="23"/>
  <c r="AO87" i="23"/>
  <c r="AP87" i="23"/>
  <c r="AQ87" i="23"/>
  <c r="AR87" i="23"/>
  <c r="AS87" i="23"/>
  <c r="AT87" i="23"/>
  <c r="AU87" i="23"/>
  <c r="AV87" i="23"/>
  <c r="AW87" i="23"/>
  <c r="AX87" i="23"/>
  <c r="AY87" i="23"/>
  <c r="AZ87" i="23"/>
  <c r="BA87" i="23"/>
  <c r="BB87" i="23"/>
  <c r="BC87" i="23"/>
  <c r="BD87" i="23"/>
  <c r="BE87" i="23"/>
  <c r="BF87" i="23"/>
  <c r="BG87" i="23"/>
  <c r="BH87" i="23"/>
  <c r="BI87" i="23"/>
  <c r="BJ87" i="23"/>
  <c r="BK87" i="23"/>
  <c r="BL87" i="23"/>
  <c r="BM87" i="23"/>
  <c r="BN87" i="23"/>
  <c r="BO87" i="23"/>
  <c r="BP87" i="23"/>
  <c r="BQ87" i="23"/>
  <c r="BR87" i="23"/>
  <c r="BS87" i="23"/>
  <c r="BT87" i="23"/>
  <c r="BU87" i="23"/>
  <c r="BV87" i="23"/>
  <c r="BW87" i="23"/>
  <c r="BX87" i="23"/>
  <c r="BY87" i="23"/>
  <c r="BZ87" i="23"/>
  <c r="CA87" i="23"/>
  <c r="CB87" i="23"/>
  <c r="CC87" i="23"/>
  <c r="CD87" i="23"/>
  <c r="CE87" i="23"/>
  <c r="CF87" i="23"/>
  <c r="CG87" i="23"/>
  <c r="CH87" i="23"/>
  <c r="CI87" i="23"/>
  <c r="CJ87" i="23"/>
  <c r="CK87" i="23"/>
  <c r="CL87" i="23"/>
  <c r="CM87" i="23"/>
  <c r="CN87" i="23"/>
  <c r="CO87" i="23"/>
  <c r="CP87" i="23"/>
  <c r="CQ87" i="23"/>
  <c r="CR87" i="23"/>
  <c r="CS87" i="23"/>
  <c r="CT87" i="23"/>
  <c r="CU87" i="23"/>
  <c r="CV87" i="23"/>
  <c r="CW87" i="23"/>
  <c r="CX87" i="23"/>
  <c r="CY87" i="23"/>
  <c r="CZ87" i="23"/>
  <c r="DA87" i="23"/>
  <c r="DB87" i="23"/>
  <c r="DC87" i="23"/>
  <c r="DD87" i="23"/>
  <c r="DE87" i="23"/>
  <c r="DF87" i="23"/>
  <c r="DG87" i="23"/>
  <c r="DH87" i="23"/>
  <c r="DI87" i="23"/>
  <c r="DJ87" i="23"/>
  <c r="DK87" i="23"/>
  <c r="DL87" i="23"/>
  <c r="DM87" i="23"/>
  <c r="DN87" i="23"/>
  <c r="DO87" i="23"/>
  <c r="DP87" i="23"/>
  <c r="DQ87" i="23"/>
  <c r="DR87" i="23"/>
  <c r="DS87" i="23"/>
  <c r="DT87" i="23"/>
  <c r="DU87" i="23"/>
  <c r="DV87" i="23"/>
  <c r="DW87" i="23"/>
  <c r="DX87" i="23"/>
  <c r="DY87" i="23"/>
  <c r="DZ87" i="23"/>
  <c r="EA87" i="23"/>
  <c r="EB87" i="23"/>
  <c r="EC87" i="23"/>
  <c r="ED87" i="23"/>
  <c r="EE87" i="23"/>
  <c r="EF87" i="23"/>
  <c r="EG87" i="23"/>
  <c r="EH87" i="23"/>
  <c r="EI87" i="23"/>
  <c r="EJ87" i="23"/>
  <c r="EK87" i="23"/>
  <c r="EL87" i="23"/>
  <c r="EM87" i="23"/>
  <c r="EN87" i="23"/>
  <c r="EO87" i="23"/>
  <c r="EP87" i="23"/>
  <c r="EQ87" i="23"/>
  <c r="ER87" i="23"/>
  <c r="ES87" i="23"/>
  <c r="ET87" i="23"/>
  <c r="EU87" i="23"/>
  <c r="EV87" i="23"/>
  <c r="EW87" i="23"/>
  <c r="EX87" i="23"/>
  <c r="EY87" i="23"/>
  <c r="EZ87" i="23"/>
  <c r="FA87" i="23"/>
  <c r="FB87" i="23"/>
  <c r="FC87" i="23"/>
  <c r="FD87" i="23"/>
  <c r="FE87" i="23"/>
  <c r="FF87" i="23"/>
  <c r="FG87" i="23"/>
  <c r="FH87" i="23"/>
  <c r="FI87" i="23"/>
  <c r="FJ87" i="23"/>
  <c r="FK87" i="23"/>
  <c r="FL87" i="23"/>
  <c r="FM87" i="23"/>
  <c r="FN87" i="23"/>
  <c r="FO87" i="23"/>
  <c r="FP87" i="23"/>
  <c r="FQ87" i="23"/>
  <c r="FR87" i="23"/>
  <c r="FS87" i="23"/>
  <c r="FT87" i="23"/>
  <c r="FU87" i="23"/>
  <c r="FV87" i="23"/>
  <c r="FW87" i="23"/>
  <c r="FX87" i="23"/>
  <c r="FY87" i="23"/>
  <c r="FZ87" i="23"/>
  <c r="GA87" i="23"/>
  <c r="GB87" i="23"/>
  <c r="GC87" i="23"/>
  <c r="GD87" i="23"/>
  <c r="GE87" i="23"/>
  <c r="GF87" i="23"/>
  <c r="GG87" i="23"/>
  <c r="GH87" i="23"/>
  <c r="GI87" i="23"/>
  <c r="GJ87" i="23"/>
  <c r="GK87" i="23"/>
  <c r="GL87" i="23"/>
  <c r="GM87" i="23"/>
  <c r="GN87" i="23"/>
  <c r="GO87" i="23"/>
  <c r="GP87" i="23"/>
  <c r="GQ87" i="23"/>
  <c r="GR87" i="23"/>
  <c r="GS87" i="23"/>
  <c r="GT87" i="23"/>
  <c r="GU87" i="23"/>
  <c r="GV87" i="23"/>
  <c r="GW87" i="23"/>
  <c r="GX87" i="23"/>
  <c r="GY87" i="23"/>
  <c r="GZ87" i="23"/>
  <c r="HA87" i="23"/>
  <c r="HB87" i="23"/>
  <c r="HC87" i="23"/>
  <c r="HD87" i="23"/>
  <c r="HE87" i="23"/>
  <c r="HF87" i="23"/>
  <c r="HG87" i="23"/>
  <c r="HH87" i="23"/>
  <c r="HI87" i="23"/>
  <c r="HJ87" i="23"/>
  <c r="HK87" i="23"/>
  <c r="HL87" i="23"/>
  <c r="HM87" i="23"/>
  <c r="HN87" i="23"/>
  <c r="HO87" i="23"/>
  <c r="HP87" i="23"/>
  <c r="HQ87" i="23"/>
  <c r="HR87" i="23"/>
  <c r="HS87" i="23"/>
  <c r="HT87" i="23"/>
  <c r="HU87" i="23"/>
  <c r="HV87" i="23"/>
  <c r="HW87" i="23"/>
  <c r="HX87" i="23"/>
  <c r="HY87" i="23"/>
  <c r="HZ87" i="23"/>
  <c r="IA87" i="23"/>
  <c r="IB87" i="23"/>
  <c r="IC87" i="23"/>
  <c r="ID87" i="23"/>
  <c r="IE87" i="23"/>
  <c r="IF87" i="23"/>
  <c r="IG87" i="23"/>
  <c r="IH87" i="23"/>
  <c r="II87" i="23"/>
  <c r="IJ87" i="23"/>
  <c r="IK87" i="23"/>
  <c r="IL87" i="23"/>
  <c r="IM87" i="23"/>
  <c r="IN87" i="23"/>
  <c r="IO87" i="23"/>
  <c r="IP87" i="23"/>
  <c r="IQ87" i="23"/>
  <c r="IR87" i="23"/>
  <c r="IS87" i="23"/>
  <c r="IT87" i="23"/>
  <c r="IU87" i="23"/>
  <c r="IV87" i="23"/>
  <c r="A86" i="23"/>
  <c r="B86" i="23"/>
  <c r="C86" i="23"/>
  <c r="D86" i="23"/>
  <c r="E86" i="23"/>
  <c r="F86" i="23"/>
  <c r="G86" i="23"/>
  <c r="H86" i="23"/>
  <c r="I86" i="23"/>
  <c r="J86" i="23"/>
  <c r="K86" i="23"/>
  <c r="L86" i="23"/>
  <c r="M86" i="23"/>
  <c r="O86" i="23"/>
  <c r="P86" i="23"/>
  <c r="Q86" i="23"/>
  <c r="R86" i="23"/>
  <c r="S86" i="23"/>
  <c r="T86" i="23"/>
  <c r="U86" i="23"/>
  <c r="V86" i="23"/>
  <c r="W86" i="23"/>
  <c r="X86" i="23"/>
  <c r="Y86" i="23"/>
  <c r="Z86" i="23"/>
  <c r="AA86" i="23"/>
  <c r="AB86" i="23"/>
  <c r="AC86" i="23"/>
  <c r="AD86" i="23"/>
  <c r="AE86" i="23"/>
  <c r="AF86" i="23"/>
  <c r="AG86" i="23"/>
  <c r="AH86" i="23"/>
  <c r="AI86" i="23"/>
  <c r="AJ86" i="23"/>
  <c r="AK86" i="23"/>
  <c r="AL86" i="23"/>
  <c r="AM86" i="23"/>
  <c r="AN86" i="23"/>
  <c r="AO86" i="23"/>
  <c r="AP86" i="23"/>
  <c r="AQ86" i="23"/>
  <c r="AR86" i="23"/>
  <c r="AS86" i="23"/>
  <c r="AT86" i="23"/>
  <c r="AU86" i="23"/>
  <c r="AV86" i="23"/>
  <c r="AW86" i="23"/>
  <c r="AX86" i="23"/>
  <c r="AY86" i="23"/>
  <c r="AZ86" i="23"/>
  <c r="BA86" i="23"/>
  <c r="BB86" i="23"/>
  <c r="BC86" i="23"/>
  <c r="BD86" i="23"/>
  <c r="BE86" i="23"/>
  <c r="BF86" i="23"/>
  <c r="BG86" i="23"/>
  <c r="BH86" i="23"/>
  <c r="BI86" i="23"/>
  <c r="BJ86" i="23"/>
  <c r="BK86" i="23"/>
  <c r="BL86" i="23"/>
  <c r="BM86" i="23"/>
  <c r="BN86" i="23"/>
  <c r="BO86" i="23"/>
  <c r="BP86" i="23"/>
  <c r="BQ86" i="23"/>
  <c r="BR86" i="23"/>
  <c r="BS86" i="23"/>
  <c r="BT86" i="23"/>
  <c r="BU86" i="23"/>
  <c r="BV86" i="23"/>
  <c r="BW86" i="23"/>
  <c r="BX86" i="23"/>
  <c r="BY86" i="23"/>
  <c r="BZ86" i="23"/>
  <c r="CA86" i="23"/>
  <c r="CB86" i="23"/>
  <c r="CC86" i="23"/>
  <c r="CD86" i="23"/>
  <c r="CE86" i="23"/>
  <c r="CF86" i="23"/>
  <c r="CG86" i="23"/>
  <c r="CH86" i="23"/>
  <c r="CI86" i="23"/>
  <c r="CJ86" i="23"/>
  <c r="CK86" i="23"/>
  <c r="CL86" i="23"/>
  <c r="CM86" i="23"/>
  <c r="CN86" i="23"/>
  <c r="CO86" i="23"/>
  <c r="CP86" i="23"/>
  <c r="CQ86" i="23"/>
  <c r="CR86" i="23"/>
  <c r="CS86" i="23"/>
  <c r="CT86" i="23"/>
  <c r="CU86" i="23"/>
  <c r="CV86" i="23"/>
  <c r="CW86" i="23"/>
  <c r="CX86" i="23"/>
  <c r="CY86" i="23"/>
  <c r="CZ86" i="23"/>
  <c r="DA86" i="23"/>
  <c r="DB86" i="23"/>
  <c r="DC86" i="23"/>
  <c r="DD86" i="23"/>
  <c r="DE86" i="23"/>
  <c r="DF86" i="23"/>
  <c r="DG86" i="23"/>
  <c r="DH86" i="23"/>
  <c r="DI86" i="23"/>
  <c r="DJ86" i="23"/>
  <c r="DK86" i="23"/>
  <c r="DL86" i="23"/>
  <c r="DM86" i="23"/>
  <c r="DN86" i="23"/>
  <c r="DO86" i="23"/>
  <c r="DP86" i="23"/>
  <c r="DQ86" i="23"/>
  <c r="DR86" i="23"/>
  <c r="DS86" i="23"/>
  <c r="DT86" i="23"/>
  <c r="DU86" i="23"/>
  <c r="DV86" i="23"/>
  <c r="DW86" i="23"/>
  <c r="DX86" i="23"/>
  <c r="DY86" i="23"/>
  <c r="DZ86" i="23"/>
  <c r="EA86" i="23"/>
  <c r="EB86" i="23"/>
  <c r="EC86" i="23"/>
  <c r="ED86" i="23"/>
  <c r="EE86" i="23"/>
  <c r="EF86" i="23"/>
  <c r="EG86" i="23"/>
  <c r="EH86" i="23"/>
  <c r="EI86" i="23"/>
  <c r="EJ86" i="23"/>
  <c r="EK86" i="23"/>
  <c r="EL86" i="23"/>
  <c r="EM86" i="23"/>
  <c r="EN86" i="23"/>
  <c r="EO86" i="23"/>
  <c r="EP86" i="23"/>
  <c r="EQ86" i="23"/>
  <c r="ER86" i="23"/>
  <c r="ES86" i="23"/>
  <c r="ET86" i="23"/>
  <c r="EU86" i="23"/>
  <c r="EV86" i="23"/>
  <c r="EW86" i="23"/>
  <c r="EX86" i="23"/>
  <c r="EY86" i="23"/>
  <c r="EZ86" i="23"/>
  <c r="FA86" i="23"/>
  <c r="FB86" i="23"/>
  <c r="FC86" i="23"/>
  <c r="FD86" i="23"/>
  <c r="FE86" i="23"/>
  <c r="FF86" i="23"/>
  <c r="FG86" i="23"/>
  <c r="FH86" i="23"/>
  <c r="FI86" i="23"/>
  <c r="FJ86" i="23"/>
  <c r="FK86" i="23"/>
  <c r="FL86" i="23"/>
  <c r="FM86" i="23"/>
  <c r="FN86" i="23"/>
  <c r="FO86" i="23"/>
  <c r="FP86" i="23"/>
  <c r="FQ86" i="23"/>
  <c r="FR86" i="23"/>
  <c r="FS86" i="23"/>
  <c r="FT86" i="23"/>
  <c r="FU86" i="23"/>
  <c r="FV86" i="23"/>
  <c r="FW86" i="23"/>
  <c r="FX86" i="23"/>
  <c r="FY86" i="23"/>
  <c r="FZ86" i="23"/>
  <c r="GA86" i="23"/>
  <c r="GB86" i="23"/>
  <c r="GC86" i="23"/>
  <c r="GD86" i="23"/>
  <c r="GE86" i="23"/>
  <c r="GF86" i="23"/>
  <c r="GG86" i="23"/>
  <c r="GH86" i="23"/>
  <c r="GI86" i="23"/>
  <c r="GJ86" i="23"/>
  <c r="GK86" i="23"/>
  <c r="GL86" i="23"/>
  <c r="GM86" i="23"/>
  <c r="GN86" i="23"/>
  <c r="GO86" i="23"/>
  <c r="GP86" i="23"/>
  <c r="GQ86" i="23"/>
  <c r="GR86" i="23"/>
  <c r="GS86" i="23"/>
  <c r="GT86" i="23"/>
  <c r="GU86" i="23"/>
  <c r="GV86" i="23"/>
  <c r="GW86" i="23"/>
  <c r="GX86" i="23"/>
  <c r="GY86" i="23"/>
  <c r="GZ86" i="23"/>
  <c r="HA86" i="23"/>
  <c r="HB86" i="23"/>
  <c r="HC86" i="23"/>
  <c r="HD86" i="23"/>
  <c r="HE86" i="23"/>
  <c r="HF86" i="23"/>
  <c r="HG86" i="23"/>
  <c r="HH86" i="23"/>
  <c r="HI86" i="23"/>
  <c r="HJ86" i="23"/>
  <c r="HK86" i="23"/>
  <c r="HL86" i="23"/>
  <c r="HM86" i="23"/>
  <c r="HN86" i="23"/>
  <c r="HO86" i="23"/>
  <c r="HP86" i="23"/>
  <c r="HQ86" i="23"/>
  <c r="HR86" i="23"/>
  <c r="HS86" i="23"/>
  <c r="HT86" i="23"/>
  <c r="HU86" i="23"/>
  <c r="HV86" i="23"/>
  <c r="HW86" i="23"/>
  <c r="HX86" i="23"/>
  <c r="HY86" i="23"/>
  <c r="HZ86" i="23"/>
  <c r="IA86" i="23"/>
  <c r="IB86" i="23"/>
  <c r="IC86" i="23"/>
  <c r="ID86" i="23"/>
  <c r="IE86" i="23"/>
  <c r="IF86" i="23"/>
  <c r="IG86" i="23"/>
  <c r="IH86" i="23"/>
  <c r="II86" i="23"/>
  <c r="IJ86" i="23"/>
  <c r="IK86" i="23"/>
  <c r="IL86" i="23"/>
  <c r="IM86" i="23"/>
  <c r="IN86" i="23"/>
  <c r="IO86" i="23"/>
  <c r="IP86" i="23"/>
  <c r="IQ86" i="23"/>
  <c r="IR86" i="23"/>
  <c r="IS86" i="23"/>
  <c r="IT86" i="23"/>
  <c r="IU86" i="23"/>
  <c r="IV86" i="23"/>
  <c r="A85" i="23"/>
  <c r="B85" i="23"/>
  <c r="C85" i="23"/>
  <c r="D85" i="23"/>
  <c r="E85" i="23"/>
  <c r="F85" i="23"/>
  <c r="G85" i="23"/>
  <c r="H85" i="23"/>
  <c r="I85" i="23"/>
  <c r="J85" i="23"/>
  <c r="K85" i="23"/>
  <c r="L85" i="23"/>
  <c r="M85" i="23"/>
  <c r="N85" i="23"/>
  <c r="O85" i="23"/>
  <c r="P85" i="23"/>
  <c r="Q85" i="23"/>
  <c r="R85" i="23"/>
  <c r="S85" i="23"/>
  <c r="T85" i="23"/>
  <c r="U85" i="23"/>
  <c r="V85" i="23"/>
  <c r="W85" i="23"/>
  <c r="X85" i="23"/>
  <c r="Y85" i="23"/>
  <c r="Z85" i="23"/>
  <c r="AA85" i="23"/>
  <c r="AB85" i="23"/>
  <c r="AC85" i="23"/>
  <c r="AD85" i="23"/>
  <c r="AE85" i="23"/>
  <c r="AF85" i="23"/>
  <c r="AG85" i="23"/>
  <c r="AH85" i="23"/>
  <c r="AI85" i="23"/>
  <c r="AJ85" i="23"/>
  <c r="AK85" i="23"/>
  <c r="AL85" i="23"/>
  <c r="AM85" i="23"/>
  <c r="AN85" i="23"/>
  <c r="AO85" i="23"/>
  <c r="AP85" i="23"/>
  <c r="AQ85" i="23"/>
  <c r="AR85" i="23"/>
  <c r="AS85" i="23"/>
  <c r="AT85" i="23"/>
  <c r="AU85" i="23"/>
  <c r="AV85" i="23"/>
  <c r="AW85" i="23"/>
  <c r="AX85" i="23"/>
  <c r="AY85" i="23"/>
  <c r="AZ85" i="23"/>
  <c r="BA85" i="23"/>
  <c r="BB85" i="23"/>
  <c r="BC85" i="23"/>
  <c r="BD85" i="23"/>
  <c r="BE85" i="23"/>
  <c r="BF85" i="23"/>
  <c r="BG85" i="23"/>
  <c r="BH85" i="23"/>
  <c r="BI85" i="23"/>
  <c r="BJ85" i="23"/>
  <c r="BK85" i="23"/>
  <c r="BL85" i="23"/>
  <c r="BM85" i="23"/>
  <c r="BN85" i="23"/>
  <c r="BO85" i="23"/>
  <c r="BP85" i="23"/>
  <c r="BQ85" i="23"/>
  <c r="BR85" i="23"/>
  <c r="BS85" i="23"/>
  <c r="BT85" i="23"/>
  <c r="BU85" i="23"/>
  <c r="BV85" i="23"/>
  <c r="BW85" i="23"/>
  <c r="BX85" i="23"/>
  <c r="BY85" i="23"/>
  <c r="BZ85" i="23"/>
  <c r="CA85" i="23"/>
  <c r="CB85" i="23"/>
  <c r="CC85" i="23"/>
  <c r="CD85" i="23"/>
  <c r="CE85" i="23"/>
  <c r="CF85" i="23"/>
  <c r="CG85" i="23"/>
  <c r="CH85" i="23"/>
  <c r="CI85" i="23"/>
  <c r="CJ85" i="23"/>
  <c r="CK85" i="23"/>
  <c r="CL85" i="23"/>
  <c r="CM85" i="23"/>
  <c r="CN85" i="23"/>
  <c r="CO85" i="23"/>
  <c r="CP85" i="23"/>
  <c r="CQ85" i="23"/>
  <c r="CR85" i="23"/>
  <c r="CS85" i="23"/>
  <c r="CT85" i="23"/>
  <c r="CU85" i="23"/>
  <c r="CV85" i="23"/>
  <c r="CW85" i="23"/>
  <c r="CX85" i="23"/>
  <c r="CY85" i="23"/>
  <c r="CZ85" i="23"/>
  <c r="DA85" i="23"/>
  <c r="DB85" i="23"/>
  <c r="DC85" i="23"/>
  <c r="DD85" i="23"/>
  <c r="DE85" i="23"/>
  <c r="DF85" i="23"/>
  <c r="DG85" i="23"/>
  <c r="DH85" i="23"/>
  <c r="DI85" i="23"/>
  <c r="DJ85" i="23"/>
  <c r="DK85" i="23"/>
  <c r="DL85" i="23"/>
  <c r="DM85" i="23"/>
  <c r="DN85" i="23"/>
  <c r="DO85" i="23"/>
  <c r="DP85" i="23"/>
  <c r="DQ85" i="23"/>
  <c r="DR85" i="23"/>
  <c r="DS85" i="23"/>
  <c r="DT85" i="23"/>
  <c r="DU85" i="23"/>
  <c r="DV85" i="23"/>
  <c r="DW85" i="23"/>
  <c r="DX85" i="23"/>
  <c r="DY85" i="23"/>
  <c r="DZ85" i="23"/>
  <c r="EA85" i="23"/>
  <c r="EB85" i="23"/>
  <c r="EC85" i="23"/>
  <c r="ED85" i="23"/>
  <c r="EE85" i="23"/>
  <c r="EF85" i="23"/>
  <c r="EG85" i="23"/>
  <c r="EH85" i="23"/>
  <c r="EI85" i="23"/>
  <c r="EJ85" i="23"/>
  <c r="EK85" i="23"/>
  <c r="EL85" i="23"/>
  <c r="EM85" i="23"/>
  <c r="EN85" i="23"/>
  <c r="EO85" i="23"/>
  <c r="EP85" i="23"/>
  <c r="EQ85" i="23"/>
  <c r="ER85" i="23"/>
  <c r="ES85" i="23"/>
  <c r="ET85" i="23"/>
  <c r="EU85" i="23"/>
  <c r="EV85" i="23"/>
  <c r="EW85" i="23"/>
  <c r="EX85" i="23"/>
  <c r="EY85" i="23"/>
  <c r="EZ85" i="23"/>
  <c r="FA85" i="23"/>
  <c r="FB85" i="23"/>
  <c r="FC85" i="23"/>
  <c r="FD85" i="23"/>
  <c r="FE85" i="23"/>
  <c r="FF85" i="23"/>
  <c r="FG85" i="23"/>
  <c r="FH85" i="23"/>
  <c r="FI85" i="23"/>
  <c r="FJ85" i="23"/>
  <c r="FK85" i="23"/>
  <c r="FL85" i="23"/>
  <c r="FM85" i="23"/>
  <c r="FN85" i="23"/>
  <c r="FO85" i="23"/>
  <c r="FP85" i="23"/>
  <c r="FQ85" i="23"/>
  <c r="FR85" i="23"/>
  <c r="FS85" i="23"/>
  <c r="FT85" i="23"/>
  <c r="FU85" i="23"/>
  <c r="FV85" i="23"/>
  <c r="FW85" i="23"/>
  <c r="FX85" i="23"/>
  <c r="FY85" i="23"/>
  <c r="FZ85" i="23"/>
  <c r="GA85" i="23"/>
  <c r="GB85" i="23"/>
  <c r="GC85" i="23"/>
  <c r="GD85" i="23"/>
  <c r="GE85" i="23"/>
  <c r="GF85" i="23"/>
  <c r="GG85" i="23"/>
  <c r="GH85" i="23"/>
  <c r="GI85" i="23"/>
  <c r="GJ85" i="23"/>
  <c r="GK85" i="23"/>
  <c r="GL85" i="23"/>
  <c r="GM85" i="23"/>
  <c r="GN85" i="23"/>
  <c r="GO85" i="23"/>
  <c r="GP85" i="23"/>
  <c r="GQ85" i="23"/>
  <c r="GR85" i="23"/>
  <c r="GS85" i="23"/>
  <c r="GT85" i="23"/>
  <c r="GU85" i="23"/>
  <c r="GV85" i="23"/>
  <c r="GW85" i="23"/>
  <c r="GX85" i="23"/>
  <c r="GY85" i="23"/>
  <c r="GZ85" i="23"/>
  <c r="HA85" i="23"/>
  <c r="HB85" i="23"/>
  <c r="HC85" i="23"/>
  <c r="HD85" i="23"/>
  <c r="HE85" i="23"/>
  <c r="HF85" i="23"/>
  <c r="HG85" i="23"/>
  <c r="HH85" i="23"/>
  <c r="HI85" i="23"/>
  <c r="HJ85" i="23"/>
  <c r="HK85" i="23"/>
  <c r="HL85" i="23"/>
  <c r="HM85" i="23"/>
  <c r="HN85" i="23"/>
  <c r="HO85" i="23"/>
  <c r="HP85" i="23"/>
  <c r="HQ85" i="23"/>
  <c r="HR85" i="23"/>
  <c r="HS85" i="23"/>
  <c r="HT85" i="23"/>
  <c r="HU85" i="23"/>
  <c r="HV85" i="23"/>
  <c r="HW85" i="23"/>
  <c r="HX85" i="23"/>
  <c r="HY85" i="23"/>
  <c r="HZ85" i="23"/>
  <c r="IA85" i="23"/>
  <c r="IB85" i="23"/>
  <c r="IC85" i="23"/>
  <c r="ID85" i="23"/>
  <c r="IE85" i="23"/>
  <c r="IF85" i="23"/>
  <c r="IG85" i="23"/>
  <c r="IH85" i="23"/>
  <c r="II85" i="23"/>
  <c r="IJ85" i="23"/>
  <c r="IK85" i="23"/>
  <c r="IL85" i="23"/>
  <c r="IM85" i="23"/>
  <c r="IN85" i="23"/>
  <c r="IO85" i="23"/>
  <c r="IP85" i="23"/>
  <c r="IQ85" i="23"/>
  <c r="IR85" i="23"/>
  <c r="IS85" i="23"/>
  <c r="IT85" i="23"/>
  <c r="IU85" i="23"/>
  <c r="IV85" i="23"/>
  <c r="A84" i="23"/>
  <c r="B84" i="23"/>
  <c r="C84" i="23"/>
  <c r="D84" i="23"/>
  <c r="E84" i="23"/>
  <c r="F84" i="23"/>
  <c r="G84" i="23"/>
  <c r="H84" i="23"/>
  <c r="I84" i="23"/>
  <c r="J84" i="23"/>
  <c r="K84" i="23"/>
  <c r="L84" i="23"/>
  <c r="M84" i="23"/>
  <c r="N84" i="23"/>
  <c r="O84" i="23"/>
  <c r="P84" i="23"/>
  <c r="Q84" i="23"/>
  <c r="R84" i="23"/>
  <c r="S84" i="23"/>
  <c r="T84" i="23"/>
  <c r="U84" i="23"/>
  <c r="V84" i="23"/>
  <c r="W84" i="23"/>
  <c r="X84" i="23"/>
  <c r="Y84" i="23"/>
  <c r="Z84" i="23"/>
  <c r="AA84" i="23"/>
  <c r="AB84" i="23"/>
  <c r="AC84" i="23"/>
  <c r="AD84" i="23"/>
  <c r="AE84" i="23"/>
  <c r="AF84" i="23"/>
  <c r="AG84" i="23"/>
  <c r="AH84" i="23"/>
  <c r="AI84" i="23"/>
  <c r="AJ84" i="23"/>
  <c r="AK84" i="23"/>
  <c r="AL84" i="23"/>
  <c r="AM84" i="23"/>
  <c r="AN84" i="23"/>
  <c r="AO84" i="23"/>
  <c r="AP84" i="23"/>
  <c r="AQ84" i="23"/>
  <c r="AR84" i="23"/>
  <c r="AS84" i="23"/>
  <c r="AT84" i="23"/>
  <c r="AU84" i="23"/>
  <c r="AV84" i="23"/>
  <c r="AW84" i="23"/>
  <c r="AX84" i="23"/>
  <c r="AY84" i="23"/>
  <c r="AZ84" i="23"/>
  <c r="BA84" i="23"/>
  <c r="BB84" i="23"/>
  <c r="BC84" i="23"/>
  <c r="BD84" i="23"/>
  <c r="BE84" i="23"/>
  <c r="BF84" i="23"/>
  <c r="BG84" i="23"/>
  <c r="BH84" i="23"/>
  <c r="BI84" i="23"/>
  <c r="BJ84" i="23"/>
  <c r="BK84" i="23"/>
  <c r="BL84" i="23"/>
  <c r="BM84" i="23"/>
  <c r="BN84" i="23"/>
  <c r="BO84" i="23"/>
  <c r="BP84" i="23"/>
  <c r="BQ84" i="23"/>
  <c r="BR84" i="23"/>
  <c r="BS84" i="23"/>
  <c r="BT84" i="23"/>
  <c r="BU84" i="23"/>
  <c r="BV84" i="23"/>
  <c r="BW84" i="23"/>
  <c r="BX84" i="23"/>
  <c r="BY84" i="23"/>
  <c r="BZ84" i="23"/>
  <c r="CA84" i="23"/>
  <c r="CB84" i="23"/>
  <c r="CC84" i="23"/>
  <c r="CD84" i="23"/>
  <c r="CE84" i="23"/>
  <c r="CF84" i="23"/>
  <c r="CG84" i="23"/>
  <c r="CH84" i="23"/>
  <c r="CI84" i="23"/>
  <c r="CJ84" i="23"/>
  <c r="CK84" i="23"/>
  <c r="CL84" i="23"/>
  <c r="CM84" i="23"/>
  <c r="CN84" i="23"/>
  <c r="CO84" i="23"/>
  <c r="CP84" i="23"/>
  <c r="CQ84" i="23"/>
  <c r="CR84" i="23"/>
  <c r="CS84" i="23"/>
  <c r="CT84" i="23"/>
  <c r="CU84" i="23"/>
  <c r="CV84" i="23"/>
  <c r="CW84" i="23"/>
  <c r="CX84" i="23"/>
  <c r="CY84" i="23"/>
  <c r="CZ84" i="23"/>
  <c r="DA84" i="23"/>
  <c r="DB84" i="23"/>
  <c r="DC84" i="23"/>
  <c r="DD84" i="23"/>
  <c r="DE84" i="23"/>
  <c r="DF84" i="23"/>
  <c r="DG84" i="23"/>
  <c r="DH84" i="23"/>
  <c r="DI84" i="23"/>
  <c r="DJ84" i="23"/>
  <c r="DK84" i="23"/>
  <c r="DL84" i="23"/>
  <c r="DM84" i="23"/>
  <c r="DN84" i="23"/>
  <c r="DO84" i="23"/>
  <c r="DP84" i="23"/>
  <c r="DQ84" i="23"/>
  <c r="DR84" i="23"/>
  <c r="DS84" i="23"/>
  <c r="DT84" i="23"/>
  <c r="DU84" i="23"/>
  <c r="DV84" i="23"/>
  <c r="DW84" i="23"/>
  <c r="DX84" i="23"/>
  <c r="DY84" i="23"/>
  <c r="DZ84" i="23"/>
  <c r="EA84" i="23"/>
  <c r="EB84" i="23"/>
  <c r="EC84" i="23"/>
  <c r="ED84" i="23"/>
  <c r="EE84" i="23"/>
  <c r="EF84" i="23"/>
  <c r="EG84" i="23"/>
  <c r="EH84" i="23"/>
  <c r="EI84" i="23"/>
  <c r="EJ84" i="23"/>
  <c r="EK84" i="23"/>
  <c r="EL84" i="23"/>
  <c r="EM84" i="23"/>
  <c r="EN84" i="23"/>
  <c r="EO84" i="23"/>
  <c r="EP84" i="23"/>
  <c r="EQ84" i="23"/>
  <c r="ER84" i="23"/>
  <c r="ES84" i="23"/>
  <c r="ET84" i="23"/>
  <c r="EU84" i="23"/>
  <c r="EV84" i="23"/>
  <c r="EW84" i="23"/>
  <c r="EX84" i="23"/>
  <c r="EY84" i="23"/>
  <c r="EZ84" i="23"/>
  <c r="FA84" i="23"/>
  <c r="FB84" i="23"/>
  <c r="FC84" i="23"/>
  <c r="FD84" i="23"/>
  <c r="FE84" i="23"/>
  <c r="FF84" i="23"/>
  <c r="FG84" i="23"/>
  <c r="FH84" i="23"/>
  <c r="FI84" i="23"/>
  <c r="FJ84" i="23"/>
  <c r="FK84" i="23"/>
  <c r="FL84" i="23"/>
  <c r="FM84" i="23"/>
  <c r="FN84" i="23"/>
  <c r="FO84" i="23"/>
  <c r="FP84" i="23"/>
  <c r="FQ84" i="23"/>
  <c r="FR84" i="23"/>
  <c r="FS84" i="23"/>
  <c r="FT84" i="23"/>
  <c r="FU84" i="23"/>
  <c r="FV84" i="23"/>
  <c r="FW84" i="23"/>
  <c r="FX84" i="23"/>
  <c r="FY84" i="23"/>
  <c r="FZ84" i="23"/>
  <c r="GA84" i="23"/>
  <c r="GB84" i="23"/>
  <c r="GC84" i="23"/>
  <c r="GD84" i="23"/>
  <c r="GE84" i="23"/>
  <c r="GF84" i="23"/>
  <c r="GG84" i="23"/>
  <c r="GH84" i="23"/>
  <c r="GI84" i="23"/>
  <c r="GJ84" i="23"/>
  <c r="GK84" i="23"/>
  <c r="GL84" i="23"/>
  <c r="GM84" i="23"/>
  <c r="GN84" i="23"/>
  <c r="GO84" i="23"/>
  <c r="GP84" i="23"/>
  <c r="GQ84" i="23"/>
  <c r="GR84" i="23"/>
  <c r="GS84" i="23"/>
  <c r="GT84" i="23"/>
  <c r="GU84" i="23"/>
  <c r="GV84" i="23"/>
  <c r="GW84" i="23"/>
  <c r="GX84" i="23"/>
  <c r="GY84" i="23"/>
  <c r="GZ84" i="23"/>
  <c r="HA84" i="23"/>
  <c r="HB84" i="23"/>
  <c r="HC84" i="23"/>
  <c r="HD84" i="23"/>
  <c r="HE84" i="23"/>
  <c r="HF84" i="23"/>
  <c r="HG84" i="23"/>
  <c r="HH84" i="23"/>
  <c r="HI84" i="23"/>
  <c r="HJ84" i="23"/>
  <c r="HK84" i="23"/>
  <c r="HL84" i="23"/>
  <c r="HM84" i="23"/>
  <c r="HN84" i="23"/>
  <c r="HO84" i="23"/>
  <c r="HP84" i="23"/>
  <c r="HQ84" i="23"/>
  <c r="HR84" i="23"/>
  <c r="HS84" i="23"/>
  <c r="HT84" i="23"/>
  <c r="HU84" i="23"/>
  <c r="HV84" i="23"/>
  <c r="HW84" i="23"/>
  <c r="HX84" i="23"/>
  <c r="HY84" i="23"/>
  <c r="HZ84" i="23"/>
  <c r="IA84" i="23"/>
  <c r="IB84" i="23"/>
  <c r="IC84" i="23"/>
  <c r="ID84" i="23"/>
  <c r="IE84" i="23"/>
  <c r="IF84" i="23"/>
  <c r="IG84" i="23"/>
  <c r="IH84" i="23"/>
  <c r="II84" i="23"/>
  <c r="IJ84" i="23"/>
  <c r="IK84" i="23"/>
  <c r="IL84" i="23"/>
  <c r="IM84" i="23"/>
  <c r="IN84" i="23"/>
  <c r="IO84" i="23"/>
  <c r="IP84" i="23"/>
  <c r="IQ84" i="23"/>
  <c r="IR84" i="23"/>
  <c r="IS84" i="23"/>
  <c r="IT84" i="23"/>
  <c r="IU84" i="23"/>
  <c r="IV84" i="23"/>
  <c r="A83" i="23"/>
  <c r="B83" i="23"/>
  <c r="C83" i="23"/>
  <c r="D83" i="23"/>
  <c r="E83" i="23"/>
  <c r="F83" i="23"/>
  <c r="G83" i="23"/>
  <c r="H83" i="23"/>
  <c r="I83" i="23"/>
  <c r="J83" i="23"/>
  <c r="K83" i="23"/>
  <c r="M83" i="23"/>
  <c r="N83" i="23"/>
  <c r="O83" i="23"/>
  <c r="P83" i="23"/>
  <c r="Q83" i="23"/>
  <c r="R83" i="23"/>
  <c r="S83" i="23"/>
  <c r="T83" i="23"/>
  <c r="U83" i="23"/>
  <c r="V83" i="23"/>
  <c r="W83" i="23"/>
  <c r="X83" i="23"/>
  <c r="Y83" i="23"/>
  <c r="Z83" i="23"/>
  <c r="AA83" i="23"/>
  <c r="AB83" i="23"/>
  <c r="AC83" i="23"/>
  <c r="AD83" i="23"/>
  <c r="AE83" i="23"/>
  <c r="AF83" i="23"/>
  <c r="AG83" i="23"/>
  <c r="AH83" i="23"/>
  <c r="AI83" i="23"/>
  <c r="AJ83" i="23"/>
  <c r="AK83" i="23"/>
  <c r="AL83" i="23"/>
  <c r="AM83" i="23"/>
  <c r="AN83" i="23"/>
  <c r="AO83" i="23"/>
  <c r="AP83" i="23"/>
  <c r="AQ83" i="23"/>
  <c r="AR83" i="23"/>
  <c r="AS83" i="23"/>
  <c r="AT83" i="23"/>
  <c r="AU83" i="23"/>
  <c r="AV83" i="23"/>
  <c r="AW83" i="23"/>
  <c r="AX83" i="23"/>
  <c r="AY83" i="23"/>
  <c r="AZ83" i="23"/>
  <c r="BA83" i="23"/>
  <c r="BB83" i="23"/>
  <c r="BC83" i="23"/>
  <c r="BD83" i="23"/>
  <c r="BE83" i="23"/>
  <c r="BF83" i="23"/>
  <c r="BG83" i="23"/>
  <c r="BH83" i="23"/>
  <c r="BI83" i="23"/>
  <c r="BJ83" i="23"/>
  <c r="BK83" i="23"/>
  <c r="BL83" i="23"/>
  <c r="BM83" i="23"/>
  <c r="BN83" i="23"/>
  <c r="BO83" i="23"/>
  <c r="BP83" i="23"/>
  <c r="BQ83" i="23"/>
  <c r="BR83" i="23"/>
  <c r="BS83" i="23"/>
  <c r="BT83" i="23"/>
  <c r="BU83" i="23"/>
  <c r="BV83" i="23"/>
  <c r="BW83" i="23"/>
  <c r="BX83" i="23"/>
  <c r="BY83" i="23"/>
  <c r="BZ83" i="23"/>
  <c r="CA83" i="23"/>
  <c r="CB83" i="23"/>
  <c r="CC83" i="23"/>
  <c r="CD83" i="23"/>
  <c r="CE83" i="23"/>
  <c r="CF83" i="23"/>
  <c r="CG83" i="23"/>
  <c r="CH83" i="23"/>
  <c r="CI83" i="23"/>
  <c r="CJ83" i="23"/>
  <c r="CK83" i="23"/>
  <c r="CL83" i="23"/>
  <c r="CM83" i="23"/>
  <c r="CN83" i="23"/>
  <c r="CO83" i="23"/>
  <c r="CP83" i="23"/>
  <c r="CQ83" i="23"/>
  <c r="CR83" i="23"/>
  <c r="CS83" i="23"/>
  <c r="CT83" i="23"/>
  <c r="CU83" i="23"/>
  <c r="CV83" i="23"/>
  <c r="CW83" i="23"/>
  <c r="CX83" i="23"/>
  <c r="CY83" i="23"/>
  <c r="CZ83" i="23"/>
  <c r="DA83" i="23"/>
  <c r="DB83" i="23"/>
  <c r="DC83" i="23"/>
  <c r="DD83" i="23"/>
  <c r="DE83" i="23"/>
  <c r="DF83" i="23"/>
  <c r="DG83" i="23"/>
  <c r="DH83" i="23"/>
  <c r="DI83" i="23"/>
  <c r="DJ83" i="23"/>
  <c r="DK83" i="23"/>
  <c r="DL83" i="23"/>
  <c r="DM83" i="23"/>
  <c r="DN83" i="23"/>
  <c r="DO83" i="23"/>
  <c r="DP83" i="23"/>
  <c r="DQ83" i="23"/>
  <c r="DR83" i="23"/>
  <c r="DS83" i="23"/>
  <c r="DT83" i="23"/>
  <c r="DU83" i="23"/>
  <c r="DV83" i="23"/>
  <c r="DW83" i="23"/>
  <c r="DX83" i="23"/>
  <c r="DY83" i="23"/>
  <c r="DZ83" i="23"/>
  <c r="EA83" i="23"/>
  <c r="EB83" i="23"/>
  <c r="EC83" i="23"/>
  <c r="ED83" i="23"/>
  <c r="EE83" i="23"/>
  <c r="EF83" i="23"/>
  <c r="EG83" i="23"/>
  <c r="EH83" i="23"/>
  <c r="EI83" i="23"/>
  <c r="EJ83" i="23"/>
  <c r="EK83" i="23"/>
  <c r="EL83" i="23"/>
  <c r="EM83" i="23"/>
  <c r="EN83" i="23"/>
  <c r="EO83" i="23"/>
  <c r="EP83" i="23"/>
  <c r="EQ83" i="23"/>
  <c r="ER83" i="23"/>
  <c r="ES83" i="23"/>
  <c r="ET83" i="23"/>
  <c r="EU83" i="23"/>
  <c r="EV83" i="23"/>
  <c r="EW83" i="23"/>
  <c r="EX83" i="23"/>
  <c r="EY83" i="23"/>
  <c r="EZ83" i="23"/>
  <c r="FA83" i="23"/>
  <c r="FB83" i="23"/>
  <c r="FC83" i="23"/>
  <c r="FD83" i="23"/>
  <c r="FE83" i="23"/>
  <c r="FF83" i="23"/>
  <c r="FG83" i="23"/>
  <c r="FH83" i="23"/>
  <c r="FI83" i="23"/>
  <c r="FJ83" i="23"/>
  <c r="FK83" i="23"/>
  <c r="FL83" i="23"/>
  <c r="FM83" i="23"/>
  <c r="FN83" i="23"/>
  <c r="FO83" i="23"/>
  <c r="FP83" i="23"/>
  <c r="FQ83" i="23"/>
  <c r="FR83" i="23"/>
  <c r="FS83" i="23"/>
  <c r="FT83" i="23"/>
  <c r="FU83" i="23"/>
  <c r="FV83" i="23"/>
  <c r="FW83" i="23"/>
  <c r="FX83" i="23"/>
  <c r="FY83" i="23"/>
  <c r="FZ83" i="23"/>
  <c r="GA83" i="23"/>
  <c r="GB83" i="23"/>
  <c r="GC83" i="23"/>
  <c r="GD83" i="23"/>
  <c r="GE83" i="23"/>
  <c r="GF83" i="23"/>
  <c r="GG83" i="23"/>
  <c r="GH83" i="23"/>
  <c r="GI83" i="23"/>
  <c r="GJ83" i="23"/>
  <c r="GK83" i="23"/>
  <c r="GL83" i="23"/>
  <c r="GM83" i="23"/>
  <c r="GN83" i="23"/>
  <c r="GO83" i="23"/>
  <c r="GP83" i="23"/>
  <c r="GQ83" i="23"/>
  <c r="GR83" i="23"/>
  <c r="GS83" i="23"/>
  <c r="GT83" i="23"/>
  <c r="GU83" i="23"/>
  <c r="GV83" i="23"/>
  <c r="GW83" i="23"/>
  <c r="GX83" i="23"/>
  <c r="GY83" i="23"/>
  <c r="GZ83" i="23"/>
  <c r="HA83" i="23"/>
  <c r="HB83" i="23"/>
  <c r="HC83" i="23"/>
  <c r="HD83" i="23"/>
  <c r="HE83" i="23"/>
  <c r="HF83" i="23"/>
  <c r="HG83" i="23"/>
  <c r="HH83" i="23"/>
  <c r="HI83" i="23"/>
  <c r="HJ83" i="23"/>
  <c r="HK83" i="23"/>
  <c r="HL83" i="23"/>
  <c r="HM83" i="23"/>
  <c r="HN83" i="23"/>
  <c r="HO83" i="23"/>
  <c r="HP83" i="23"/>
  <c r="HQ83" i="23"/>
  <c r="HR83" i="23"/>
  <c r="HS83" i="23"/>
  <c r="HT83" i="23"/>
  <c r="HU83" i="23"/>
  <c r="HV83" i="23"/>
  <c r="HW83" i="23"/>
  <c r="HX83" i="23"/>
  <c r="HY83" i="23"/>
  <c r="HZ83" i="23"/>
  <c r="IA83" i="23"/>
  <c r="IB83" i="23"/>
  <c r="IC83" i="23"/>
  <c r="ID83" i="23"/>
  <c r="IE83" i="23"/>
  <c r="IF83" i="23"/>
  <c r="IG83" i="23"/>
  <c r="IH83" i="23"/>
  <c r="II83" i="23"/>
  <c r="IJ83" i="23"/>
  <c r="IK83" i="23"/>
  <c r="IL83" i="23"/>
  <c r="IM83" i="23"/>
  <c r="IN83" i="23"/>
  <c r="IO83" i="23"/>
  <c r="IP83" i="23"/>
  <c r="IQ83" i="23"/>
  <c r="IR83" i="23"/>
  <c r="IS83" i="23"/>
  <c r="IT83" i="23"/>
  <c r="IU83" i="23"/>
  <c r="IV83" i="23"/>
  <c r="A82" i="23"/>
  <c r="B82" i="23"/>
  <c r="C82" i="23"/>
  <c r="D82" i="23"/>
  <c r="E82" i="23"/>
  <c r="F82" i="23"/>
  <c r="G82" i="23"/>
  <c r="H82" i="23"/>
  <c r="I82" i="23"/>
  <c r="J82" i="23"/>
  <c r="K82" i="23"/>
  <c r="L82" i="23"/>
  <c r="M82" i="23"/>
  <c r="N82" i="23"/>
  <c r="O82" i="23"/>
  <c r="P82" i="23"/>
  <c r="Q82" i="23"/>
  <c r="R82" i="23"/>
  <c r="S82" i="23"/>
  <c r="T82" i="23"/>
  <c r="U82" i="23"/>
  <c r="V82" i="23"/>
  <c r="W82" i="23"/>
  <c r="X82" i="23"/>
  <c r="Y82" i="23"/>
  <c r="Z82" i="23"/>
  <c r="AA82" i="23"/>
  <c r="AB82" i="23"/>
  <c r="AC82" i="23"/>
  <c r="AD82" i="23"/>
  <c r="AE82" i="23"/>
  <c r="AF82" i="23"/>
  <c r="AG82" i="23"/>
  <c r="AH82" i="23"/>
  <c r="AI82" i="23"/>
  <c r="AJ82" i="23"/>
  <c r="AK82" i="23"/>
  <c r="AL82" i="23"/>
  <c r="AM82" i="23"/>
  <c r="AN82" i="23"/>
  <c r="AO82" i="23"/>
  <c r="AP82" i="23"/>
  <c r="AQ82" i="23"/>
  <c r="AR82" i="23"/>
  <c r="AS82" i="23"/>
  <c r="AT82" i="23"/>
  <c r="AU82" i="23"/>
  <c r="AV82" i="23"/>
  <c r="AW82" i="23"/>
  <c r="AX82" i="23"/>
  <c r="AY82" i="23"/>
  <c r="AZ82" i="23"/>
  <c r="BA82" i="23"/>
  <c r="BB82" i="23"/>
  <c r="BC82" i="23"/>
  <c r="BD82" i="23"/>
  <c r="BE82" i="23"/>
  <c r="BF82" i="23"/>
  <c r="BG82" i="23"/>
  <c r="BH82" i="23"/>
  <c r="BI82" i="23"/>
  <c r="BJ82" i="23"/>
  <c r="BK82" i="23"/>
  <c r="BL82" i="23"/>
  <c r="BM82" i="23"/>
  <c r="BN82" i="23"/>
  <c r="BO82" i="23"/>
  <c r="BP82" i="23"/>
  <c r="BQ82" i="23"/>
  <c r="BR82" i="23"/>
  <c r="BS82" i="23"/>
  <c r="BT82" i="23"/>
  <c r="BU82" i="23"/>
  <c r="BV82" i="23"/>
  <c r="BW82" i="23"/>
  <c r="BX82" i="23"/>
  <c r="BY82" i="23"/>
  <c r="BZ82" i="23"/>
  <c r="CA82" i="23"/>
  <c r="CB82" i="23"/>
  <c r="CC82" i="23"/>
  <c r="CD82" i="23"/>
  <c r="CE82" i="23"/>
  <c r="CF82" i="23"/>
  <c r="CG82" i="23"/>
  <c r="CH82" i="23"/>
  <c r="CI82" i="23"/>
  <c r="CJ82" i="23"/>
  <c r="CK82" i="23"/>
  <c r="CL82" i="23"/>
  <c r="CM82" i="23"/>
  <c r="CN82" i="23"/>
  <c r="CO82" i="23"/>
  <c r="CP82" i="23"/>
  <c r="CQ82" i="23"/>
  <c r="CR82" i="23"/>
  <c r="CS82" i="23"/>
  <c r="CT82" i="23"/>
  <c r="CU82" i="23"/>
  <c r="CV82" i="23"/>
  <c r="CW82" i="23"/>
  <c r="CX82" i="23"/>
  <c r="CY82" i="23"/>
  <c r="CZ82" i="23"/>
  <c r="DA82" i="23"/>
  <c r="DB82" i="23"/>
  <c r="DC82" i="23"/>
  <c r="DD82" i="23"/>
  <c r="DE82" i="23"/>
  <c r="DF82" i="23"/>
  <c r="DG82" i="23"/>
  <c r="DH82" i="23"/>
  <c r="DI82" i="23"/>
  <c r="DJ82" i="23"/>
  <c r="DK82" i="23"/>
  <c r="DL82" i="23"/>
  <c r="DM82" i="23"/>
  <c r="DN82" i="23"/>
  <c r="DO82" i="23"/>
  <c r="DP82" i="23"/>
  <c r="DQ82" i="23"/>
  <c r="DR82" i="23"/>
  <c r="DS82" i="23"/>
  <c r="DT82" i="23"/>
  <c r="DU82" i="23"/>
  <c r="DV82" i="23"/>
  <c r="DW82" i="23"/>
  <c r="DX82" i="23"/>
  <c r="DY82" i="23"/>
  <c r="DZ82" i="23"/>
  <c r="EA82" i="23"/>
  <c r="EB82" i="23"/>
  <c r="EC82" i="23"/>
  <c r="ED82" i="23"/>
  <c r="EE82" i="23"/>
  <c r="EF82" i="23"/>
  <c r="EG82" i="23"/>
  <c r="EH82" i="23"/>
  <c r="EI82" i="23"/>
  <c r="EJ82" i="23"/>
  <c r="EK82" i="23"/>
  <c r="EL82" i="23"/>
  <c r="EM82" i="23"/>
  <c r="EN82" i="23"/>
  <c r="EO82" i="23"/>
  <c r="EP82" i="23"/>
  <c r="EQ82" i="23"/>
  <c r="ER82" i="23"/>
  <c r="ES82" i="23"/>
  <c r="ET82" i="23"/>
  <c r="EU82" i="23"/>
  <c r="EV82" i="23"/>
  <c r="EW82" i="23"/>
  <c r="EX82" i="23"/>
  <c r="EY82" i="23"/>
  <c r="EZ82" i="23"/>
  <c r="FA82" i="23"/>
  <c r="FB82" i="23"/>
  <c r="FC82" i="23"/>
  <c r="FD82" i="23"/>
  <c r="FE82" i="23"/>
  <c r="FF82" i="23"/>
  <c r="FG82" i="23"/>
  <c r="FH82" i="23"/>
  <c r="FI82" i="23"/>
  <c r="FJ82" i="23"/>
  <c r="FK82" i="23"/>
  <c r="FL82" i="23"/>
  <c r="FM82" i="23"/>
  <c r="FN82" i="23"/>
  <c r="FO82" i="23"/>
  <c r="FP82" i="23"/>
  <c r="FQ82" i="23"/>
  <c r="FR82" i="23"/>
  <c r="FS82" i="23"/>
  <c r="FT82" i="23"/>
  <c r="FU82" i="23"/>
  <c r="FV82" i="23"/>
  <c r="FW82" i="23"/>
  <c r="FX82" i="23"/>
  <c r="FY82" i="23"/>
  <c r="FZ82" i="23"/>
  <c r="GA82" i="23"/>
  <c r="GB82" i="23"/>
  <c r="GC82" i="23"/>
  <c r="GD82" i="23"/>
  <c r="GE82" i="23"/>
  <c r="GF82" i="23"/>
  <c r="GG82" i="23"/>
  <c r="GH82" i="23"/>
  <c r="GI82" i="23"/>
  <c r="GJ82" i="23"/>
  <c r="GK82" i="23"/>
  <c r="GL82" i="23"/>
  <c r="GM82" i="23"/>
  <c r="GN82" i="23"/>
  <c r="GO82" i="23"/>
  <c r="GP82" i="23"/>
  <c r="GQ82" i="23"/>
  <c r="GR82" i="23"/>
  <c r="GS82" i="23"/>
  <c r="GT82" i="23"/>
  <c r="GU82" i="23"/>
  <c r="GV82" i="23"/>
  <c r="GW82" i="23"/>
  <c r="GX82" i="23"/>
  <c r="GY82" i="23"/>
  <c r="GZ82" i="23"/>
  <c r="HA82" i="23"/>
  <c r="HB82" i="23"/>
  <c r="HC82" i="23"/>
  <c r="HD82" i="23"/>
  <c r="HE82" i="23"/>
  <c r="HF82" i="23"/>
  <c r="HG82" i="23"/>
  <c r="HH82" i="23"/>
  <c r="HI82" i="23"/>
  <c r="HJ82" i="23"/>
  <c r="HK82" i="23"/>
  <c r="HL82" i="23"/>
  <c r="HM82" i="23"/>
  <c r="HN82" i="23"/>
  <c r="HO82" i="23"/>
  <c r="HP82" i="23"/>
  <c r="HQ82" i="23"/>
  <c r="HR82" i="23"/>
  <c r="HS82" i="23"/>
  <c r="HT82" i="23"/>
  <c r="HU82" i="23"/>
  <c r="HV82" i="23"/>
  <c r="HW82" i="23"/>
  <c r="HX82" i="23"/>
  <c r="HY82" i="23"/>
  <c r="HZ82" i="23"/>
  <c r="IA82" i="23"/>
  <c r="IB82" i="23"/>
  <c r="IC82" i="23"/>
  <c r="ID82" i="23"/>
  <c r="IE82" i="23"/>
  <c r="IF82" i="23"/>
  <c r="IG82" i="23"/>
  <c r="IH82" i="23"/>
  <c r="II82" i="23"/>
  <c r="IJ82" i="23"/>
  <c r="IK82" i="23"/>
  <c r="IL82" i="23"/>
  <c r="IM82" i="23"/>
  <c r="IN82" i="23"/>
  <c r="IO82" i="23"/>
  <c r="IP82" i="23"/>
  <c r="IQ82" i="23"/>
  <c r="IR82" i="23"/>
  <c r="IS82" i="23"/>
  <c r="IT82" i="23"/>
  <c r="IU82" i="23"/>
  <c r="IV82" i="23"/>
  <c r="A81" i="23"/>
  <c r="B81" i="23"/>
  <c r="C81" i="23"/>
  <c r="D81" i="23"/>
  <c r="E81" i="23"/>
  <c r="F81" i="23"/>
  <c r="G81" i="23"/>
  <c r="H81" i="23"/>
  <c r="I81" i="23"/>
  <c r="J81" i="23"/>
  <c r="K81" i="23"/>
  <c r="L81" i="23"/>
  <c r="M81" i="23"/>
  <c r="N81" i="23"/>
  <c r="O81" i="23"/>
  <c r="P81" i="23"/>
  <c r="Q81" i="23"/>
  <c r="R81" i="23"/>
  <c r="S81" i="23"/>
  <c r="T81" i="23"/>
  <c r="U81" i="23"/>
  <c r="V81" i="23"/>
  <c r="W81" i="23"/>
  <c r="X81" i="23"/>
  <c r="Y81" i="23"/>
  <c r="Z81" i="23"/>
  <c r="AA81" i="23"/>
  <c r="AB81" i="23"/>
  <c r="AC81" i="23"/>
  <c r="AD81" i="23"/>
  <c r="AE81" i="23"/>
  <c r="AF81" i="23"/>
  <c r="AG81" i="23"/>
  <c r="AH81" i="23"/>
  <c r="AI81" i="23"/>
  <c r="AJ81" i="23"/>
  <c r="AK81" i="23"/>
  <c r="AL81" i="23"/>
  <c r="AM81" i="23"/>
  <c r="AN81" i="23"/>
  <c r="AO81" i="23"/>
  <c r="AP81" i="23"/>
  <c r="AQ81" i="23"/>
  <c r="AR81" i="23"/>
  <c r="AS81" i="23"/>
  <c r="AT81" i="23"/>
  <c r="AU81" i="23"/>
  <c r="AV81" i="23"/>
  <c r="AW81" i="23"/>
  <c r="AX81" i="23"/>
  <c r="AY81" i="23"/>
  <c r="AZ81" i="23"/>
  <c r="BA81" i="23"/>
  <c r="BB81" i="23"/>
  <c r="BC81" i="23"/>
  <c r="BD81" i="23"/>
  <c r="BE81" i="23"/>
  <c r="BF81" i="23"/>
  <c r="BG81" i="23"/>
  <c r="BH81" i="23"/>
  <c r="BI81" i="23"/>
  <c r="BJ81" i="23"/>
  <c r="BK81" i="23"/>
  <c r="BL81" i="23"/>
  <c r="BM81" i="23"/>
  <c r="BN81" i="23"/>
  <c r="BO81" i="23"/>
  <c r="BP81" i="23"/>
  <c r="BQ81" i="23"/>
  <c r="BR81" i="23"/>
  <c r="BS81" i="23"/>
  <c r="BT81" i="23"/>
  <c r="BU81" i="23"/>
  <c r="BV81" i="23"/>
  <c r="BW81" i="23"/>
  <c r="BX81" i="23"/>
  <c r="BY81" i="23"/>
  <c r="BZ81" i="23"/>
  <c r="CA81" i="23"/>
  <c r="CB81" i="23"/>
  <c r="CC81" i="23"/>
  <c r="CD81" i="23"/>
  <c r="CE81" i="23"/>
  <c r="CF81" i="23"/>
  <c r="CG81" i="23"/>
  <c r="CH81" i="23"/>
  <c r="CI81" i="23"/>
  <c r="CJ81" i="23"/>
  <c r="CK81" i="23"/>
  <c r="CL81" i="23"/>
  <c r="CM81" i="23"/>
  <c r="CN81" i="23"/>
  <c r="CO81" i="23"/>
  <c r="CP81" i="23"/>
  <c r="CQ81" i="23"/>
  <c r="CR81" i="23"/>
  <c r="CS81" i="23"/>
  <c r="CT81" i="23"/>
  <c r="CU81" i="23"/>
  <c r="CV81" i="23"/>
  <c r="CW81" i="23"/>
  <c r="CX81" i="23"/>
  <c r="CY81" i="23"/>
  <c r="CZ81" i="23"/>
  <c r="DA81" i="23"/>
  <c r="DB81" i="23"/>
  <c r="DC81" i="23"/>
  <c r="DD81" i="23"/>
  <c r="DE81" i="23"/>
  <c r="DF81" i="23"/>
  <c r="DG81" i="23"/>
  <c r="DH81" i="23"/>
  <c r="DI81" i="23"/>
  <c r="DJ81" i="23"/>
  <c r="DK81" i="23"/>
  <c r="DL81" i="23"/>
  <c r="DM81" i="23"/>
  <c r="DN81" i="23"/>
  <c r="DO81" i="23"/>
  <c r="DP81" i="23"/>
  <c r="DQ81" i="23"/>
  <c r="DR81" i="23"/>
  <c r="DS81" i="23"/>
  <c r="DT81" i="23"/>
  <c r="DU81" i="23"/>
  <c r="DV81" i="23"/>
  <c r="DW81" i="23"/>
  <c r="DX81" i="23"/>
  <c r="DY81" i="23"/>
  <c r="DZ81" i="23"/>
  <c r="EA81" i="23"/>
  <c r="EB81" i="23"/>
  <c r="EC81" i="23"/>
  <c r="ED81" i="23"/>
  <c r="EE81" i="23"/>
  <c r="EF81" i="23"/>
  <c r="EG81" i="23"/>
  <c r="EH81" i="23"/>
  <c r="EI81" i="23"/>
  <c r="EJ81" i="23"/>
  <c r="EK81" i="23"/>
  <c r="EL81" i="23"/>
  <c r="EM81" i="23"/>
  <c r="EN81" i="23"/>
  <c r="EO81" i="23"/>
  <c r="EP81" i="23"/>
  <c r="EQ81" i="23"/>
  <c r="ER81" i="23"/>
  <c r="ES81" i="23"/>
  <c r="ET81" i="23"/>
  <c r="EU81" i="23"/>
  <c r="EV81" i="23"/>
  <c r="EW81" i="23"/>
  <c r="EX81" i="23"/>
  <c r="EY81" i="23"/>
  <c r="EZ81" i="23"/>
  <c r="FA81" i="23"/>
  <c r="FB81" i="23"/>
  <c r="FC81" i="23"/>
  <c r="FD81" i="23"/>
  <c r="FE81" i="23"/>
  <c r="FF81" i="23"/>
  <c r="FG81" i="23"/>
  <c r="FH81" i="23"/>
  <c r="FI81" i="23"/>
  <c r="FJ81" i="23"/>
  <c r="FK81" i="23"/>
  <c r="FL81" i="23"/>
  <c r="FM81" i="23"/>
  <c r="FN81" i="23"/>
  <c r="FO81" i="23"/>
  <c r="FP81" i="23"/>
  <c r="FQ81" i="23"/>
  <c r="FR81" i="23"/>
  <c r="FS81" i="23"/>
  <c r="FT81" i="23"/>
  <c r="FU81" i="23"/>
  <c r="FV81" i="23"/>
  <c r="FW81" i="23"/>
  <c r="FX81" i="23"/>
  <c r="FY81" i="23"/>
  <c r="FZ81" i="23"/>
  <c r="GA81" i="23"/>
  <c r="GB81" i="23"/>
  <c r="GC81" i="23"/>
  <c r="GD81" i="23"/>
  <c r="GE81" i="23"/>
  <c r="GF81" i="23"/>
  <c r="GG81" i="23"/>
  <c r="GH81" i="23"/>
  <c r="GI81" i="23"/>
  <c r="GJ81" i="23"/>
  <c r="GK81" i="23"/>
  <c r="GL81" i="23"/>
  <c r="GM81" i="23"/>
  <c r="GN81" i="23"/>
  <c r="GO81" i="23"/>
  <c r="GP81" i="23"/>
  <c r="GQ81" i="23"/>
  <c r="GR81" i="23"/>
  <c r="GS81" i="23"/>
  <c r="GT81" i="23"/>
  <c r="GU81" i="23"/>
  <c r="GV81" i="23"/>
  <c r="GW81" i="23"/>
  <c r="GX81" i="23"/>
  <c r="GY81" i="23"/>
  <c r="GZ81" i="23"/>
  <c r="HA81" i="23"/>
  <c r="HB81" i="23"/>
  <c r="HC81" i="23"/>
  <c r="HD81" i="23"/>
  <c r="HE81" i="23"/>
  <c r="HF81" i="23"/>
  <c r="HG81" i="23"/>
  <c r="HH81" i="23"/>
  <c r="HI81" i="23"/>
  <c r="HJ81" i="23"/>
  <c r="HK81" i="23"/>
  <c r="HL81" i="23"/>
  <c r="HM81" i="23"/>
  <c r="HN81" i="23"/>
  <c r="HO81" i="23"/>
  <c r="HP81" i="23"/>
  <c r="HQ81" i="23"/>
  <c r="HR81" i="23"/>
  <c r="HS81" i="23"/>
  <c r="HT81" i="23"/>
  <c r="HU81" i="23"/>
  <c r="HV81" i="23"/>
  <c r="HW81" i="23"/>
  <c r="HX81" i="23"/>
  <c r="HY81" i="23"/>
  <c r="HZ81" i="23"/>
  <c r="IA81" i="23"/>
  <c r="IB81" i="23"/>
  <c r="IC81" i="23"/>
  <c r="ID81" i="23"/>
  <c r="IE81" i="23"/>
  <c r="IF81" i="23"/>
  <c r="IG81" i="23"/>
  <c r="IH81" i="23"/>
  <c r="II81" i="23"/>
  <c r="IJ81" i="23"/>
  <c r="IK81" i="23"/>
  <c r="IL81" i="23"/>
  <c r="IM81" i="23"/>
  <c r="IN81" i="23"/>
  <c r="IO81" i="23"/>
  <c r="IP81" i="23"/>
  <c r="IQ81" i="23"/>
  <c r="IR81" i="23"/>
  <c r="IS81" i="23"/>
  <c r="IT81" i="23"/>
  <c r="IU81" i="23"/>
  <c r="IV81" i="23"/>
  <c r="A80" i="23"/>
  <c r="B80" i="23"/>
  <c r="C80" i="23"/>
  <c r="D80" i="23"/>
  <c r="E80" i="23"/>
  <c r="F80" i="23"/>
  <c r="G80" i="23"/>
  <c r="H80" i="23"/>
  <c r="I80" i="23"/>
  <c r="J80" i="23"/>
  <c r="K80" i="23"/>
  <c r="L80" i="23"/>
  <c r="M80" i="23"/>
  <c r="N80" i="23"/>
  <c r="O80" i="23"/>
  <c r="P80" i="23"/>
  <c r="Q80" i="23"/>
  <c r="R80" i="23"/>
  <c r="S80" i="23"/>
  <c r="T80" i="23"/>
  <c r="U80" i="23"/>
  <c r="V80" i="23"/>
  <c r="W80" i="23"/>
  <c r="X80" i="23"/>
  <c r="Y80" i="23"/>
  <c r="Z80" i="23"/>
  <c r="AA80" i="23"/>
  <c r="AB80" i="23"/>
  <c r="AC80" i="23"/>
  <c r="AD80" i="23"/>
  <c r="AE80" i="23"/>
  <c r="AF80" i="23"/>
  <c r="AG80" i="23"/>
  <c r="AH80" i="23"/>
  <c r="AI80" i="23"/>
  <c r="AJ80" i="23"/>
  <c r="AK80" i="23"/>
  <c r="AL80" i="23"/>
  <c r="AM80" i="23"/>
  <c r="AN80" i="23"/>
  <c r="AO80" i="23"/>
  <c r="AP80" i="23"/>
  <c r="AQ80" i="23"/>
  <c r="AR80" i="23"/>
  <c r="AS80" i="23"/>
  <c r="AT80" i="23"/>
  <c r="AU80" i="23"/>
  <c r="AV80" i="23"/>
  <c r="AW80" i="23"/>
  <c r="AX80" i="23"/>
  <c r="AY80" i="23"/>
  <c r="AZ80" i="23"/>
  <c r="BA80" i="23"/>
  <c r="BB80" i="23"/>
  <c r="BC80" i="23"/>
  <c r="BD80" i="23"/>
  <c r="BE80" i="23"/>
  <c r="BF80" i="23"/>
  <c r="BG80" i="23"/>
  <c r="BH80" i="23"/>
  <c r="BI80" i="23"/>
  <c r="BJ80" i="23"/>
  <c r="BK80" i="23"/>
  <c r="BL80" i="23"/>
  <c r="BM80" i="23"/>
  <c r="BN80" i="23"/>
  <c r="BO80" i="23"/>
  <c r="BP80" i="23"/>
  <c r="BQ80" i="23"/>
  <c r="BR80" i="23"/>
  <c r="BS80" i="23"/>
  <c r="BT80" i="23"/>
  <c r="BU80" i="23"/>
  <c r="BV80" i="23"/>
  <c r="BW80" i="23"/>
  <c r="BX80" i="23"/>
  <c r="BY80" i="23"/>
  <c r="BZ80" i="23"/>
  <c r="CA80" i="23"/>
  <c r="CB80" i="23"/>
  <c r="CC80" i="23"/>
  <c r="CD80" i="23"/>
  <c r="CE80" i="23"/>
  <c r="CF80" i="23"/>
  <c r="CG80" i="23"/>
  <c r="CH80" i="23"/>
  <c r="CI80" i="23"/>
  <c r="CJ80" i="23"/>
  <c r="CK80" i="23"/>
  <c r="CL80" i="23"/>
  <c r="CM80" i="23"/>
  <c r="CN80" i="23"/>
  <c r="CO80" i="23"/>
  <c r="CP80" i="23"/>
  <c r="CQ80" i="23"/>
  <c r="CR80" i="23"/>
  <c r="CS80" i="23"/>
  <c r="CT80" i="23"/>
  <c r="CU80" i="23"/>
  <c r="CV80" i="23"/>
  <c r="CW80" i="23"/>
  <c r="CX80" i="23"/>
  <c r="CY80" i="23"/>
  <c r="CZ80" i="23"/>
  <c r="DA80" i="23"/>
  <c r="DB80" i="23"/>
  <c r="DC80" i="23"/>
  <c r="DD80" i="23"/>
  <c r="DE80" i="23"/>
  <c r="DF80" i="23"/>
  <c r="DG80" i="23"/>
  <c r="DH80" i="23"/>
  <c r="DI80" i="23"/>
  <c r="DJ80" i="23"/>
  <c r="DK80" i="23"/>
  <c r="DL80" i="23"/>
  <c r="DM80" i="23"/>
  <c r="DN80" i="23"/>
  <c r="DO80" i="23"/>
  <c r="DP80" i="23"/>
  <c r="DQ80" i="23"/>
  <c r="DR80" i="23"/>
  <c r="DS80" i="23"/>
  <c r="DT80" i="23"/>
  <c r="DU80" i="23"/>
  <c r="DV80" i="23"/>
  <c r="DW80" i="23"/>
  <c r="DX80" i="23"/>
  <c r="DY80" i="23"/>
  <c r="DZ80" i="23"/>
  <c r="EA80" i="23"/>
  <c r="EB80" i="23"/>
  <c r="EC80" i="23"/>
  <c r="ED80" i="23"/>
  <c r="EE80" i="23"/>
  <c r="EF80" i="23"/>
  <c r="EG80" i="23"/>
  <c r="EH80" i="23"/>
  <c r="EI80" i="23"/>
  <c r="EJ80" i="23"/>
  <c r="EK80" i="23"/>
  <c r="EL80" i="23"/>
  <c r="EM80" i="23"/>
  <c r="EN80" i="23"/>
  <c r="EO80" i="23"/>
  <c r="EP80" i="23"/>
  <c r="EQ80" i="23"/>
  <c r="ER80" i="23"/>
  <c r="ES80" i="23"/>
  <c r="ET80" i="23"/>
  <c r="EU80" i="23"/>
  <c r="EV80" i="23"/>
  <c r="EW80" i="23"/>
  <c r="EX80" i="23"/>
  <c r="EY80" i="23"/>
  <c r="EZ80" i="23"/>
  <c r="FA80" i="23"/>
  <c r="FB80" i="23"/>
  <c r="FC80" i="23"/>
  <c r="FD80" i="23"/>
  <c r="FE80" i="23"/>
  <c r="FF80" i="23"/>
  <c r="FG80" i="23"/>
  <c r="FH80" i="23"/>
  <c r="FI80" i="23"/>
  <c r="FJ80" i="23"/>
  <c r="FK80" i="23"/>
  <c r="FL80" i="23"/>
  <c r="FM80" i="23"/>
  <c r="FN80" i="23"/>
  <c r="FO80" i="23"/>
  <c r="FP80" i="23"/>
  <c r="FQ80" i="23"/>
  <c r="FR80" i="23"/>
  <c r="FS80" i="23"/>
  <c r="FT80" i="23"/>
  <c r="FU80" i="23"/>
  <c r="FV80" i="23"/>
  <c r="FW80" i="23"/>
  <c r="FX80" i="23"/>
  <c r="FY80" i="23"/>
  <c r="FZ80" i="23"/>
  <c r="GA80" i="23"/>
  <c r="GB80" i="23"/>
  <c r="GC80" i="23"/>
  <c r="GD80" i="23"/>
  <c r="GE80" i="23"/>
  <c r="GF80" i="23"/>
  <c r="GG80" i="23"/>
  <c r="GH80" i="23"/>
  <c r="GI80" i="23"/>
  <c r="GJ80" i="23"/>
  <c r="GK80" i="23"/>
  <c r="GL80" i="23"/>
  <c r="GM80" i="23"/>
  <c r="GN80" i="23"/>
  <c r="GO80" i="23"/>
  <c r="GP80" i="23"/>
  <c r="GQ80" i="23"/>
  <c r="GR80" i="23"/>
  <c r="GS80" i="23"/>
  <c r="GT80" i="23"/>
  <c r="GU80" i="23"/>
  <c r="GV80" i="23"/>
  <c r="GW80" i="23"/>
  <c r="GX80" i="23"/>
  <c r="GY80" i="23"/>
  <c r="GZ80" i="23"/>
  <c r="HA80" i="23"/>
  <c r="HB80" i="23"/>
  <c r="HC80" i="23"/>
  <c r="HD80" i="23"/>
  <c r="HE80" i="23"/>
  <c r="HF80" i="23"/>
  <c r="HG80" i="23"/>
  <c r="HH80" i="23"/>
  <c r="HI80" i="23"/>
  <c r="HJ80" i="23"/>
  <c r="HK80" i="23"/>
  <c r="HL80" i="23"/>
  <c r="HM80" i="23"/>
  <c r="HN80" i="23"/>
  <c r="HO80" i="23"/>
  <c r="HP80" i="23"/>
  <c r="HQ80" i="23"/>
  <c r="HR80" i="23"/>
  <c r="HS80" i="23"/>
  <c r="HT80" i="23"/>
  <c r="HU80" i="23"/>
  <c r="HV80" i="23"/>
  <c r="HW80" i="23"/>
  <c r="HX80" i="23"/>
  <c r="HY80" i="23"/>
  <c r="HZ80" i="23"/>
  <c r="IA80" i="23"/>
  <c r="IB80" i="23"/>
  <c r="IC80" i="23"/>
  <c r="ID80" i="23"/>
  <c r="IE80" i="23"/>
  <c r="IF80" i="23"/>
  <c r="IG80" i="23"/>
  <c r="IH80" i="23"/>
  <c r="II80" i="23"/>
  <c r="IJ80" i="23"/>
  <c r="IK80" i="23"/>
  <c r="IL80" i="23"/>
  <c r="IM80" i="23"/>
  <c r="IN80" i="23"/>
  <c r="IO80" i="23"/>
  <c r="IP80" i="23"/>
  <c r="IQ80" i="23"/>
  <c r="IR80" i="23"/>
  <c r="IS80" i="23"/>
  <c r="IT80" i="23"/>
  <c r="IU80" i="23"/>
  <c r="IV80" i="23"/>
  <c r="A79" i="23"/>
  <c r="B79" i="23"/>
  <c r="C79" i="23"/>
  <c r="D79" i="23"/>
  <c r="E79" i="23"/>
  <c r="F79" i="23"/>
  <c r="G79" i="23"/>
  <c r="H79" i="23"/>
  <c r="I79" i="23"/>
  <c r="J79" i="23"/>
  <c r="K79" i="23"/>
  <c r="L79" i="23"/>
  <c r="M79" i="23"/>
  <c r="N79" i="23"/>
  <c r="O79" i="23"/>
  <c r="P79" i="23"/>
  <c r="Q79" i="23"/>
  <c r="R79" i="23"/>
  <c r="S79" i="23"/>
  <c r="T79" i="23"/>
  <c r="U79" i="23"/>
  <c r="V79" i="23"/>
  <c r="W79" i="23"/>
  <c r="X79" i="23"/>
  <c r="Y79" i="23"/>
  <c r="Z79" i="23"/>
  <c r="AA79" i="23"/>
  <c r="AB79" i="23"/>
  <c r="AC79" i="23"/>
  <c r="AD79" i="23"/>
  <c r="AE79" i="23"/>
  <c r="AF79" i="23"/>
  <c r="AG79" i="23"/>
  <c r="AH79" i="23"/>
  <c r="AI79" i="23"/>
  <c r="AJ79" i="23"/>
  <c r="AK79" i="23"/>
  <c r="AL79" i="23"/>
  <c r="AM79" i="23"/>
  <c r="AN79" i="23"/>
  <c r="AO79" i="23"/>
  <c r="AP79" i="23"/>
  <c r="AQ79" i="23"/>
  <c r="AR79" i="23"/>
  <c r="AS79" i="23"/>
  <c r="AT79" i="23"/>
  <c r="AU79" i="23"/>
  <c r="AV79" i="23"/>
  <c r="AW79" i="23"/>
  <c r="AX79" i="23"/>
  <c r="AY79" i="23"/>
  <c r="AZ79" i="23"/>
  <c r="BA79" i="23"/>
  <c r="BB79" i="23"/>
  <c r="BC79" i="23"/>
  <c r="BD79" i="23"/>
  <c r="BE79" i="23"/>
  <c r="BF79" i="23"/>
  <c r="BG79" i="23"/>
  <c r="BH79" i="23"/>
  <c r="BI79" i="23"/>
  <c r="BJ79" i="23"/>
  <c r="BK79" i="23"/>
  <c r="BL79" i="23"/>
  <c r="BM79" i="23"/>
  <c r="BN79" i="23"/>
  <c r="BO79" i="23"/>
  <c r="BP79" i="23"/>
  <c r="BQ79" i="23"/>
  <c r="BR79" i="23"/>
  <c r="BS79" i="23"/>
  <c r="BT79" i="23"/>
  <c r="BU79" i="23"/>
  <c r="BV79" i="23"/>
  <c r="BW79" i="23"/>
  <c r="BX79" i="23"/>
  <c r="BY79" i="23"/>
  <c r="BZ79" i="23"/>
  <c r="CA79" i="23"/>
  <c r="CB79" i="23"/>
  <c r="CC79" i="23"/>
  <c r="CD79" i="23"/>
  <c r="CE79" i="23"/>
  <c r="CF79" i="23"/>
  <c r="CG79" i="23"/>
  <c r="CH79" i="23"/>
  <c r="CI79" i="23"/>
  <c r="CJ79" i="23"/>
  <c r="CK79" i="23"/>
  <c r="CL79" i="23"/>
  <c r="CM79" i="23"/>
  <c r="CN79" i="23"/>
  <c r="CO79" i="23"/>
  <c r="CP79" i="23"/>
  <c r="CQ79" i="23"/>
  <c r="CR79" i="23"/>
  <c r="CS79" i="23"/>
  <c r="CT79" i="23"/>
  <c r="CU79" i="23"/>
  <c r="CV79" i="23"/>
  <c r="CW79" i="23"/>
  <c r="CX79" i="23"/>
  <c r="CY79" i="23"/>
  <c r="CZ79" i="23"/>
  <c r="DA79" i="23"/>
  <c r="DB79" i="23"/>
  <c r="DC79" i="23"/>
  <c r="DD79" i="23"/>
  <c r="DE79" i="23"/>
  <c r="DF79" i="23"/>
  <c r="DG79" i="23"/>
  <c r="DH79" i="23"/>
  <c r="DI79" i="23"/>
  <c r="DJ79" i="23"/>
  <c r="DK79" i="23"/>
  <c r="DL79" i="23"/>
  <c r="DM79" i="23"/>
  <c r="DN79" i="23"/>
  <c r="DO79" i="23"/>
  <c r="DP79" i="23"/>
  <c r="DQ79" i="23"/>
  <c r="DR79" i="23"/>
  <c r="DS79" i="23"/>
  <c r="DT79" i="23"/>
  <c r="DU79" i="23"/>
  <c r="DV79" i="23"/>
  <c r="DW79" i="23"/>
  <c r="DX79" i="23"/>
  <c r="DY79" i="23"/>
  <c r="DZ79" i="23"/>
  <c r="EA79" i="23"/>
  <c r="EB79" i="23"/>
  <c r="EC79" i="23"/>
  <c r="ED79" i="23"/>
  <c r="EE79" i="23"/>
  <c r="EF79" i="23"/>
  <c r="EG79" i="23"/>
  <c r="EH79" i="23"/>
  <c r="EI79" i="23"/>
  <c r="EJ79" i="23"/>
  <c r="EK79" i="23"/>
  <c r="EL79" i="23"/>
  <c r="EM79" i="23"/>
  <c r="EN79" i="23"/>
  <c r="EO79" i="23"/>
  <c r="EP79" i="23"/>
  <c r="EQ79" i="23"/>
  <c r="ER79" i="23"/>
  <c r="ES79" i="23"/>
  <c r="ET79" i="23"/>
  <c r="EU79" i="23"/>
  <c r="EV79" i="23"/>
  <c r="EW79" i="23"/>
  <c r="EX79" i="23"/>
  <c r="EY79" i="23"/>
  <c r="EZ79" i="23"/>
  <c r="FA79" i="23"/>
  <c r="FB79" i="23"/>
  <c r="FC79" i="23"/>
  <c r="FD79" i="23"/>
  <c r="FE79" i="23"/>
  <c r="FF79" i="23"/>
  <c r="FG79" i="23"/>
  <c r="FH79" i="23"/>
  <c r="FI79" i="23"/>
  <c r="FJ79" i="23"/>
  <c r="FK79" i="23"/>
  <c r="FL79" i="23"/>
  <c r="FM79" i="23"/>
  <c r="FN79" i="23"/>
  <c r="FO79" i="23"/>
  <c r="FP79" i="23"/>
  <c r="FQ79" i="23"/>
  <c r="FR79" i="23"/>
  <c r="FS79" i="23"/>
  <c r="FT79" i="23"/>
  <c r="FU79" i="23"/>
  <c r="FV79" i="23"/>
  <c r="FW79" i="23"/>
  <c r="FX79" i="23"/>
  <c r="FY79" i="23"/>
  <c r="FZ79" i="23"/>
  <c r="GA79" i="23"/>
  <c r="GB79" i="23"/>
  <c r="GC79" i="23"/>
  <c r="GD79" i="23"/>
  <c r="GE79" i="23"/>
  <c r="GF79" i="23"/>
  <c r="GG79" i="23"/>
  <c r="GH79" i="23"/>
  <c r="GI79" i="23"/>
  <c r="GJ79" i="23"/>
  <c r="GK79" i="23"/>
  <c r="GL79" i="23"/>
  <c r="GM79" i="23"/>
  <c r="GN79" i="23"/>
  <c r="GO79" i="23"/>
  <c r="GP79" i="23"/>
  <c r="GQ79" i="23"/>
  <c r="GR79" i="23"/>
  <c r="GS79" i="23"/>
  <c r="GT79" i="23"/>
  <c r="GU79" i="23"/>
  <c r="GV79" i="23"/>
  <c r="GW79" i="23"/>
  <c r="GX79" i="23"/>
  <c r="GY79" i="23"/>
  <c r="GZ79" i="23"/>
  <c r="HA79" i="23"/>
  <c r="HB79" i="23"/>
  <c r="HC79" i="23"/>
  <c r="HD79" i="23"/>
  <c r="HE79" i="23"/>
  <c r="HF79" i="23"/>
  <c r="HG79" i="23"/>
  <c r="HH79" i="23"/>
  <c r="HI79" i="23"/>
  <c r="HJ79" i="23"/>
  <c r="HK79" i="23"/>
  <c r="HL79" i="23"/>
  <c r="HM79" i="23"/>
  <c r="HN79" i="23"/>
  <c r="HO79" i="23"/>
  <c r="HP79" i="23"/>
  <c r="HQ79" i="23"/>
  <c r="HR79" i="23"/>
  <c r="HS79" i="23"/>
  <c r="HT79" i="23"/>
  <c r="HU79" i="23"/>
  <c r="HV79" i="23"/>
  <c r="HW79" i="23"/>
  <c r="HX79" i="23"/>
  <c r="HY79" i="23"/>
  <c r="HZ79" i="23"/>
  <c r="IA79" i="23"/>
  <c r="IB79" i="23"/>
  <c r="IC79" i="23"/>
  <c r="ID79" i="23"/>
  <c r="IE79" i="23"/>
  <c r="IF79" i="23"/>
  <c r="IG79" i="23"/>
  <c r="IH79" i="23"/>
  <c r="II79" i="23"/>
  <c r="IJ79" i="23"/>
  <c r="IK79" i="23"/>
  <c r="IL79" i="23"/>
  <c r="IM79" i="23"/>
  <c r="IN79" i="23"/>
  <c r="IO79" i="23"/>
  <c r="IP79" i="23"/>
  <c r="IQ79" i="23"/>
  <c r="IR79" i="23"/>
  <c r="IS79" i="23"/>
  <c r="IT79" i="23"/>
  <c r="IU79" i="23"/>
  <c r="IV79" i="23"/>
  <c r="A78" i="23"/>
  <c r="B78" i="23"/>
  <c r="C78" i="23"/>
  <c r="D78" i="23"/>
  <c r="E78" i="23"/>
  <c r="F78" i="23"/>
  <c r="G78" i="23"/>
  <c r="H78" i="23"/>
  <c r="I78" i="23"/>
  <c r="J78" i="23"/>
  <c r="K78" i="23"/>
  <c r="L78" i="23"/>
  <c r="M78" i="23"/>
  <c r="N78" i="23"/>
  <c r="O78" i="23"/>
  <c r="P78" i="23"/>
  <c r="Q78" i="23"/>
  <c r="R78" i="23"/>
  <c r="S78" i="23"/>
  <c r="T78" i="23"/>
  <c r="U78" i="23"/>
  <c r="V78" i="23"/>
  <c r="W78" i="23"/>
  <c r="X78" i="23"/>
  <c r="Y78" i="23"/>
  <c r="Z78" i="23"/>
  <c r="AA78" i="23"/>
  <c r="AB78" i="23"/>
  <c r="AC78" i="23"/>
  <c r="AD78" i="23"/>
  <c r="AE78" i="23"/>
  <c r="AF78" i="23"/>
  <c r="AG78" i="23"/>
  <c r="AH78" i="23"/>
  <c r="AI78" i="23"/>
  <c r="AJ78" i="23"/>
  <c r="AK78" i="23"/>
  <c r="AL78" i="23"/>
  <c r="AM78" i="23"/>
  <c r="AN78" i="23"/>
  <c r="AO78" i="23"/>
  <c r="AP78" i="23"/>
  <c r="AQ78" i="23"/>
  <c r="AR78" i="23"/>
  <c r="AS78" i="23"/>
  <c r="AT78" i="23"/>
  <c r="AU78" i="23"/>
  <c r="AV78" i="23"/>
  <c r="AW78" i="23"/>
  <c r="AX78" i="23"/>
  <c r="AY78" i="23"/>
  <c r="AZ78" i="23"/>
  <c r="BA78" i="23"/>
  <c r="BB78" i="23"/>
  <c r="BC78" i="23"/>
  <c r="BD78" i="23"/>
  <c r="BE78" i="23"/>
  <c r="BF78" i="23"/>
  <c r="BG78" i="23"/>
  <c r="BH78" i="23"/>
  <c r="BI78" i="23"/>
  <c r="BJ78" i="23"/>
  <c r="BK78" i="23"/>
  <c r="BL78" i="23"/>
  <c r="BM78" i="23"/>
  <c r="BN78" i="23"/>
  <c r="BO78" i="23"/>
  <c r="BP78" i="23"/>
  <c r="BQ78" i="23"/>
  <c r="BR78" i="23"/>
  <c r="BS78" i="23"/>
  <c r="BT78" i="23"/>
  <c r="BU78" i="23"/>
  <c r="BV78" i="23"/>
  <c r="BW78" i="23"/>
  <c r="BX78" i="23"/>
  <c r="BY78" i="23"/>
  <c r="BZ78" i="23"/>
  <c r="CA78" i="23"/>
  <c r="CB78" i="23"/>
  <c r="CC78" i="23"/>
  <c r="CD78" i="23"/>
  <c r="CE78" i="23"/>
  <c r="CF78" i="23"/>
  <c r="CG78" i="23"/>
  <c r="CH78" i="23"/>
  <c r="CI78" i="23"/>
  <c r="CJ78" i="23"/>
  <c r="CK78" i="23"/>
  <c r="CL78" i="23"/>
  <c r="CM78" i="23"/>
  <c r="CN78" i="23"/>
  <c r="CO78" i="23"/>
  <c r="CP78" i="23"/>
  <c r="CQ78" i="23"/>
  <c r="CR78" i="23"/>
  <c r="CS78" i="23"/>
  <c r="CT78" i="23"/>
  <c r="CU78" i="23"/>
  <c r="CV78" i="23"/>
  <c r="CW78" i="23"/>
  <c r="CX78" i="23"/>
  <c r="CY78" i="23"/>
  <c r="CZ78" i="23"/>
  <c r="DA78" i="23"/>
  <c r="DB78" i="23"/>
  <c r="DC78" i="23"/>
  <c r="DD78" i="23"/>
  <c r="DE78" i="23"/>
  <c r="DF78" i="23"/>
  <c r="DG78" i="23"/>
  <c r="DH78" i="23"/>
  <c r="DI78" i="23"/>
  <c r="DJ78" i="23"/>
  <c r="DK78" i="23"/>
  <c r="DL78" i="23"/>
  <c r="DM78" i="23"/>
  <c r="DN78" i="23"/>
  <c r="DO78" i="23"/>
  <c r="DP78" i="23"/>
  <c r="DQ78" i="23"/>
  <c r="DR78" i="23"/>
  <c r="DS78" i="23"/>
  <c r="DT78" i="23"/>
  <c r="DU78" i="23"/>
  <c r="DV78" i="23"/>
  <c r="DW78" i="23"/>
  <c r="DX78" i="23"/>
  <c r="DY78" i="23"/>
  <c r="DZ78" i="23"/>
  <c r="EA78" i="23"/>
  <c r="EB78" i="23"/>
  <c r="EC78" i="23"/>
  <c r="ED78" i="23"/>
  <c r="EE78" i="23"/>
  <c r="EF78" i="23"/>
  <c r="EG78" i="23"/>
  <c r="EH78" i="23"/>
  <c r="EI78" i="23"/>
  <c r="EJ78" i="23"/>
  <c r="EK78" i="23"/>
  <c r="EL78" i="23"/>
  <c r="EM78" i="23"/>
  <c r="EN78" i="23"/>
  <c r="EO78" i="23"/>
  <c r="EP78" i="23"/>
  <c r="EQ78" i="23"/>
  <c r="ER78" i="23"/>
  <c r="ES78" i="23"/>
  <c r="ET78" i="23"/>
  <c r="EU78" i="23"/>
  <c r="EV78" i="23"/>
  <c r="EW78" i="23"/>
  <c r="EX78" i="23"/>
  <c r="EY78" i="23"/>
  <c r="EZ78" i="23"/>
  <c r="FA78" i="23"/>
  <c r="FB78" i="23"/>
  <c r="FC78" i="23"/>
  <c r="FD78" i="23"/>
  <c r="FE78" i="23"/>
  <c r="FF78" i="23"/>
  <c r="FG78" i="23"/>
  <c r="FH78" i="23"/>
  <c r="FI78" i="23"/>
  <c r="FJ78" i="23"/>
  <c r="FK78" i="23"/>
  <c r="FL78" i="23"/>
  <c r="FM78" i="23"/>
  <c r="FN78" i="23"/>
  <c r="FO78" i="23"/>
  <c r="FP78" i="23"/>
  <c r="FQ78" i="23"/>
  <c r="FR78" i="23"/>
  <c r="FS78" i="23"/>
  <c r="FT78" i="23"/>
  <c r="FU78" i="23"/>
  <c r="FV78" i="23"/>
  <c r="FW78" i="23"/>
  <c r="FX78" i="23"/>
  <c r="FY78" i="23"/>
  <c r="FZ78" i="23"/>
  <c r="GA78" i="23"/>
  <c r="GB78" i="23"/>
  <c r="GC78" i="23"/>
  <c r="GD78" i="23"/>
  <c r="GE78" i="23"/>
  <c r="GF78" i="23"/>
  <c r="GG78" i="23"/>
  <c r="GH78" i="23"/>
  <c r="GI78" i="23"/>
  <c r="GJ78" i="23"/>
  <c r="GK78" i="23"/>
  <c r="GL78" i="23"/>
  <c r="GM78" i="23"/>
  <c r="GN78" i="23"/>
  <c r="GO78" i="23"/>
  <c r="GP78" i="23"/>
  <c r="GQ78" i="23"/>
  <c r="GR78" i="23"/>
  <c r="GS78" i="23"/>
  <c r="GT78" i="23"/>
  <c r="GU78" i="23"/>
  <c r="GV78" i="23"/>
  <c r="GW78" i="23"/>
  <c r="GX78" i="23"/>
  <c r="GY78" i="23"/>
  <c r="GZ78" i="23"/>
  <c r="HA78" i="23"/>
  <c r="HB78" i="23"/>
  <c r="HC78" i="23"/>
  <c r="HD78" i="23"/>
  <c r="HE78" i="23"/>
  <c r="HF78" i="23"/>
  <c r="HG78" i="23"/>
  <c r="HH78" i="23"/>
  <c r="HI78" i="23"/>
  <c r="HJ78" i="23"/>
  <c r="HK78" i="23"/>
  <c r="HL78" i="23"/>
  <c r="HM78" i="23"/>
  <c r="HN78" i="23"/>
  <c r="HO78" i="23"/>
  <c r="HP78" i="23"/>
  <c r="HQ78" i="23"/>
  <c r="HR78" i="23"/>
  <c r="HS78" i="23"/>
  <c r="HT78" i="23"/>
  <c r="HU78" i="23"/>
  <c r="HV78" i="23"/>
  <c r="HW78" i="23"/>
  <c r="HX78" i="23"/>
  <c r="HY78" i="23"/>
  <c r="HZ78" i="23"/>
  <c r="IA78" i="23"/>
  <c r="IB78" i="23"/>
  <c r="IC78" i="23"/>
  <c r="ID78" i="23"/>
  <c r="IE78" i="23"/>
  <c r="IF78" i="23"/>
  <c r="IG78" i="23"/>
  <c r="IH78" i="23"/>
  <c r="II78" i="23"/>
  <c r="IJ78" i="23"/>
  <c r="IK78" i="23"/>
  <c r="IL78" i="23"/>
  <c r="IM78" i="23"/>
  <c r="IN78" i="23"/>
  <c r="IO78" i="23"/>
  <c r="IP78" i="23"/>
  <c r="IQ78" i="23"/>
  <c r="IR78" i="23"/>
  <c r="IS78" i="23"/>
  <c r="IT78" i="23"/>
  <c r="IU78" i="23"/>
  <c r="IV78" i="23"/>
  <c r="A77" i="23"/>
  <c r="B77" i="23"/>
  <c r="C77" i="23"/>
  <c r="D77" i="23"/>
  <c r="E77" i="23"/>
  <c r="F77" i="23"/>
  <c r="G77" i="23"/>
  <c r="H77" i="23"/>
  <c r="I77" i="23"/>
  <c r="J77" i="23"/>
  <c r="K77" i="23"/>
  <c r="L77" i="23"/>
  <c r="M77" i="23"/>
  <c r="N77" i="23"/>
  <c r="O77" i="23"/>
  <c r="P77" i="23"/>
  <c r="Q77" i="23"/>
  <c r="R77" i="23"/>
  <c r="S77" i="23"/>
  <c r="T77" i="23"/>
  <c r="U77" i="23"/>
  <c r="V77" i="23"/>
  <c r="W77" i="23"/>
  <c r="X77" i="23"/>
  <c r="Y77" i="23"/>
  <c r="Z77" i="23"/>
  <c r="AA77" i="23"/>
  <c r="AB77" i="23"/>
  <c r="AC77" i="23"/>
  <c r="AD77" i="23"/>
  <c r="AE77" i="23"/>
  <c r="AF77" i="23"/>
  <c r="AG77" i="23"/>
  <c r="AH77" i="23"/>
  <c r="AI77" i="23"/>
  <c r="AJ77" i="23"/>
  <c r="AK77" i="23"/>
  <c r="AL77" i="23"/>
  <c r="AM77" i="23"/>
  <c r="AN77" i="23"/>
  <c r="AO77" i="23"/>
  <c r="AP77" i="23"/>
  <c r="AQ77" i="23"/>
  <c r="AR77" i="23"/>
  <c r="AS77" i="23"/>
  <c r="AT77" i="23"/>
  <c r="AU77" i="23"/>
  <c r="AV77" i="23"/>
  <c r="AW77" i="23"/>
  <c r="AX77" i="23"/>
  <c r="AY77" i="23"/>
  <c r="AZ77" i="23"/>
  <c r="BA77" i="23"/>
  <c r="BB77" i="23"/>
  <c r="BC77" i="23"/>
  <c r="BD77" i="23"/>
  <c r="BE77" i="23"/>
  <c r="BF77" i="23"/>
  <c r="BG77" i="23"/>
  <c r="BH77" i="23"/>
  <c r="BI77" i="23"/>
  <c r="BJ77" i="23"/>
  <c r="BK77" i="23"/>
  <c r="BL77" i="23"/>
  <c r="BM77" i="23"/>
  <c r="BN77" i="23"/>
  <c r="BO77" i="23"/>
  <c r="BP77" i="23"/>
  <c r="BQ77" i="23"/>
  <c r="BR77" i="23"/>
  <c r="BS77" i="23"/>
  <c r="BT77" i="23"/>
  <c r="BU77" i="23"/>
  <c r="BV77" i="23"/>
  <c r="BW77" i="23"/>
  <c r="BX77" i="23"/>
  <c r="BY77" i="23"/>
  <c r="BZ77" i="23"/>
  <c r="CA77" i="23"/>
  <c r="CB77" i="23"/>
  <c r="CC77" i="23"/>
  <c r="CD77" i="23"/>
  <c r="CE77" i="23"/>
  <c r="CF77" i="23"/>
  <c r="CG77" i="23"/>
  <c r="CH77" i="23"/>
  <c r="CI77" i="23"/>
  <c r="CJ77" i="23"/>
  <c r="CK77" i="23"/>
  <c r="CL77" i="23"/>
  <c r="CM77" i="23"/>
  <c r="CN77" i="23"/>
  <c r="CO77" i="23"/>
  <c r="CP77" i="23"/>
  <c r="CQ77" i="23"/>
  <c r="CR77" i="23"/>
  <c r="CS77" i="23"/>
  <c r="CT77" i="23"/>
  <c r="CU77" i="23"/>
  <c r="CV77" i="23"/>
  <c r="CW77" i="23"/>
  <c r="CX77" i="23"/>
  <c r="CY77" i="23"/>
  <c r="CZ77" i="23"/>
  <c r="DA77" i="23"/>
  <c r="DB77" i="23"/>
  <c r="DC77" i="23"/>
  <c r="DD77" i="23"/>
  <c r="DE77" i="23"/>
  <c r="DF77" i="23"/>
  <c r="DG77" i="23"/>
  <c r="DH77" i="23"/>
  <c r="DI77" i="23"/>
  <c r="DJ77" i="23"/>
  <c r="DK77" i="23"/>
  <c r="DL77" i="23"/>
  <c r="DM77" i="23"/>
  <c r="DN77" i="23"/>
  <c r="DO77" i="23"/>
  <c r="DP77" i="23"/>
  <c r="DQ77" i="23"/>
  <c r="DR77" i="23"/>
  <c r="DS77" i="23"/>
  <c r="DT77" i="23"/>
  <c r="DU77" i="23"/>
  <c r="DV77" i="23"/>
  <c r="DW77" i="23"/>
  <c r="DX77" i="23"/>
  <c r="DY77" i="23"/>
  <c r="DZ77" i="23"/>
  <c r="EA77" i="23"/>
  <c r="EB77" i="23"/>
  <c r="EC77" i="23"/>
  <c r="ED77" i="23"/>
  <c r="EE77" i="23"/>
  <c r="EF77" i="23"/>
  <c r="EG77" i="23"/>
  <c r="EH77" i="23"/>
  <c r="EI77" i="23"/>
  <c r="EJ77" i="23"/>
  <c r="EK77" i="23"/>
  <c r="EL77" i="23"/>
  <c r="EM77" i="23"/>
  <c r="EN77" i="23"/>
  <c r="EO77" i="23"/>
  <c r="EP77" i="23"/>
  <c r="EQ77" i="23"/>
  <c r="ER77" i="23"/>
  <c r="ES77" i="23"/>
  <c r="ET77" i="23"/>
  <c r="EU77" i="23"/>
  <c r="EV77" i="23"/>
  <c r="EW77" i="23"/>
  <c r="EX77" i="23"/>
  <c r="EY77" i="23"/>
  <c r="EZ77" i="23"/>
  <c r="FA77" i="23"/>
  <c r="FB77" i="23"/>
  <c r="FC77" i="23"/>
  <c r="FD77" i="23"/>
  <c r="FE77" i="23"/>
  <c r="FF77" i="23"/>
  <c r="FG77" i="23"/>
  <c r="FH77" i="23"/>
  <c r="FI77" i="23"/>
  <c r="FJ77" i="23"/>
  <c r="FK77" i="23"/>
  <c r="FL77" i="23"/>
  <c r="FM77" i="23"/>
  <c r="FN77" i="23"/>
  <c r="FO77" i="23"/>
  <c r="FP77" i="23"/>
  <c r="FQ77" i="23"/>
  <c r="FR77" i="23"/>
  <c r="FS77" i="23"/>
  <c r="FT77" i="23"/>
  <c r="FU77" i="23"/>
  <c r="FV77" i="23"/>
  <c r="FW77" i="23"/>
  <c r="FX77" i="23"/>
  <c r="FY77" i="23"/>
  <c r="FZ77" i="23"/>
  <c r="GA77" i="23"/>
  <c r="GB77" i="23"/>
  <c r="GC77" i="23"/>
  <c r="GD77" i="23"/>
  <c r="GE77" i="23"/>
  <c r="GF77" i="23"/>
  <c r="GG77" i="23"/>
  <c r="GH77" i="23"/>
  <c r="GI77" i="23"/>
  <c r="GJ77" i="23"/>
  <c r="GK77" i="23"/>
  <c r="GL77" i="23"/>
  <c r="GM77" i="23"/>
  <c r="GN77" i="23"/>
  <c r="GO77" i="23"/>
  <c r="GP77" i="23"/>
  <c r="GQ77" i="23"/>
  <c r="GR77" i="23"/>
  <c r="GS77" i="23"/>
  <c r="GT77" i="23"/>
  <c r="GU77" i="23"/>
  <c r="GV77" i="23"/>
  <c r="GW77" i="23"/>
  <c r="GX77" i="23"/>
  <c r="GY77" i="23"/>
  <c r="GZ77" i="23"/>
  <c r="HA77" i="23"/>
  <c r="HB77" i="23"/>
  <c r="HC77" i="23"/>
  <c r="HD77" i="23"/>
  <c r="HE77" i="23"/>
  <c r="HF77" i="23"/>
  <c r="HG77" i="23"/>
  <c r="HH77" i="23"/>
  <c r="HI77" i="23"/>
  <c r="HJ77" i="23"/>
  <c r="HK77" i="23"/>
  <c r="HL77" i="23"/>
  <c r="HM77" i="23"/>
  <c r="HN77" i="23"/>
  <c r="HO77" i="23"/>
  <c r="HP77" i="23"/>
  <c r="HQ77" i="23"/>
  <c r="HR77" i="23"/>
  <c r="HS77" i="23"/>
  <c r="HT77" i="23"/>
  <c r="HU77" i="23"/>
  <c r="HV77" i="23"/>
  <c r="HW77" i="23"/>
  <c r="HX77" i="23"/>
  <c r="HY77" i="23"/>
  <c r="HZ77" i="23"/>
  <c r="IA77" i="23"/>
  <c r="IB77" i="23"/>
  <c r="IC77" i="23"/>
  <c r="ID77" i="23"/>
  <c r="IE77" i="23"/>
  <c r="IF77" i="23"/>
  <c r="IG77" i="23"/>
  <c r="IH77" i="23"/>
  <c r="II77" i="23"/>
  <c r="IJ77" i="23"/>
  <c r="IK77" i="23"/>
  <c r="IL77" i="23"/>
  <c r="IM77" i="23"/>
  <c r="IN77" i="23"/>
  <c r="IO77" i="23"/>
  <c r="IP77" i="23"/>
  <c r="IQ77" i="23"/>
  <c r="IR77" i="23"/>
  <c r="IS77" i="23"/>
  <c r="IT77" i="23"/>
  <c r="IU77" i="23"/>
  <c r="IV77" i="23"/>
  <c r="A76" i="23"/>
  <c r="B76" i="23"/>
  <c r="C76" i="23"/>
  <c r="D76" i="23"/>
  <c r="E76" i="23"/>
  <c r="F76" i="23"/>
  <c r="G76" i="23"/>
  <c r="H76" i="23"/>
  <c r="I76" i="23"/>
  <c r="J76" i="23"/>
  <c r="K76" i="23"/>
  <c r="L76" i="23"/>
  <c r="M76" i="23"/>
  <c r="N76" i="23"/>
  <c r="O76" i="23"/>
  <c r="P76" i="23"/>
  <c r="Q76" i="23"/>
  <c r="R76" i="23"/>
  <c r="S76" i="23"/>
  <c r="T76" i="23"/>
  <c r="U76" i="23"/>
  <c r="V76" i="23"/>
  <c r="W76" i="23"/>
  <c r="X76" i="23"/>
  <c r="Y76" i="23"/>
  <c r="Z76" i="23"/>
  <c r="AA76" i="23"/>
  <c r="AB76" i="23"/>
  <c r="AC76" i="23"/>
  <c r="AD76" i="23"/>
  <c r="AE76" i="23"/>
  <c r="AF76" i="23"/>
  <c r="AG76" i="23"/>
  <c r="AH76" i="23"/>
  <c r="AI76" i="23"/>
  <c r="AJ76" i="23"/>
  <c r="AK76" i="23"/>
  <c r="AL76" i="23"/>
  <c r="AM76" i="23"/>
  <c r="AN76" i="23"/>
  <c r="AO76" i="23"/>
  <c r="AP76" i="23"/>
  <c r="AQ76" i="23"/>
  <c r="AR76" i="23"/>
  <c r="AS76" i="23"/>
  <c r="AT76" i="23"/>
  <c r="AU76" i="23"/>
  <c r="AV76" i="23"/>
  <c r="AW76" i="23"/>
  <c r="AX76" i="23"/>
  <c r="AY76" i="23"/>
  <c r="AZ76" i="23"/>
  <c r="BA76" i="23"/>
  <c r="BB76" i="23"/>
  <c r="BC76" i="23"/>
  <c r="BD76" i="23"/>
  <c r="BE76" i="23"/>
  <c r="BF76" i="23"/>
  <c r="BG76" i="23"/>
  <c r="BH76" i="23"/>
  <c r="BI76" i="23"/>
  <c r="BJ76" i="23"/>
  <c r="BK76" i="23"/>
  <c r="BL76" i="23"/>
  <c r="BM76" i="23"/>
  <c r="BN76" i="23"/>
  <c r="BO76" i="23"/>
  <c r="BP76" i="23"/>
  <c r="BQ76" i="23"/>
  <c r="BR76" i="23"/>
  <c r="BS76" i="23"/>
  <c r="BT76" i="23"/>
  <c r="BU76" i="23"/>
  <c r="BV76" i="23"/>
  <c r="BW76" i="23"/>
  <c r="BX76" i="23"/>
  <c r="BY76" i="23"/>
  <c r="BZ76" i="23"/>
  <c r="CA76" i="23"/>
  <c r="CB76" i="23"/>
  <c r="CC76" i="23"/>
  <c r="CD76" i="23"/>
  <c r="CE76" i="23"/>
  <c r="CF76" i="23"/>
  <c r="CG76" i="23"/>
  <c r="CH76" i="23"/>
  <c r="CI76" i="23"/>
  <c r="CJ76" i="23"/>
  <c r="CK76" i="23"/>
  <c r="CL76" i="23"/>
  <c r="CM76" i="23"/>
  <c r="CN76" i="23"/>
  <c r="CO76" i="23"/>
  <c r="CP76" i="23"/>
  <c r="CQ76" i="23"/>
  <c r="CR76" i="23"/>
  <c r="CS76" i="23"/>
  <c r="CT76" i="23"/>
  <c r="CU76" i="23"/>
  <c r="CV76" i="23"/>
  <c r="CW76" i="23"/>
  <c r="CX76" i="23"/>
  <c r="CY76" i="23"/>
  <c r="CZ76" i="23"/>
  <c r="DA76" i="23"/>
  <c r="DB76" i="23"/>
  <c r="DC76" i="23"/>
  <c r="DD76" i="23"/>
  <c r="DE76" i="23"/>
  <c r="DF76" i="23"/>
  <c r="DG76" i="23"/>
  <c r="DH76" i="23"/>
  <c r="DI76" i="23"/>
  <c r="DJ76" i="23"/>
  <c r="DK76" i="23"/>
  <c r="DL76" i="23"/>
  <c r="DM76" i="23"/>
  <c r="DN76" i="23"/>
  <c r="DO76" i="23"/>
  <c r="DP76" i="23"/>
  <c r="DQ76" i="23"/>
  <c r="DR76" i="23"/>
  <c r="DS76" i="23"/>
  <c r="DT76" i="23"/>
  <c r="DU76" i="23"/>
  <c r="DV76" i="23"/>
  <c r="DW76" i="23"/>
  <c r="DX76" i="23"/>
  <c r="DY76" i="23"/>
  <c r="DZ76" i="23"/>
  <c r="EA76" i="23"/>
  <c r="EB76" i="23"/>
  <c r="EC76" i="23"/>
  <c r="ED76" i="23"/>
  <c r="EE76" i="23"/>
  <c r="EF76" i="23"/>
  <c r="EG76" i="23"/>
  <c r="EH76" i="23"/>
  <c r="EI76" i="23"/>
  <c r="EJ76" i="23"/>
  <c r="EK76" i="23"/>
  <c r="EL76" i="23"/>
  <c r="EM76" i="23"/>
  <c r="EN76" i="23"/>
  <c r="EO76" i="23"/>
  <c r="EP76" i="23"/>
  <c r="EQ76" i="23"/>
  <c r="ER76" i="23"/>
  <c r="ES76" i="23"/>
  <c r="ET76" i="23"/>
  <c r="EU76" i="23"/>
  <c r="EV76" i="23"/>
  <c r="EW76" i="23"/>
  <c r="EX76" i="23"/>
  <c r="EY76" i="23"/>
  <c r="EZ76" i="23"/>
  <c r="FA76" i="23"/>
  <c r="FB76" i="23"/>
  <c r="FC76" i="23"/>
  <c r="FD76" i="23"/>
  <c r="FE76" i="23"/>
  <c r="FF76" i="23"/>
  <c r="FG76" i="23"/>
  <c r="FH76" i="23"/>
  <c r="FI76" i="23"/>
  <c r="FJ76" i="23"/>
  <c r="FK76" i="23"/>
  <c r="FL76" i="23"/>
  <c r="FM76" i="23"/>
  <c r="FN76" i="23"/>
  <c r="FO76" i="23"/>
  <c r="FP76" i="23"/>
  <c r="FQ76" i="23"/>
  <c r="FR76" i="23"/>
  <c r="FS76" i="23"/>
  <c r="FT76" i="23"/>
  <c r="FU76" i="23"/>
  <c r="FV76" i="23"/>
  <c r="FW76" i="23"/>
  <c r="FX76" i="23"/>
  <c r="FY76" i="23"/>
  <c r="FZ76" i="23"/>
  <c r="GA76" i="23"/>
  <c r="GB76" i="23"/>
  <c r="GC76" i="23"/>
  <c r="GD76" i="23"/>
  <c r="GE76" i="23"/>
  <c r="GF76" i="23"/>
  <c r="GG76" i="23"/>
  <c r="GH76" i="23"/>
  <c r="GI76" i="23"/>
  <c r="GJ76" i="23"/>
  <c r="GK76" i="23"/>
  <c r="GL76" i="23"/>
  <c r="GM76" i="23"/>
  <c r="GN76" i="23"/>
  <c r="GO76" i="23"/>
  <c r="GP76" i="23"/>
  <c r="GQ76" i="23"/>
  <c r="GR76" i="23"/>
  <c r="GS76" i="23"/>
  <c r="GT76" i="23"/>
  <c r="GU76" i="23"/>
  <c r="GV76" i="23"/>
  <c r="GW76" i="23"/>
  <c r="GX76" i="23"/>
  <c r="GY76" i="23"/>
  <c r="GZ76" i="23"/>
  <c r="HA76" i="23"/>
  <c r="HB76" i="23"/>
  <c r="HC76" i="23"/>
  <c r="HD76" i="23"/>
  <c r="HE76" i="23"/>
  <c r="HF76" i="23"/>
  <c r="HG76" i="23"/>
  <c r="HH76" i="23"/>
  <c r="HI76" i="23"/>
  <c r="HJ76" i="23"/>
  <c r="HK76" i="23"/>
  <c r="HL76" i="23"/>
  <c r="HM76" i="23"/>
  <c r="HN76" i="23"/>
  <c r="HO76" i="23"/>
  <c r="HP76" i="23"/>
  <c r="HQ76" i="23"/>
  <c r="HR76" i="23"/>
  <c r="HS76" i="23"/>
  <c r="HT76" i="23"/>
  <c r="HU76" i="23"/>
  <c r="HV76" i="23"/>
  <c r="HW76" i="23"/>
  <c r="HX76" i="23"/>
  <c r="HY76" i="23"/>
  <c r="HZ76" i="23"/>
  <c r="IA76" i="23"/>
  <c r="IB76" i="23"/>
  <c r="IC76" i="23"/>
  <c r="ID76" i="23"/>
  <c r="IE76" i="23"/>
  <c r="IF76" i="23"/>
  <c r="IG76" i="23"/>
  <c r="IH76" i="23"/>
  <c r="II76" i="23"/>
  <c r="IJ76" i="23"/>
  <c r="IK76" i="23"/>
  <c r="IL76" i="23"/>
  <c r="IM76" i="23"/>
  <c r="IN76" i="23"/>
  <c r="IO76" i="23"/>
  <c r="IP76" i="23"/>
  <c r="IQ76" i="23"/>
  <c r="IR76" i="23"/>
  <c r="IS76" i="23"/>
  <c r="IT76" i="23"/>
  <c r="IU76" i="23"/>
  <c r="IV76" i="23"/>
  <c r="A75" i="23"/>
  <c r="B75" i="23"/>
  <c r="C75" i="23"/>
  <c r="D75" i="23"/>
  <c r="E75" i="23"/>
  <c r="F75" i="23"/>
  <c r="G75" i="23"/>
  <c r="H75" i="23"/>
  <c r="I75" i="23"/>
  <c r="J75" i="23"/>
  <c r="K75" i="23"/>
  <c r="L75" i="23"/>
  <c r="M75" i="23"/>
  <c r="N75" i="23"/>
  <c r="O75" i="23"/>
  <c r="P75" i="23"/>
  <c r="Q75" i="23"/>
  <c r="R75" i="23"/>
  <c r="S75" i="23"/>
  <c r="T75" i="23"/>
  <c r="U75" i="23"/>
  <c r="V75" i="23"/>
  <c r="W75" i="23"/>
  <c r="X75" i="23"/>
  <c r="Y75" i="23"/>
  <c r="Z75" i="23"/>
  <c r="AA75" i="23"/>
  <c r="AB75" i="23"/>
  <c r="AC75" i="23"/>
  <c r="AD75" i="23"/>
  <c r="AE75" i="23"/>
  <c r="AF75" i="23"/>
  <c r="AG75" i="23"/>
  <c r="AH75" i="23"/>
  <c r="AI75" i="23"/>
  <c r="AJ75" i="23"/>
  <c r="AK75" i="23"/>
  <c r="AL75" i="23"/>
  <c r="AM75" i="23"/>
  <c r="AN75" i="23"/>
  <c r="AO75" i="23"/>
  <c r="AP75" i="23"/>
  <c r="AQ75" i="23"/>
  <c r="AR75" i="23"/>
  <c r="AS75" i="23"/>
  <c r="AT75" i="23"/>
  <c r="AU75" i="23"/>
  <c r="AV75" i="23"/>
  <c r="AW75" i="23"/>
  <c r="AX75" i="23"/>
  <c r="AY75" i="23"/>
  <c r="AZ75" i="23"/>
  <c r="BA75" i="23"/>
  <c r="BB75" i="23"/>
  <c r="BC75" i="23"/>
  <c r="BD75" i="23"/>
  <c r="BE75" i="23"/>
  <c r="BF75" i="23"/>
  <c r="BG75" i="23"/>
  <c r="BH75" i="23"/>
  <c r="BI75" i="23"/>
  <c r="BJ75" i="23"/>
  <c r="BK75" i="23"/>
  <c r="BL75" i="23"/>
  <c r="BM75" i="23"/>
  <c r="BN75" i="23"/>
  <c r="BO75" i="23"/>
  <c r="BP75" i="23"/>
  <c r="BQ75" i="23"/>
  <c r="BR75" i="23"/>
  <c r="BS75" i="23"/>
  <c r="BT75" i="23"/>
  <c r="BU75" i="23"/>
  <c r="BV75" i="23"/>
  <c r="BW75" i="23"/>
  <c r="BX75" i="23"/>
  <c r="BY75" i="23"/>
  <c r="BZ75" i="23"/>
  <c r="CA75" i="23"/>
  <c r="CB75" i="23"/>
  <c r="CC75" i="23"/>
  <c r="CD75" i="23"/>
  <c r="CE75" i="23"/>
  <c r="CF75" i="23"/>
  <c r="CG75" i="23"/>
  <c r="CH75" i="23"/>
  <c r="CI75" i="23"/>
  <c r="CJ75" i="23"/>
  <c r="CK75" i="23"/>
  <c r="CL75" i="23"/>
  <c r="CM75" i="23"/>
  <c r="CN75" i="23"/>
  <c r="CO75" i="23"/>
  <c r="CP75" i="23"/>
  <c r="CQ75" i="23"/>
  <c r="CR75" i="23"/>
  <c r="CS75" i="23"/>
  <c r="CT75" i="23"/>
  <c r="CU75" i="23"/>
  <c r="CV75" i="23"/>
  <c r="CW75" i="23"/>
  <c r="CX75" i="23"/>
  <c r="CY75" i="23"/>
  <c r="CZ75" i="23"/>
  <c r="DA75" i="23"/>
  <c r="DB75" i="23"/>
  <c r="DC75" i="23"/>
  <c r="DD75" i="23"/>
  <c r="DE75" i="23"/>
  <c r="DF75" i="23"/>
  <c r="DG75" i="23"/>
  <c r="DH75" i="23"/>
  <c r="DI75" i="23"/>
  <c r="DJ75" i="23"/>
  <c r="DK75" i="23"/>
  <c r="DL75" i="23"/>
  <c r="DM75" i="23"/>
  <c r="DN75" i="23"/>
  <c r="DO75" i="23"/>
  <c r="DP75" i="23"/>
  <c r="DQ75" i="23"/>
  <c r="DR75" i="23"/>
  <c r="DS75" i="23"/>
  <c r="DT75" i="23"/>
  <c r="DU75" i="23"/>
  <c r="DV75" i="23"/>
  <c r="DW75" i="23"/>
  <c r="DX75" i="23"/>
  <c r="DY75" i="23"/>
  <c r="DZ75" i="23"/>
  <c r="EA75" i="23"/>
  <c r="EB75" i="23"/>
  <c r="EC75" i="23"/>
  <c r="ED75" i="23"/>
  <c r="EE75" i="23"/>
  <c r="EF75" i="23"/>
  <c r="EG75" i="23"/>
  <c r="EH75" i="23"/>
  <c r="EI75" i="23"/>
  <c r="EJ75" i="23"/>
  <c r="EK75" i="23"/>
  <c r="EL75" i="23"/>
  <c r="EM75" i="23"/>
  <c r="EN75" i="23"/>
  <c r="EO75" i="23"/>
  <c r="EP75" i="23"/>
  <c r="EQ75" i="23"/>
  <c r="ER75" i="23"/>
  <c r="ES75" i="23"/>
  <c r="ET75" i="23"/>
  <c r="EU75" i="23"/>
  <c r="EV75" i="23"/>
  <c r="EW75" i="23"/>
  <c r="EX75" i="23"/>
  <c r="EY75" i="23"/>
  <c r="EZ75" i="23"/>
  <c r="FA75" i="23"/>
  <c r="FB75" i="23"/>
  <c r="FC75" i="23"/>
  <c r="FD75" i="23"/>
  <c r="FE75" i="23"/>
  <c r="FF75" i="23"/>
  <c r="FG75" i="23"/>
  <c r="FH75" i="23"/>
  <c r="FI75" i="23"/>
  <c r="FJ75" i="23"/>
  <c r="FK75" i="23"/>
  <c r="FL75" i="23"/>
  <c r="FM75" i="23"/>
  <c r="FN75" i="23"/>
  <c r="FO75" i="23"/>
  <c r="FP75" i="23"/>
  <c r="FQ75" i="23"/>
  <c r="FR75" i="23"/>
  <c r="FS75" i="23"/>
  <c r="FT75" i="23"/>
  <c r="FU75" i="23"/>
  <c r="FV75" i="23"/>
  <c r="FW75" i="23"/>
  <c r="FX75" i="23"/>
  <c r="FY75" i="23"/>
  <c r="FZ75" i="23"/>
  <c r="GA75" i="23"/>
  <c r="GB75" i="23"/>
  <c r="GC75" i="23"/>
  <c r="GD75" i="23"/>
  <c r="GE75" i="23"/>
  <c r="GF75" i="23"/>
  <c r="GG75" i="23"/>
  <c r="GH75" i="23"/>
  <c r="GI75" i="23"/>
  <c r="GJ75" i="23"/>
  <c r="GK75" i="23"/>
  <c r="GL75" i="23"/>
  <c r="GM75" i="23"/>
  <c r="GN75" i="23"/>
  <c r="GO75" i="23"/>
  <c r="GP75" i="23"/>
  <c r="GQ75" i="23"/>
  <c r="GR75" i="23"/>
  <c r="GS75" i="23"/>
  <c r="GT75" i="23"/>
  <c r="GU75" i="23"/>
  <c r="GV75" i="23"/>
  <c r="GW75" i="23"/>
  <c r="GX75" i="23"/>
  <c r="GY75" i="23"/>
  <c r="GZ75" i="23"/>
  <c r="HA75" i="23"/>
  <c r="HB75" i="23"/>
  <c r="HC75" i="23"/>
  <c r="HD75" i="23"/>
  <c r="HE75" i="23"/>
  <c r="HF75" i="23"/>
  <c r="HG75" i="23"/>
  <c r="HH75" i="23"/>
  <c r="HI75" i="23"/>
  <c r="HJ75" i="23"/>
  <c r="HK75" i="23"/>
  <c r="HL75" i="23"/>
  <c r="HM75" i="23"/>
  <c r="HN75" i="23"/>
  <c r="HO75" i="23"/>
  <c r="HP75" i="23"/>
  <c r="HQ75" i="23"/>
  <c r="HR75" i="23"/>
  <c r="HS75" i="23"/>
  <c r="HT75" i="23"/>
  <c r="HU75" i="23"/>
  <c r="HV75" i="23"/>
  <c r="HW75" i="23"/>
  <c r="HX75" i="23"/>
  <c r="HY75" i="23"/>
  <c r="HZ75" i="23"/>
  <c r="IA75" i="23"/>
  <c r="IB75" i="23"/>
  <c r="IC75" i="23"/>
  <c r="ID75" i="23"/>
  <c r="IE75" i="23"/>
  <c r="IF75" i="23"/>
  <c r="IG75" i="23"/>
  <c r="IH75" i="23"/>
  <c r="II75" i="23"/>
  <c r="IJ75" i="23"/>
  <c r="IK75" i="23"/>
  <c r="IL75" i="23"/>
  <c r="IM75" i="23"/>
  <c r="IN75" i="23"/>
  <c r="IO75" i="23"/>
  <c r="IP75" i="23"/>
  <c r="IQ75" i="23"/>
  <c r="IR75" i="23"/>
  <c r="IS75" i="23"/>
  <c r="IT75" i="23"/>
  <c r="IU75" i="23"/>
  <c r="IV75" i="23"/>
  <c r="A74" i="23"/>
  <c r="B74" i="23"/>
  <c r="C74" i="23"/>
  <c r="D74" i="23"/>
  <c r="E74" i="23"/>
  <c r="F74" i="23"/>
  <c r="G74" i="23"/>
  <c r="H74" i="23"/>
  <c r="I74" i="23"/>
  <c r="J74" i="23"/>
  <c r="K74" i="23"/>
  <c r="L74" i="23"/>
  <c r="M74" i="23"/>
  <c r="N74" i="23"/>
  <c r="O74" i="23"/>
  <c r="P74" i="23"/>
  <c r="Q74" i="23"/>
  <c r="R74" i="23"/>
  <c r="S74" i="23"/>
  <c r="T74" i="23"/>
  <c r="U74" i="23"/>
  <c r="V74" i="23"/>
  <c r="W74" i="23"/>
  <c r="X74" i="23"/>
  <c r="Y74" i="23"/>
  <c r="Z74" i="23"/>
  <c r="AA74" i="23"/>
  <c r="AB74" i="23"/>
  <c r="AC74" i="23"/>
  <c r="AD74" i="23"/>
  <c r="AE74" i="23"/>
  <c r="AF74" i="23"/>
  <c r="AG74" i="23"/>
  <c r="AH74" i="23"/>
  <c r="AI74" i="23"/>
  <c r="AJ74" i="23"/>
  <c r="AK74" i="23"/>
  <c r="AL74" i="23"/>
  <c r="AM74" i="23"/>
  <c r="AN74" i="23"/>
  <c r="AO74" i="23"/>
  <c r="AP74" i="23"/>
  <c r="AQ74" i="23"/>
  <c r="AR74" i="23"/>
  <c r="AS74" i="23"/>
  <c r="AT74" i="23"/>
  <c r="AU74" i="23"/>
  <c r="AV74" i="23"/>
  <c r="AW74" i="23"/>
  <c r="AX74" i="23"/>
  <c r="AY74" i="23"/>
  <c r="AZ74" i="23"/>
  <c r="BA74" i="23"/>
  <c r="BB74" i="23"/>
  <c r="BC74" i="23"/>
  <c r="BD74" i="23"/>
  <c r="BE74" i="23"/>
  <c r="BF74" i="23"/>
  <c r="BG74" i="23"/>
  <c r="BH74" i="23"/>
  <c r="BI74" i="23"/>
  <c r="BJ74" i="23"/>
  <c r="BK74" i="23"/>
  <c r="BL74" i="23"/>
  <c r="BM74" i="23"/>
  <c r="BN74" i="23"/>
  <c r="BO74" i="23"/>
  <c r="BP74" i="23"/>
  <c r="BQ74" i="23"/>
  <c r="BR74" i="23"/>
  <c r="BS74" i="23"/>
  <c r="BT74" i="23"/>
  <c r="BU74" i="23"/>
  <c r="BV74" i="23"/>
  <c r="BW74" i="23"/>
  <c r="BX74" i="23"/>
  <c r="BY74" i="23"/>
  <c r="BZ74" i="23"/>
  <c r="CA74" i="23"/>
  <c r="CB74" i="23"/>
  <c r="CC74" i="23"/>
  <c r="CD74" i="23"/>
  <c r="CE74" i="23"/>
  <c r="CF74" i="23"/>
  <c r="CG74" i="23"/>
  <c r="CH74" i="23"/>
  <c r="CI74" i="23"/>
  <c r="CJ74" i="23"/>
  <c r="CK74" i="23"/>
  <c r="CL74" i="23"/>
  <c r="CM74" i="23"/>
  <c r="CN74" i="23"/>
  <c r="CO74" i="23"/>
  <c r="CP74" i="23"/>
  <c r="CQ74" i="23"/>
  <c r="CR74" i="23"/>
  <c r="CS74" i="23"/>
  <c r="CT74" i="23"/>
  <c r="CU74" i="23"/>
  <c r="CV74" i="23"/>
  <c r="CW74" i="23"/>
  <c r="CX74" i="23"/>
  <c r="CY74" i="23"/>
  <c r="CZ74" i="23"/>
  <c r="DA74" i="23"/>
  <c r="DB74" i="23"/>
  <c r="DC74" i="23"/>
  <c r="DD74" i="23"/>
  <c r="DE74" i="23"/>
  <c r="DF74" i="23"/>
  <c r="DG74" i="23"/>
  <c r="DH74" i="23"/>
  <c r="DI74" i="23"/>
  <c r="DJ74" i="23"/>
  <c r="DK74" i="23"/>
  <c r="DL74" i="23"/>
  <c r="DM74" i="23"/>
  <c r="DN74" i="23"/>
  <c r="DO74" i="23"/>
  <c r="DP74" i="23"/>
  <c r="DQ74" i="23"/>
  <c r="DR74" i="23"/>
  <c r="DS74" i="23"/>
  <c r="DT74" i="23"/>
  <c r="DU74" i="23"/>
  <c r="DV74" i="23"/>
  <c r="DW74" i="23"/>
  <c r="DX74" i="23"/>
  <c r="DY74" i="23"/>
  <c r="DZ74" i="23"/>
  <c r="EA74" i="23"/>
  <c r="EB74" i="23"/>
  <c r="EC74" i="23"/>
  <c r="ED74" i="23"/>
  <c r="EE74" i="23"/>
  <c r="EF74" i="23"/>
  <c r="EG74" i="23"/>
  <c r="EH74" i="23"/>
  <c r="EI74" i="23"/>
  <c r="EJ74" i="23"/>
  <c r="EK74" i="23"/>
  <c r="EL74" i="23"/>
  <c r="EM74" i="23"/>
  <c r="EN74" i="23"/>
  <c r="EO74" i="23"/>
  <c r="EP74" i="23"/>
  <c r="EQ74" i="23"/>
  <c r="ER74" i="23"/>
  <c r="ES74" i="23"/>
  <c r="ET74" i="23"/>
  <c r="EU74" i="23"/>
  <c r="EV74" i="23"/>
  <c r="EW74" i="23"/>
  <c r="EX74" i="23"/>
  <c r="EY74" i="23"/>
  <c r="EZ74" i="23"/>
  <c r="FA74" i="23"/>
  <c r="FB74" i="23"/>
  <c r="FC74" i="23"/>
  <c r="FD74" i="23"/>
  <c r="FE74" i="23"/>
  <c r="FF74" i="23"/>
  <c r="FG74" i="23"/>
  <c r="FH74" i="23"/>
  <c r="FI74" i="23"/>
  <c r="FJ74" i="23"/>
  <c r="FK74" i="23"/>
  <c r="FL74" i="23"/>
  <c r="FM74" i="23"/>
  <c r="FN74" i="23"/>
  <c r="FO74" i="23"/>
  <c r="FP74" i="23"/>
  <c r="FQ74" i="23"/>
  <c r="FR74" i="23"/>
  <c r="FS74" i="23"/>
  <c r="FT74" i="23"/>
  <c r="FU74" i="23"/>
  <c r="FV74" i="23"/>
  <c r="FW74" i="23"/>
  <c r="FX74" i="23"/>
  <c r="FY74" i="23"/>
  <c r="FZ74" i="23"/>
  <c r="GA74" i="23"/>
  <c r="GB74" i="23"/>
  <c r="GC74" i="23"/>
  <c r="GD74" i="23"/>
  <c r="GE74" i="23"/>
  <c r="GF74" i="23"/>
  <c r="GG74" i="23"/>
  <c r="GH74" i="23"/>
  <c r="GI74" i="23"/>
  <c r="GJ74" i="23"/>
  <c r="GK74" i="23"/>
  <c r="GL74" i="23"/>
  <c r="GM74" i="23"/>
  <c r="GN74" i="23"/>
  <c r="GO74" i="23"/>
  <c r="GP74" i="23"/>
  <c r="GQ74" i="23"/>
  <c r="GR74" i="23"/>
  <c r="GS74" i="23"/>
  <c r="GT74" i="23"/>
  <c r="GU74" i="23"/>
  <c r="GV74" i="23"/>
  <c r="GW74" i="23"/>
  <c r="GX74" i="23"/>
  <c r="GY74" i="23"/>
  <c r="GZ74" i="23"/>
  <c r="HA74" i="23"/>
  <c r="HB74" i="23"/>
  <c r="HC74" i="23"/>
  <c r="HD74" i="23"/>
  <c r="HE74" i="23"/>
  <c r="HF74" i="23"/>
  <c r="HG74" i="23"/>
  <c r="HH74" i="23"/>
  <c r="HI74" i="23"/>
  <c r="HJ74" i="23"/>
  <c r="HK74" i="23"/>
  <c r="HL74" i="23"/>
  <c r="HM74" i="23"/>
  <c r="HN74" i="23"/>
  <c r="HO74" i="23"/>
  <c r="HP74" i="23"/>
  <c r="HQ74" i="23"/>
  <c r="HR74" i="23"/>
  <c r="HS74" i="23"/>
  <c r="HT74" i="23"/>
  <c r="HU74" i="23"/>
  <c r="HV74" i="23"/>
  <c r="HW74" i="23"/>
  <c r="HX74" i="23"/>
  <c r="HY74" i="23"/>
  <c r="HZ74" i="23"/>
  <c r="IA74" i="23"/>
  <c r="IB74" i="23"/>
  <c r="IC74" i="23"/>
  <c r="ID74" i="23"/>
  <c r="IE74" i="23"/>
  <c r="IF74" i="23"/>
  <c r="IG74" i="23"/>
  <c r="IH74" i="23"/>
  <c r="II74" i="23"/>
  <c r="IJ74" i="23"/>
  <c r="IK74" i="23"/>
  <c r="IL74" i="23"/>
  <c r="IM74" i="23"/>
  <c r="IN74" i="23"/>
  <c r="IO74" i="23"/>
  <c r="IP74" i="23"/>
  <c r="IQ74" i="23"/>
  <c r="IR74" i="23"/>
  <c r="IS74" i="23"/>
  <c r="IT74" i="23"/>
  <c r="IU74" i="23"/>
  <c r="IV74" i="23"/>
  <c r="A73" i="23"/>
  <c r="B73" i="23"/>
  <c r="C73" i="23"/>
  <c r="D73" i="23"/>
  <c r="E73" i="23"/>
  <c r="F73" i="23"/>
  <c r="G73" i="23"/>
  <c r="H73" i="23"/>
  <c r="I73" i="23"/>
  <c r="J73" i="23"/>
  <c r="K73" i="23"/>
  <c r="L73" i="23"/>
  <c r="M73" i="23"/>
  <c r="N73" i="23"/>
  <c r="O73" i="23"/>
  <c r="P73" i="23"/>
  <c r="Q73" i="23"/>
  <c r="R73" i="23"/>
  <c r="S73" i="23"/>
  <c r="T73" i="23"/>
  <c r="U73" i="23"/>
  <c r="V73" i="23"/>
  <c r="W73" i="23"/>
  <c r="X73" i="23"/>
  <c r="Y73" i="23"/>
  <c r="Z73" i="23"/>
  <c r="AA73" i="23"/>
  <c r="AB73" i="23"/>
  <c r="AC73" i="23"/>
  <c r="AD73" i="23"/>
  <c r="AE73" i="23"/>
  <c r="AF73" i="23"/>
  <c r="AG73" i="23"/>
  <c r="AH73" i="23"/>
  <c r="AI73" i="23"/>
  <c r="AJ73" i="23"/>
  <c r="AK73" i="23"/>
  <c r="AL73" i="23"/>
  <c r="AM73" i="23"/>
  <c r="AN73" i="23"/>
  <c r="AO73" i="23"/>
  <c r="AP73" i="23"/>
  <c r="AQ73" i="23"/>
  <c r="AR73" i="23"/>
  <c r="AS73" i="23"/>
  <c r="AT73" i="23"/>
  <c r="AU73" i="23"/>
  <c r="AV73" i="23"/>
  <c r="AW73" i="23"/>
  <c r="AX73" i="23"/>
  <c r="AY73" i="23"/>
  <c r="AZ73" i="23"/>
  <c r="BA73" i="23"/>
  <c r="BB73" i="23"/>
  <c r="BC73" i="23"/>
  <c r="BD73" i="23"/>
  <c r="BE73" i="23"/>
  <c r="BF73" i="23"/>
  <c r="BG73" i="23"/>
  <c r="BH73" i="23"/>
  <c r="BI73" i="23"/>
  <c r="BJ73" i="23"/>
  <c r="BK73" i="23"/>
  <c r="BL73" i="23"/>
  <c r="BM73" i="23"/>
  <c r="BN73" i="23"/>
  <c r="BO73" i="23"/>
  <c r="BP73" i="23"/>
  <c r="BQ73" i="23"/>
  <c r="BR73" i="23"/>
  <c r="BS73" i="23"/>
  <c r="BT73" i="23"/>
  <c r="BU73" i="23"/>
  <c r="BV73" i="23"/>
  <c r="BW73" i="23"/>
  <c r="BX73" i="23"/>
  <c r="BY73" i="23"/>
  <c r="BZ73" i="23"/>
  <c r="CA73" i="23"/>
  <c r="CB73" i="23"/>
  <c r="CC73" i="23"/>
  <c r="CD73" i="23"/>
  <c r="CE73" i="23"/>
  <c r="CF73" i="23"/>
  <c r="CG73" i="23"/>
  <c r="CH73" i="23"/>
  <c r="CI73" i="23"/>
  <c r="CJ73" i="23"/>
  <c r="CK73" i="23"/>
  <c r="CL73" i="23"/>
  <c r="CM73" i="23"/>
  <c r="CN73" i="23"/>
  <c r="CO73" i="23"/>
  <c r="CP73" i="23"/>
  <c r="CQ73" i="23"/>
  <c r="CR73" i="23"/>
  <c r="CS73" i="23"/>
  <c r="CT73" i="23"/>
  <c r="CU73" i="23"/>
  <c r="CV73" i="23"/>
  <c r="CW73" i="23"/>
  <c r="CX73" i="23"/>
  <c r="CY73" i="23"/>
  <c r="CZ73" i="23"/>
  <c r="DA73" i="23"/>
  <c r="DB73" i="23"/>
  <c r="DC73" i="23"/>
  <c r="DD73" i="23"/>
  <c r="DE73" i="23"/>
  <c r="DF73" i="23"/>
  <c r="DG73" i="23"/>
  <c r="DH73" i="23"/>
  <c r="DI73" i="23"/>
  <c r="DJ73" i="23"/>
  <c r="DK73" i="23"/>
  <c r="DL73" i="23"/>
  <c r="DM73" i="23"/>
  <c r="DN73" i="23"/>
  <c r="DO73" i="23"/>
  <c r="DP73" i="23"/>
  <c r="DQ73" i="23"/>
  <c r="DR73" i="23"/>
  <c r="DS73" i="23"/>
  <c r="DT73" i="23"/>
  <c r="DU73" i="23"/>
  <c r="DV73" i="23"/>
  <c r="DW73" i="23"/>
  <c r="DX73" i="23"/>
  <c r="DY73" i="23"/>
  <c r="DZ73" i="23"/>
  <c r="EA73" i="23"/>
  <c r="EB73" i="23"/>
  <c r="EC73" i="23"/>
  <c r="ED73" i="23"/>
  <c r="EE73" i="23"/>
  <c r="EF73" i="23"/>
  <c r="EG73" i="23"/>
  <c r="EH73" i="23"/>
  <c r="EI73" i="23"/>
  <c r="EJ73" i="23"/>
  <c r="EK73" i="23"/>
  <c r="EL73" i="23"/>
  <c r="EM73" i="23"/>
  <c r="EN73" i="23"/>
  <c r="EO73" i="23"/>
  <c r="EP73" i="23"/>
  <c r="EQ73" i="23"/>
  <c r="ER73" i="23"/>
  <c r="ES73" i="23"/>
  <c r="ET73" i="23"/>
  <c r="EU73" i="23"/>
  <c r="EV73" i="23"/>
  <c r="EW73" i="23"/>
  <c r="EX73" i="23"/>
  <c r="EY73" i="23"/>
  <c r="EZ73" i="23"/>
  <c r="FA73" i="23"/>
  <c r="FB73" i="23"/>
  <c r="FC73" i="23"/>
  <c r="FD73" i="23"/>
  <c r="FE73" i="23"/>
  <c r="FF73" i="23"/>
  <c r="FG73" i="23"/>
  <c r="FH73" i="23"/>
  <c r="FI73" i="23"/>
  <c r="FJ73" i="23"/>
  <c r="FK73" i="23"/>
  <c r="FL73" i="23"/>
  <c r="FM73" i="23"/>
  <c r="FN73" i="23"/>
  <c r="FO73" i="23"/>
  <c r="FP73" i="23"/>
  <c r="FQ73" i="23"/>
  <c r="FR73" i="23"/>
  <c r="FS73" i="23"/>
  <c r="FT73" i="23"/>
  <c r="FU73" i="23"/>
  <c r="FV73" i="23"/>
  <c r="FW73" i="23"/>
  <c r="FX73" i="23"/>
  <c r="FY73" i="23"/>
  <c r="FZ73" i="23"/>
  <c r="GA73" i="23"/>
  <c r="GB73" i="23"/>
  <c r="GC73" i="23"/>
  <c r="GD73" i="23"/>
  <c r="GE73" i="23"/>
  <c r="GF73" i="23"/>
  <c r="GG73" i="23"/>
  <c r="GH73" i="23"/>
  <c r="GI73" i="23"/>
  <c r="GJ73" i="23"/>
  <c r="GK73" i="23"/>
  <c r="GL73" i="23"/>
  <c r="GM73" i="23"/>
  <c r="GN73" i="23"/>
  <c r="GO73" i="23"/>
  <c r="GP73" i="23"/>
  <c r="GQ73" i="23"/>
  <c r="GR73" i="23"/>
  <c r="GS73" i="23"/>
  <c r="GT73" i="23"/>
  <c r="GU73" i="23"/>
  <c r="GV73" i="23"/>
  <c r="GW73" i="23"/>
  <c r="GX73" i="23"/>
  <c r="GY73" i="23"/>
  <c r="GZ73" i="23"/>
  <c r="HA73" i="23"/>
  <c r="HB73" i="23"/>
  <c r="HC73" i="23"/>
  <c r="HD73" i="23"/>
  <c r="HE73" i="23"/>
  <c r="HF73" i="23"/>
  <c r="HG73" i="23"/>
  <c r="HH73" i="23"/>
  <c r="HI73" i="23"/>
  <c r="HJ73" i="23"/>
  <c r="HK73" i="23"/>
  <c r="HL73" i="23"/>
  <c r="HM73" i="23"/>
  <c r="HN73" i="23"/>
  <c r="HO73" i="23"/>
  <c r="HP73" i="23"/>
  <c r="HQ73" i="23"/>
  <c r="HR73" i="23"/>
  <c r="HS73" i="23"/>
  <c r="HT73" i="23"/>
  <c r="HU73" i="23"/>
  <c r="HV73" i="23"/>
  <c r="HW73" i="23"/>
  <c r="HX73" i="23"/>
  <c r="HY73" i="23"/>
  <c r="HZ73" i="23"/>
  <c r="IA73" i="23"/>
  <c r="IB73" i="23"/>
  <c r="IC73" i="23"/>
  <c r="ID73" i="23"/>
  <c r="IE73" i="23"/>
  <c r="IF73" i="23"/>
  <c r="IG73" i="23"/>
  <c r="IH73" i="23"/>
  <c r="II73" i="23"/>
  <c r="IJ73" i="23"/>
  <c r="IK73" i="23"/>
  <c r="IL73" i="23"/>
  <c r="IM73" i="23"/>
  <c r="IN73" i="23"/>
  <c r="IO73" i="23"/>
  <c r="IP73" i="23"/>
  <c r="IQ73" i="23"/>
  <c r="IR73" i="23"/>
  <c r="IS73" i="23"/>
  <c r="IT73" i="23"/>
  <c r="IU73" i="23"/>
  <c r="IV73" i="23"/>
  <c r="A72" i="23"/>
  <c r="B72" i="23"/>
  <c r="C72" i="23"/>
  <c r="D72" i="23"/>
  <c r="E72" i="23"/>
  <c r="F72" i="23"/>
  <c r="G72" i="23"/>
  <c r="H72" i="23"/>
  <c r="I72" i="23"/>
  <c r="J72" i="23"/>
  <c r="K72" i="23"/>
  <c r="L72" i="23"/>
  <c r="M72" i="23"/>
  <c r="N72" i="23"/>
  <c r="O72" i="23"/>
  <c r="P72" i="23"/>
  <c r="Q72" i="23"/>
  <c r="R72" i="23"/>
  <c r="S72" i="23"/>
  <c r="T72" i="23"/>
  <c r="U72" i="23"/>
  <c r="V72" i="23"/>
  <c r="W72" i="23"/>
  <c r="X72" i="23"/>
  <c r="Y72" i="23"/>
  <c r="Z72" i="23"/>
  <c r="AA72" i="23"/>
  <c r="AB72" i="23"/>
  <c r="AC72" i="23"/>
  <c r="AD72" i="23"/>
  <c r="AE72" i="23"/>
  <c r="AF72" i="23"/>
  <c r="AG72" i="23"/>
  <c r="AH72" i="23"/>
  <c r="AI72" i="23"/>
  <c r="AJ72" i="23"/>
  <c r="AK72" i="23"/>
  <c r="AL72" i="23"/>
  <c r="AM72" i="23"/>
  <c r="AN72" i="23"/>
  <c r="AO72" i="23"/>
  <c r="AP72" i="23"/>
  <c r="AQ72" i="23"/>
  <c r="AR72" i="23"/>
  <c r="AS72" i="23"/>
  <c r="AT72" i="23"/>
  <c r="AU72" i="23"/>
  <c r="AV72" i="23"/>
  <c r="AW72" i="23"/>
  <c r="AX72" i="23"/>
  <c r="AY72" i="23"/>
  <c r="AZ72" i="23"/>
  <c r="BA72" i="23"/>
  <c r="BB72" i="23"/>
  <c r="BC72" i="23"/>
  <c r="BD72" i="23"/>
  <c r="BE72" i="23"/>
  <c r="BF72" i="23"/>
  <c r="BG72" i="23"/>
  <c r="BH72" i="23"/>
  <c r="BI72" i="23"/>
  <c r="BJ72" i="23"/>
  <c r="BK72" i="23"/>
  <c r="BL72" i="23"/>
  <c r="BM72" i="23"/>
  <c r="BN72" i="23"/>
  <c r="BO72" i="23"/>
  <c r="BP72" i="23"/>
  <c r="BQ72" i="23"/>
  <c r="BR72" i="23"/>
  <c r="BS72" i="23"/>
  <c r="BT72" i="23"/>
  <c r="BU72" i="23"/>
  <c r="BV72" i="23"/>
  <c r="BW72" i="23"/>
  <c r="BX72" i="23"/>
  <c r="BY72" i="23"/>
  <c r="BZ72" i="23"/>
  <c r="CA72" i="23"/>
  <c r="CB72" i="23"/>
  <c r="CC72" i="23"/>
  <c r="CD72" i="23"/>
  <c r="CE72" i="23"/>
  <c r="CF72" i="23"/>
  <c r="CG72" i="23"/>
  <c r="CH72" i="23"/>
  <c r="CI72" i="23"/>
  <c r="CJ72" i="23"/>
  <c r="CK72" i="23"/>
  <c r="CL72" i="23"/>
  <c r="CM72" i="23"/>
  <c r="CN72" i="23"/>
  <c r="CO72" i="23"/>
  <c r="CP72" i="23"/>
  <c r="CQ72" i="23"/>
  <c r="CR72" i="23"/>
  <c r="CS72" i="23"/>
  <c r="CT72" i="23"/>
  <c r="CU72" i="23"/>
  <c r="CV72" i="23"/>
  <c r="CW72" i="23"/>
  <c r="CX72" i="23"/>
  <c r="CY72" i="23"/>
  <c r="CZ72" i="23"/>
  <c r="DA72" i="23"/>
  <c r="DB72" i="23"/>
  <c r="DC72" i="23"/>
  <c r="DD72" i="23"/>
  <c r="DE72" i="23"/>
  <c r="DF72" i="23"/>
  <c r="DG72" i="23"/>
  <c r="DH72" i="23"/>
  <c r="DI72" i="23"/>
  <c r="DJ72" i="23"/>
  <c r="DK72" i="23"/>
  <c r="DL72" i="23"/>
  <c r="DM72" i="23"/>
  <c r="DN72" i="23"/>
  <c r="DO72" i="23"/>
  <c r="DP72" i="23"/>
  <c r="DQ72" i="23"/>
  <c r="DR72" i="23"/>
  <c r="DS72" i="23"/>
  <c r="DT72" i="23"/>
  <c r="DU72" i="23"/>
  <c r="DV72" i="23"/>
  <c r="DW72" i="23"/>
  <c r="DX72" i="23"/>
  <c r="DY72" i="23"/>
  <c r="DZ72" i="23"/>
  <c r="EA72" i="23"/>
  <c r="EB72" i="23"/>
  <c r="EC72" i="23"/>
  <c r="ED72" i="23"/>
  <c r="EE72" i="23"/>
  <c r="EF72" i="23"/>
  <c r="EG72" i="23"/>
  <c r="EH72" i="23"/>
  <c r="EI72" i="23"/>
  <c r="EJ72" i="23"/>
  <c r="EK72" i="23"/>
  <c r="EL72" i="23"/>
  <c r="EM72" i="23"/>
  <c r="EN72" i="23"/>
  <c r="EO72" i="23"/>
  <c r="EP72" i="23"/>
  <c r="EQ72" i="23"/>
  <c r="ER72" i="23"/>
  <c r="ES72" i="23"/>
  <c r="ET72" i="23"/>
  <c r="EU72" i="23"/>
  <c r="EV72" i="23"/>
  <c r="EW72" i="23"/>
  <c r="EX72" i="23"/>
  <c r="EY72" i="23"/>
  <c r="EZ72" i="23"/>
  <c r="FA72" i="23"/>
  <c r="FB72" i="23"/>
  <c r="FC72" i="23"/>
  <c r="FD72" i="23"/>
  <c r="FE72" i="23"/>
  <c r="FF72" i="23"/>
  <c r="FG72" i="23"/>
  <c r="FH72" i="23"/>
  <c r="FI72" i="23"/>
  <c r="FJ72" i="23"/>
  <c r="FK72" i="23"/>
  <c r="FL72" i="23"/>
  <c r="FM72" i="23"/>
  <c r="FN72" i="23"/>
  <c r="FO72" i="23"/>
  <c r="FP72" i="23"/>
  <c r="FQ72" i="23"/>
  <c r="FR72" i="23"/>
  <c r="FS72" i="23"/>
  <c r="FT72" i="23"/>
  <c r="FU72" i="23"/>
  <c r="FV72" i="23"/>
  <c r="FW72" i="23"/>
  <c r="FX72" i="23"/>
  <c r="FY72" i="23"/>
  <c r="FZ72" i="23"/>
  <c r="GA72" i="23"/>
  <c r="GB72" i="23"/>
  <c r="GC72" i="23"/>
  <c r="GD72" i="23"/>
  <c r="GE72" i="23"/>
  <c r="GF72" i="23"/>
  <c r="GG72" i="23"/>
  <c r="GH72" i="23"/>
  <c r="GI72" i="23"/>
  <c r="GJ72" i="23"/>
  <c r="GK72" i="23"/>
  <c r="GL72" i="23"/>
  <c r="GM72" i="23"/>
  <c r="GN72" i="23"/>
  <c r="GO72" i="23"/>
  <c r="GP72" i="23"/>
  <c r="GQ72" i="23"/>
  <c r="GR72" i="23"/>
  <c r="GS72" i="23"/>
  <c r="GT72" i="23"/>
  <c r="GU72" i="23"/>
  <c r="GV72" i="23"/>
  <c r="GW72" i="23"/>
  <c r="GX72" i="23"/>
  <c r="GY72" i="23"/>
  <c r="GZ72" i="23"/>
  <c r="HA72" i="23"/>
  <c r="HB72" i="23"/>
  <c r="HC72" i="23"/>
  <c r="HD72" i="23"/>
  <c r="HE72" i="23"/>
  <c r="HF72" i="23"/>
  <c r="HG72" i="23"/>
  <c r="HH72" i="23"/>
  <c r="HI72" i="23"/>
  <c r="HJ72" i="23"/>
  <c r="HK72" i="23"/>
  <c r="HL72" i="23"/>
  <c r="HM72" i="23"/>
  <c r="HN72" i="23"/>
  <c r="HO72" i="23"/>
  <c r="HP72" i="23"/>
  <c r="HQ72" i="23"/>
  <c r="HR72" i="23"/>
  <c r="HS72" i="23"/>
  <c r="HT72" i="23"/>
  <c r="HU72" i="23"/>
  <c r="HV72" i="23"/>
  <c r="HW72" i="23"/>
  <c r="HX72" i="23"/>
  <c r="HY72" i="23"/>
  <c r="HZ72" i="23"/>
  <c r="IA72" i="23"/>
  <c r="IB72" i="23"/>
  <c r="IC72" i="23"/>
  <c r="ID72" i="23"/>
  <c r="IE72" i="23"/>
  <c r="IF72" i="23"/>
  <c r="IG72" i="23"/>
  <c r="IH72" i="23"/>
  <c r="II72" i="23"/>
  <c r="IJ72" i="23"/>
  <c r="IK72" i="23"/>
  <c r="IL72" i="23"/>
  <c r="IM72" i="23"/>
  <c r="IN72" i="23"/>
  <c r="IO72" i="23"/>
  <c r="IP72" i="23"/>
  <c r="IQ72" i="23"/>
  <c r="IR72" i="23"/>
  <c r="IS72" i="23"/>
  <c r="IT72" i="23"/>
  <c r="IU72" i="23"/>
  <c r="IV72" i="23"/>
  <c r="A71" i="23"/>
  <c r="B71" i="23"/>
  <c r="C71" i="23"/>
  <c r="D71" i="23"/>
  <c r="E71" i="23"/>
  <c r="F71" i="23"/>
  <c r="G71" i="23"/>
  <c r="H71" i="23"/>
  <c r="I71" i="23"/>
  <c r="J71" i="23"/>
  <c r="K71" i="23"/>
  <c r="L71" i="23"/>
  <c r="M71" i="23"/>
  <c r="N71" i="23"/>
  <c r="O71" i="23"/>
  <c r="P71" i="23"/>
  <c r="Q71" i="23"/>
  <c r="R71" i="23"/>
  <c r="S71" i="23"/>
  <c r="T71" i="23"/>
  <c r="U71" i="23"/>
  <c r="V71" i="23"/>
  <c r="W71" i="23"/>
  <c r="X71" i="23"/>
  <c r="Y71" i="23"/>
  <c r="Z71" i="23"/>
  <c r="AA71" i="23"/>
  <c r="AB71" i="23"/>
  <c r="AC71" i="23"/>
  <c r="AD71" i="23"/>
  <c r="AE71" i="23"/>
  <c r="AF71" i="23"/>
  <c r="AG71" i="23"/>
  <c r="AH71" i="23"/>
  <c r="AI71" i="23"/>
  <c r="AJ71" i="23"/>
  <c r="AK71" i="23"/>
  <c r="AL71" i="23"/>
  <c r="AM71" i="23"/>
  <c r="AN71" i="23"/>
  <c r="AO71" i="23"/>
  <c r="AP71" i="23"/>
  <c r="AQ71" i="23"/>
  <c r="AR71" i="23"/>
  <c r="AS71" i="23"/>
  <c r="AT71" i="23"/>
  <c r="AU71" i="23"/>
  <c r="AV71" i="23"/>
  <c r="AW71" i="23"/>
  <c r="AX71" i="23"/>
  <c r="AY71" i="23"/>
  <c r="AZ71" i="23"/>
  <c r="BA71" i="23"/>
  <c r="BB71" i="23"/>
  <c r="BC71" i="23"/>
  <c r="BD71" i="23"/>
  <c r="BE71" i="23"/>
  <c r="BF71" i="23"/>
  <c r="BG71" i="23"/>
  <c r="BH71" i="23"/>
  <c r="BI71" i="23"/>
  <c r="BJ71" i="23"/>
  <c r="BK71" i="23"/>
  <c r="BL71" i="23"/>
  <c r="BM71" i="23"/>
  <c r="BN71" i="23"/>
  <c r="BO71" i="23"/>
  <c r="BP71" i="23"/>
  <c r="BQ71" i="23"/>
  <c r="BR71" i="23"/>
  <c r="BS71" i="23"/>
  <c r="BT71" i="23"/>
  <c r="BU71" i="23"/>
  <c r="BV71" i="23"/>
  <c r="BW71" i="23"/>
  <c r="BX71" i="23"/>
  <c r="BY71" i="23"/>
  <c r="BZ71" i="23"/>
  <c r="CA71" i="23"/>
  <c r="CB71" i="23"/>
  <c r="CC71" i="23"/>
  <c r="CD71" i="23"/>
  <c r="CE71" i="23"/>
  <c r="CF71" i="23"/>
  <c r="CG71" i="23"/>
  <c r="CH71" i="23"/>
  <c r="CI71" i="23"/>
  <c r="CJ71" i="23"/>
  <c r="CK71" i="23"/>
  <c r="CL71" i="23"/>
  <c r="CM71" i="23"/>
  <c r="CN71" i="23"/>
  <c r="CO71" i="23"/>
  <c r="CP71" i="23"/>
  <c r="CQ71" i="23"/>
  <c r="CR71" i="23"/>
  <c r="CS71" i="23"/>
  <c r="CT71" i="23"/>
  <c r="CU71" i="23"/>
  <c r="CV71" i="23"/>
  <c r="CW71" i="23"/>
  <c r="CX71" i="23"/>
  <c r="CY71" i="23"/>
  <c r="CZ71" i="23"/>
  <c r="DA71" i="23"/>
  <c r="DB71" i="23"/>
  <c r="DC71" i="23"/>
  <c r="DD71" i="23"/>
  <c r="DE71" i="23"/>
  <c r="DF71" i="23"/>
  <c r="DG71" i="23"/>
  <c r="DH71" i="23"/>
  <c r="DI71" i="23"/>
  <c r="DJ71" i="23"/>
  <c r="DK71" i="23"/>
  <c r="DL71" i="23"/>
  <c r="DM71" i="23"/>
  <c r="DN71" i="23"/>
  <c r="DO71" i="23"/>
  <c r="DP71" i="23"/>
  <c r="DQ71" i="23"/>
  <c r="DR71" i="23"/>
  <c r="DS71" i="23"/>
  <c r="DT71" i="23"/>
  <c r="DU71" i="23"/>
  <c r="DV71" i="23"/>
  <c r="DW71" i="23"/>
  <c r="DX71" i="23"/>
  <c r="DY71" i="23"/>
  <c r="DZ71" i="23"/>
  <c r="EA71" i="23"/>
  <c r="EB71" i="23"/>
  <c r="EC71" i="23"/>
  <c r="ED71" i="23"/>
  <c r="EE71" i="23"/>
  <c r="EF71" i="23"/>
  <c r="EG71" i="23"/>
  <c r="EH71" i="23"/>
  <c r="EI71" i="23"/>
  <c r="EJ71" i="23"/>
  <c r="EK71" i="23"/>
  <c r="EL71" i="23"/>
  <c r="EM71" i="23"/>
  <c r="EN71" i="23"/>
  <c r="EO71" i="23"/>
  <c r="EP71" i="23"/>
  <c r="EQ71" i="23"/>
  <c r="ER71" i="23"/>
  <c r="ES71" i="23"/>
  <c r="ET71" i="23"/>
  <c r="EU71" i="23"/>
  <c r="EV71" i="23"/>
  <c r="EW71" i="23"/>
  <c r="EX71" i="23"/>
  <c r="EY71" i="23"/>
  <c r="EZ71" i="23"/>
  <c r="FA71" i="23"/>
  <c r="FB71" i="23"/>
  <c r="FC71" i="23"/>
  <c r="FD71" i="23"/>
  <c r="FE71" i="23"/>
  <c r="FF71" i="23"/>
  <c r="FG71" i="23"/>
  <c r="FH71" i="23"/>
  <c r="FI71" i="23"/>
  <c r="FJ71" i="23"/>
  <c r="FK71" i="23"/>
  <c r="FL71" i="23"/>
  <c r="FM71" i="23"/>
  <c r="FN71" i="23"/>
  <c r="FO71" i="23"/>
  <c r="FP71" i="23"/>
  <c r="FQ71" i="23"/>
  <c r="FR71" i="23"/>
  <c r="FS71" i="23"/>
  <c r="FT71" i="23"/>
  <c r="FU71" i="23"/>
  <c r="FV71" i="23"/>
  <c r="FW71" i="23"/>
  <c r="FX71" i="23"/>
  <c r="FY71" i="23"/>
  <c r="FZ71" i="23"/>
  <c r="GA71" i="23"/>
  <c r="GB71" i="23"/>
  <c r="GC71" i="23"/>
  <c r="GD71" i="23"/>
  <c r="GE71" i="23"/>
  <c r="GF71" i="23"/>
  <c r="GG71" i="23"/>
  <c r="GH71" i="23"/>
  <c r="GI71" i="23"/>
  <c r="GJ71" i="23"/>
  <c r="GK71" i="23"/>
  <c r="GL71" i="23"/>
  <c r="GM71" i="23"/>
  <c r="GN71" i="23"/>
  <c r="GO71" i="23"/>
  <c r="GP71" i="23"/>
  <c r="GQ71" i="23"/>
  <c r="GR71" i="23"/>
  <c r="GS71" i="23"/>
  <c r="GT71" i="23"/>
  <c r="GU71" i="23"/>
  <c r="GV71" i="23"/>
  <c r="GW71" i="23"/>
  <c r="GX71" i="23"/>
  <c r="GY71" i="23"/>
  <c r="GZ71" i="23"/>
  <c r="HA71" i="23"/>
  <c r="HB71" i="23"/>
  <c r="HC71" i="23"/>
  <c r="HD71" i="23"/>
  <c r="HE71" i="23"/>
  <c r="HF71" i="23"/>
  <c r="HG71" i="23"/>
  <c r="HH71" i="23"/>
  <c r="HI71" i="23"/>
  <c r="HJ71" i="23"/>
  <c r="HK71" i="23"/>
  <c r="HL71" i="23"/>
  <c r="HM71" i="23"/>
  <c r="HN71" i="23"/>
  <c r="HO71" i="23"/>
  <c r="HP71" i="23"/>
  <c r="HQ71" i="23"/>
  <c r="HR71" i="23"/>
  <c r="HS71" i="23"/>
  <c r="HT71" i="23"/>
  <c r="HU71" i="23"/>
  <c r="HV71" i="23"/>
  <c r="HW71" i="23"/>
  <c r="HX71" i="23"/>
  <c r="HY71" i="23"/>
  <c r="HZ71" i="23"/>
  <c r="IA71" i="23"/>
  <c r="IB71" i="23"/>
  <c r="IC71" i="23"/>
  <c r="ID71" i="23"/>
  <c r="IE71" i="23"/>
  <c r="IF71" i="23"/>
  <c r="IG71" i="23"/>
  <c r="IH71" i="23"/>
  <c r="II71" i="23"/>
  <c r="IJ71" i="23"/>
  <c r="IK71" i="23"/>
  <c r="IL71" i="23"/>
  <c r="IM71" i="23"/>
  <c r="IN71" i="23"/>
  <c r="IO71" i="23"/>
  <c r="IP71" i="23"/>
  <c r="IQ71" i="23"/>
  <c r="IR71" i="23"/>
  <c r="IS71" i="23"/>
  <c r="IT71" i="23"/>
  <c r="IU71" i="23"/>
  <c r="IV71" i="23"/>
  <c r="A70" i="23"/>
  <c r="B70" i="23"/>
  <c r="C70" i="23"/>
  <c r="D70" i="23"/>
  <c r="E70" i="23"/>
  <c r="F70" i="23"/>
  <c r="G70" i="23"/>
  <c r="H70" i="23"/>
  <c r="I70" i="23"/>
  <c r="J70" i="23"/>
  <c r="K70" i="23"/>
  <c r="L70" i="23"/>
  <c r="M70" i="23"/>
  <c r="N70" i="23"/>
  <c r="O70" i="23"/>
  <c r="P70" i="23"/>
  <c r="Q70" i="23"/>
  <c r="R70" i="23"/>
  <c r="S70" i="23"/>
  <c r="T70" i="23"/>
  <c r="U70" i="23"/>
  <c r="V70" i="23"/>
  <c r="W70" i="23"/>
  <c r="X70" i="23"/>
  <c r="Y70" i="23"/>
  <c r="Z70" i="23"/>
  <c r="AA70" i="23"/>
  <c r="AB70" i="23"/>
  <c r="AC70" i="23"/>
  <c r="AD70" i="23"/>
  <c r="AE70" i="23"/>
  <c r="AF70" i="23"/>
  <c r="AG70" i="23"/>
  <c r="AH70" i="23"/>
  <c r="AI70" i="23"/>
  <c r="AJ70" i="23"/>
  <c r="AK70" i="23"/>
  <c r="AL70" i="23"/>
  <c r="AM70" i="23"/>
  <c r="AN70" i="23"/>
  <c r="AO70" i="23"/>
  <c r="AP70" i="23"/>
  <c r="AQ70" i="23"/>
  <c r="AR70" i="23"/>
  <c r="AS70" i="23"/>
  <c r="AT70" i="23"/>
  <c r="AU70" i="23"/>
  <c r="AV70" i="23"/>
  <c r="AW70" i="23"/>
  <c r="AX70" i="23"/>
  <c r="AY70" i="23"/>
  <c r="AZ70" i="23"/>
  <c r="BA70" i="23"/>
  <c r="BB70" i="23"/>
  <c r="BC70" i="23"/>
  <c r="BD70" i="23"/>
  <c r="BE70" i="23"/>
  <c r="BF70" i="23"/>
  <c r="BG70" i="23"/>
  <c r="BH70" i="23"/>
  <c r="BI70" i="23"/>
  <c r="BJ70" i="23"/>
  <c r="BK70" i="23"/>
  <c r="BL70" i="23"/>
  <c r="BM70" i="23"/>
  <c r="BN70" i="23"/>
  <c r="BO70" i="23"/>
  <c r="BP70" i="23"/>
  <c r="BQ70" i="23"/>
  <c r="BR70" i="23"/>
  <c r="BS70" i="23"/>
  <c r="BT70" i="23"/>
  <c r="BU70" i="23"/>
  <c r="BV70" i="23"/>
  <c r="BW70" i="23"/>
  <c r="BX70" i="23"/>
  <c r="BY70" i="23"/>
  <c r="BZ70" i="23"/>
  <c r="CA70" i="23"/>
  <c r="CB70" i="23"/>
  <c r="CC70" i="23"/>
  <c r="CD70" i="23"/>
  <c r="CE70" i="23"/>
  <c r="CF70" i="23"/>
  <c r="CG70" i="23"/>
  <c r="CH70" i="23"/>
  <c r="CI70" i="23"/>
  <c r="CJ70" i="23"/>
  <c r="CK70" i="23"/>
  <c r="CL70" i="23"/>
  <c r="CM70" i="23"/>
  <c r="CN70" i="23"/>
  <c r="CO70" i="23"/>
  <c r="CP70" i="23"/>
  <c r="CQ70" i="23"/>
  <c r="CR70" i="23"/>
  <c r="CS70" i="23"/>
  <c r="CT70" i="23"/>
  <c r="CU70" i="23"/>
  <c r="CV70" i="23"/>
  <c r="CW70" i="23"/>
  <c r="CX70" i="23"/>
  <c r="CY70" i="23"/>
  <c r="CZ70" i="23"/>
  <c r="DA70" i="23"/>
  <c r="DB70" i="23"/>
  <c r="DC70" i="23"/>
  <c r="DD70" i="23"/>
  <c r="DE70" i="23"/>
  <c r="DF70" i="23"/>
  <c r="DG70" i="23"/>
  <c r="DH70" i="23"/>
  <c r="DI70" i="23"/>
  <c r="DJ70" i="23"/>
  <c r="DK70" i="23"/>
  <c r="DL70" i="23"/>
  <c r="DM70" i="23"/>
  <c r="DN70" i="23"/>
  <c r="DO70" i="23"/>
  <c r="DP70" i="23"/>
  <c r="DQ70" i="23"/>
  <c r="DR70" i="23"/>
  <c r="DS70" i="23"/>
  <c r="DT70" i="23"/>
  <c r="DU70" i="23"/>
  <c r="DV70" i="23"/>
  <c r="DW70" i="23"/>
  <c r="DX70" i="23"/>
  <c r="DY70" i="23"/>
  <c r="DZ70" i="23"/>
  <c r="EA70" i="23"/>
  <c r="EB70" i="23"/>
  <c r="EC70" i="23"/>
  <c r="ED70" i="23"/>
  <c r="EE70" i="23"/>
  <c r="EF70" i="23"/>
  <c r="EG70" i="23"/>
  <c r="EH70" i="23"/>
  <c r="EI70" i="23"/>
  <c r="EJ70" i="23"/>
  <c r="EK70" i="23"/>
  <c r="EL70" i="23"/>
  <c r="EM70" i="23"/>
  <c r="EN70" i="23"/>
  <c r="EO70" i="23"/>
  <c r="EP70" i="23"/>
  <c r="EQ70" i="23"/>
  <c r="ER70" i="23"/>
  <c r="ES70" i="23"/>
  <c r="ET70" i="23"/>
  <c r="EU70" i="23"/>
  <c r="EV70" i="23"/>
  <c r="EW70" i="23"/>
  <c r="EX70" i="23"/>
  <c r="EY70" i="23"/>
  <c r="EZ70" i="23"/>
  <c r="FA70" i="23"/>
  <c r="FB70" i="23"/>
  <c r="FC70" i="23"/>
  <c r="FD70" i="23"/>
  <c r="FE70" i="23"/>
  <c r="FF70" i="23"/>
  <c r="FG70" i="23"/>
  <c r="FH70" i="23"/>
  <c r="FI70" i="23"/>
  <c r="FJ70" i="23"/>
  <c r="FK70" i="23"/>
  <c r="FL70" i="23"/>
  <c r="FM70" i="23"/>
  <c r="FN70" i="23"/>
  <c r="FO70" i="23"/>
  <c r="FP70" i="23"/>
  <c r="FQ70" i="23"/>
  <c r="FR70" i="23"/>
  <c r="FS70" i="23"/>
  <c r="FT70" i="23"/>
  <c r="FU70" i="23"/>
  <c r="FV70" i="23"/>
  <c r="FW70" i="23"/>
  <c r="FX70" i="23"/>
  <c r="FY70" i="23"/>
  <c r="FZ70" i="23"/>
  <c r="GA70" i="23"/>
  <c r="GB70" i="23"/>
  <c r="GC70" i="23"/>
  <c r="GD70" i="23"/>
  <c r="GE70" i="23"/>
  <c r="GF70" i="23"/>
  <c r="GG70" i="23"/>
  <c r="GH70" i="23"/>
  <c r="GI70" i="23"/>
  <c r="GJ70" i="23"/>
  <c r="GK70" i="23"/>
  <c r="GL70" i="23"/>
  <c r="GM70" i="23"/>
  <c r="GN70" i="23"/>
  <c r="GO70" i="23"/>
  <c r="GP70" i="23"/>
  <c r="GQ70" i="23"/>
  <c r="GR70" i="23"/>
  <c r="GS70" i="23"/>
  <c r="GT70" i="23"/>
  <c r="GU70" i="23"/>
  <c r="GV70" i="23"/>
  <c r="GW70" i="23"/>
  <c r="GX70" i="23"/>
  <c r="GY70" i="23"/>
  <c r="GZ70" i="23"/>
  <c r="HA70" i="23"/>
  <c r="HB70" i="23"/>
  <c r="HC70" i="23"/>
  <c r="HD70" i="23"/>
  <c r="HE70" i="23"/>
  <c r="HF70" i="23"/>
  <c r="HG70" i="23"/>
  <c r="HH70" i="23"/>
  <c r="HI70" i="23"/>
  <c r="HJ70" i="23"/>
  <c r="HK70" i="23"/>
  <c r="HL70" i="23"/>
  <c r="HM70" i="23"/>
  <c r="HN70" i="23"/>
  <c r="HO70" i="23"/>
  <c r="HP70" i="23"/>
  <c r="HQ70" i="23"/>
  <c r="HR70" i="23"/>
  <c r="HS70" i="23"/>
  <c r="HT70" i="23"/>
  <c r="HU70" i="23"/>
  <c r="HV70" i="23"/>
  <c r="HW70" i="23"/>
  <c r="HX70" i="23"/>
  <c r="HY70" i="23"/>
  <c r="HZ70" i="23"/>
  <c r="IA70" i="23"/>
  <c r="IB70" i="23"/>
  <c r="IC70" i="23"/>
  <c r="ID70" i="23"/>
  <c r="IE70" i="23"/>
  <c r="IF70" i="23"/>
  <c r="IG70" i="23"/>
  <c r="IH70" i="23"/>
  <c r="II70" i="23"/>
  <c r="IJ70" i="23"/>
  <c r="IK70" i="23"/>
  <c r="IL70" i="23"/>
  <c r="IM70" i="23"/>
  <c r="IN70" i="23"/>
  <c r="IO70" i="23"/>
  <c r="IP70" i="23"/>
  <c r="IQ70" i="23"/>
  <c r="IR70" i="23"/>
  <c r="IS70" i="23"/>
  <c r="IT70" i="23"/>
  <c r="IU70" i="23"/>
  <c r="IV70" i="23"/>
  <c r="A69" i="23"/>
  <c r="B69" i="23"/>
  <c r="C69" i="23"/>
  <c r="D69" i="23"/>
  <c r="E69" i="23"/>
  <c r="F69" i="23"/>
  <c r="G69" i="23"/>
  <c r="H69" i="23"/>
  <c r="I69" i="23"/>
  <c r="J69" i="23"/>
  <c r="K69" i="23"/>
  <c r="L69" i="23"/>
  <c r="M69" i="23"/>
  <c r="N69" i="23"/>
  <c r="O69" i="23"/>
  <c r="P69" i="23"/>
  <c r="Q69" i="23"/>
  <c r="R69" i="23"/>
  <c r="S69" i="23"/>
  <c r="T69" i="23"/>
  <c r="U69" i="23"/>
  <c r="V69" i="23"/>
  <c r="W69" i="23"/>
  <c r="X69" i="23"/>
  <c r="Y69" i="23"/>
  <c r="Z69" i="23"/>
  <c r="AA69" i="23"/>
  <c r="AB69" i="23"/>
  <c r="AC69" i="23"/>
  <c r="AD69" i="23"/>
  <c r="AE69" i="23"/>
  <c r="AF69" i="23"/>
  <c r="AG69" i="23"/>
  <c r="AH69" i="23"/>
  <c r="AI69" i="23"/>
  <c r="AJ69" i="23"/>
  <c r="AK69" i="23"/>
  <c r="AL69" i="23"/>
  <c r="AM69" i="23"/>
  <c r="AN69" i="23"/>
  <c r="AO69" i="23"/>
  <c r="AP69" i="23"/>
  <c r="AQ69" i="23"/>
  <c r="AR69" i="23"/>
  <c r="AS69" i="23"/>
  <c r="AT69" i="23"/>
  <c r="AU69" i="23"/>
  <c r="AV69" i="23"/>
  <c r="AW69" i="23"/>
  <c r="AX69" i="23"/>
  <c r="AY69" i="23"/>
  <c r="AZ69" i="23"/>
  <c r="BA69" i="23"/>
  <c r="BB69" i="23"/>
  <c r="BC69" i="23"/>
  <c r="BD69" i="23"/>
  <c r="BE69" i="23"/>
  <c r="BF69" i="23"/>
  <c r="BG69" i="23"/>
  <c r="BH69" i="23"/>
  <c r="BI69" i="23"/>
  <c r="BJ69" i="23"/>
  <c r="BK69" i="23"/>
  <c r="BL69" i="23"/>
  <c r="BM69" i="23"/>
  <c r="BN69" i="23"/>
  <c r="BO69" i="23"/>
  <c r="BP69" i="23"/>
  <c r="BQ69" i="23"/>
  <c r="BR69" i="23"/>
  <c r="BS69" i="23"/>
  <c r="BT69" i="23"/>
  <c r="BU69" i="23"/>
  <c r="BV69" i="23"/>
  <c r="BW69" i="23"/>
  <c r="BX69" i="23"/>
  <c r="BY69" i="23"/>
  <c r="BZ69" i="23"/>
  <c r="CA69" i="23"/>
  <c r="CB69" i="23"/>
  <c r="CC69" i="23"/>
  <c r="CD69" i="23"/>
  <c r="CE69" i="23"/>
  <c r="CF69" i="23"/>
  <c r="CG69" i="23"/>
  <c r="CH69" i="23"/>
  <c r="CI69" i="23"/>
  <c r="CJ69" i="23"/>
  <c r="CK69" i="23"/>
  <c r="CL69" i="23"/>
  <c r="CM69" i="23"/>
  <c r="CN69" i="23"/>
  <c r="CO69" i="23"/>
  <c r="CP69" i="23"/>
  <c r="CQ69" i="23"/>
  <c r="CR69" i="23"/>
  <c r="CS69" i="23"/>
  <c r="CT69" i="23"/>
  <c r="CU69" i="23"/>
  <c r="CV69" i="23"/>
  <c r="CW69" i="23"/>
  <c r="CX69" i="23"/>
  <c r="CY69" i="23"/>
  <c r="CZ69" i="23"/>
  <c r="DA69" i="23"/>
  <c r="DB69" i="23"/>
  <c r="DC69" i="23"/>
  <c r="DD69" i="23"/>
  <c r="DE69" i="23"/>
  <c r="DF69" i="23"/>
  <c r="DG69" i="23"/>
  <c r="DH69" i="23"/>
  <c r="DI69" i="23"/>
  <c r="DJ69" i="23"/>
  <c r="DK69" i="23"/>
  <c r="DL69" i="23"/>
  <c r="DM69" i="23"/>
  <c r="DN69" i="23"/>
  <c r="DO69" i="23"/>
  <c r="DP69" i="23"/>
  <c r="DQ69" i="23"/>
  <c r="DR69" i="23"/>
  <c r="DS69" i="23"/>
  <c r="DT69" i="23"/>
  <c r="DU69" i="23"/>
  <c r="DV69" i="23"/>
  <c r="DW69" i="23"/>
  <c r="DX69" i="23"/>
  <c r="DY69" i="23"/>
  <c r="DZ69" i="23"/>
  <c r="EA69" i="23"/>
  <c r="EB69" i="23"/>
  <c r="EC69" i="23"/>
  <c r="ED69" i="23"/>
  <c r="EE69" i="23"/>
  <c r="EF69" i="23"/>
  <c r="EG69" i="23"/>
  <c r="EH69" i="23"/>
  <c r="EI69" i="23"/>
  <c r="EJ69" i="23"/>
  <c r="EK69" i="23"/>
  <c r="EL69" i="23"/>
  <c r="EM69" i="23"/>
  <c r="EN69" i="23"/>
  <c r="EO69" i="23"/>
  <c r="EP69" i="23"/>
  <c r="EQ69" i="23"/>
  <c r="ER69" i="23"/>
  <c r="ES69" i="23"/>
  <c r="ET69" i="23"/>
  <c r="EU69" i="23"/>
  <c r="EV69" i="23"/>
  <c r="EW69" i="23"/>
  <c r="EX69" i="23"/>
  <c r="EY69" i="23"/>
  <c r="EZ69" i="23"/>
  <c r="FA69" i="23"/>
  <c r="FB69" i="23"/>
  <c r="FC69" i="23"/>
  <c r="FD69" i="23"/>
  <c r="FE69" i="23"/>
  <c r="FF69" i="23"/>
  <c r="FG69" i="23"/>
  <c r="FH69" i="23"/>
  <c r="FI69" i="23"/>
  <c r="FJ69" i="23"/>
  <c r="FK69" i="23"/>
  <c r="FL69" i="23"/>
  <c r="FM69" i="23"/>
  <c r="FN69" i="23"/>
  <c r="FO69" i="23"/>
  <c r="FP69" i="23"/>
  <c r="FQ69" i="23"/>
  <c r="FR69" i="23"/>
  <c r="FS69" i="23"/>
  <c r="FT69" i="23"/>
  <c r="FU69" i="23"/>
  <c r="FV69" i="23"/>
  <c r="FW69" i="23"/>
  <c r="FX69" i="23"/>
  <c r="FY69" i="23"/>
  <c r="FZ69" i="23"/>
  <c r="GA69" i="23"/>
  <c r="GB69" i="23"/>
  <c r="GC69" i="23"/>
  <c r="GD69" i="23"/>
  <c r="GE69" i="23"/>
  <c r="GF69" i="23"/>
  <c r="GG69" i="23"/>
  <c r="GH69" i="23"/>
  <c r="GI69" i="23"/>
  <c r="GJ69" i="23"/>
  <c r="GK69" i="23"/>
  <c r="GL69" i="23"/>
  <c r="GM69" i="23"/>
  <c r="GN69" i="23"/>
  <c r="GO69" i="23"/>
  <c r="GP69" i="23"/>
  <c r="GQ69" i="23"/>
  <c r="GR69" i="23"/>
  <c r="GS69" i="23"/>
  <c r="GT69" i="23"/>
  <c r="GU69" i="23"/>
  <c r="GV69" i="23"/>
  <c r="GW69" i="23"/>
  <c r="GX69" i="23"/>
  <c r="GY69" i="23"/>
  <c r="GZ69" i="23"/>
  <c r="HA69" i="23"/>
  <c r="HB69" i="23"/>
  <c r="HC69" i="23"/>
  <c r="HD69" i="23"/>
  <c r="HE69" i="23"/>
  <c r="HF69" i="23"/>
  <c r="HG69" i="23"/>
  <c r="HH69" i="23"/>
  <c r="HI69" i="23"/>
  <c r="HJ69" i="23"/>
  <c r="HK69" i="23"/>
  <c r="HL69" i="23"/>
  <c r="HM69" i="23"/>
  <c r="HN69" i="23"/>
  <c r="HO69" i="23"/>
  <c r="HP69" i="23"/>
  <c r="HQ69" i="23"/>
  <c r="HR69" i="23"/>
  <c r="HS69" i="23"/>
  <c r="HT69" i="23"/>
  <c r="HU69" i="23"/>
  <c r="HV69" i="23"/>
  <c r="HW69" i="23"/>
  <c r="HX69" i="23"/>
  <c r="HY69" i="23"/>
  <c r="HZ69" i="23"/>
  <c r="IA69" i="23"/>
  <c r="IB69" i="23"/>
  <c r="IC69" i="23"/>
  <c r="ID69" i="23"/>
  <c r="IE69" i="23"/>
  <c r="IF69" i="23"/>
  <c r="IG69" i="23"/>
  <c r="IH69" i="23"/>
  <c r="II69" i="23"/>
  <c r="IJ69" i="23"/>
  <c r="IK69" i="23"/>
  <c r="IL69" i="23"/>
  <c r="IM69" i="23"/>
  <c r="IN69" i="23"/>
  <c r="IO69" i="23"/>
  <c r="IP69" i="23"/>
  <c r="IQ69" i="23"/>
  <c r="IR69" i="23"/>
  <c r="IS69" i="23"/>
  <c r="IT69" i="23"/>
  <c r="IU69" i="23"/>
  <c r="IV69" i="23"/>
  <c r="A68" i="23"/>
  <c r="B68" i="23"/>
  <c r="C68" i="23"/>
  <c r="D68" i="23"/>
  <c r="E68" i="23"/>
  <c r="F68" i="23"/>
  <c r="G68" i="23"/>
  <c r="H68" i="23"/>
  <c r="I68" i="23"/>
  <c r="J68" i="23"/>
  <c r="K68" i="23"/>
  <c r="L68" i="23"/>
  <c r="M68" i="23"/>
  <c r="N68" i="23"/>
  <c r="O68" i="23"/>
  <c r="P68" i="23"/>
  <c r="Q68" i="23"/>
  <c r="R68" i="23"/>
  <c r="S68" i="23"/>
  <c r="T68" i="23"/>
  <c r="U68" i="23"/>
  <c r="V68" i="23"/>
  <c r="W68" i="23"/>
  <c r="X68" i="23"/>
  <c r="Y68" i="23"/>
  <c r="Z68" i="23"/>
  <c r="AA68" i="23"/>
  <c r="AB68" i="23"/>
  <c r="AC68" i="23"/>
  <c r="AD68" i="23"/>
  <c r="AE68" i="23"/>
  <c r="AF68" i="23"/>
  <c r="AG68" i="23"/>
  <c r="AH68" i="23"/>
  <c r="AI68" i="23"/>
  <c r="AJ68" i="23"/>
  <c r="AK68" i="23"/>
  <c r="AL68" i="23"/>
  <c r="AM68" i="23"/>
  <c r="AN68" i="23"/>
  <c r="AO68" i="23"/>
  <c r="AP68" i="23"/>
  <c r="AQ68" i="23"/>
  <c r="AR68" i="23"/>
  <c r="AS68" i="23"/>
  <c r="AT68" i="23"/>
  <c r="AU68" i="23"/>
  <c r="AV68" i="23"/>
  <c r="AW68" i="23"/>
  <c r="AX68" i="23"/>
  <c r="AY68" i="23"/>
  <c r="AZ68" i="23"/>
  <c r="BA68" i="23"/>
  <c r="BB68" i="23"/>
  <c r="BC68" i="23"/>
  <c r="BD68" i="23"/>
  <c r="BE68" i="23"/>
  <c r="BF68" i="23"/>
  <c r="BG68" i="23"/>
  <c r="BH68" i="23"/>
  <c r="BI68" i="23"/>
  <c r="BJ68" i="23"/>
  <c r="BK68" i="23"/>
  <c r="BL68" i="23"/>
  <c r="BM68" i="23"/>
  <c r="BN68" i="23"/>
  <c r="BO68" i="23"/>
  <c r="BP68" i="23"/>
  <c r="BQ68" i="23"/>
  <c r="BR68" i="23"/>
  <c r="BS68" i="23"/>
  <c r="BT68" i="23"/>
  <c r="BU68" i="23"/>
  <c r="BV68" i="23"/>
  <c r="BW68" i="23"/>
  <c r="BX68" i="23"/>
  <c r="BY68" i="23"/>
  <c r="BZ68" i="23"/>
  <c r="CA68" i="23"/>
  <c r="CB68" i="23"/>
  <c r="CC68" i="23"/>
  <c r="CD68" i="23"/>
  <c r="CE68" i="23"/>
  <c r="CF68" i="23"/>
  <c r="CG68" i="23"/>
  <c r="CH68" i="23"/>
  <c r="CI68" i="23"/>
  <c r="CJ68" i="23"/>
  <c r="CK68" i="23"/>
  <c r="CL68" i="23"/>
  <c r="CM68" i="23"/>
  <c r="CN68" i="23"/>
  <c r="CO68" i="23"/>
  <c r="CP68" i="23"/>
  <c r="CQ68" i="23"/>
  <c r="CR68" i="23"/>
  <c r="CS68" i="23"/>
  <c r="CT68" i="23"/>
  <c r="CU68" i="23"/>
  <c r="CV68" i="23"/>
  <c r="CW68" i="23"/>
  <c r="CX68" i="23"/>
  <c r="CY68" i="23"/>
  <c r="CZ68" i="23"/>
  <c r="DA68" i="23"/>
  <c r="DB68" i="23"/>
  <c r="DC68" i="23"/>
  <c r="DD68" i="23"/>
  <c r="DE68" i="23"/>
  <c r="DF68" i="23"/>
  <c r="DG68" i="23"/>
  <c r="DH68" i="23"/>
  <c r="DI68" i="23"/>
  <c r="DJ68" i="23"/>
  <c r="DK68" i="23"/>
  <c r="DL68" i="23"/>
  <c r="DM68" i="23"/>
  <c r="DN68" i="23"/>
  <c r="DO68" i="23"/>
  <c r="DP68" i="23"/>
  <c r="DQ68" i="23"/>
  <c r="DR68" i="23"/>
  <c r="DS68" i="23"/>
  <c r="DT68" i="23"/>
  <c r="DU68" i="23"/>
  <c r="DV68" i="23"/>
  <c r="DW68" i="23"/>
  <c r="DX68" i="23"/>
  <c r="DY68" i="23"/>
  <c r="DZ68" i="23"/>
  <c r="EA68" i="23"/>
  <c r="EB68" i="23"/>
  <c r="EC68" i="23"/>
  <c r="ED68" i="23"/>
  <c r="EE68" i="23"/>
  <c r="EF68" i="23"/>
  <c r="EG68" i="23"/>
  <c r="EH68" i="23"/>
  <c r="EI68" i="23"/>
  <c r="EJ68" i="23"/>
  <c r="EK68" i="23"/>
  <c r="EL68" i="23"/>
  <c r="EM68" i="23"/>
  <c r="EN68" i="23"/>
  <c r="EO68" i="23"/>
  <c r="EP68" i="23"/>
  <c r="EQ68" i="23"/>
  <c r="ER68" i="23"/>
  <c r="ES68" i="23"/>
  <c r="ET68" i="23"/>
  <c r="EU68" i="23"/>
  <c r="EV68" i="23"/>
  <c r="EW68" i="23"/>
  <c r="EX68" i="23"/>
  <c r="EY68" i="23"/>
  <c r="EZ68" i="23"/>
  <c r="FA68" i="23"/>
  <c r="FB68" i="23"/>
  <c r="FC68" i="23"/>
  <c r="FD68" i="23"/>
  <c r="FE68" i="23"/>
  <c r="FF68" i="23"/>
  <c r="FG68" i="23"/>
  <c r="FH68" i="23"/>
  <c r="FI68" i="23"/>
  <c r="FJ68" i="23"/>
  <c r="FK68" i="23"/>
  <c r="FL68" i="23"/>
  <c r="FM68" i="23"/>
  <c r="FN68" i="23"/>
  <c r="FO68" i="23"/>
  <c r="FP68" i="23"/>
  <c r="FQ68" i="23"/>
  <c r="FR68" i="23"/>
  <c r="FS68" i="23"/>
  <c r="FT68" i="23"/>
  <c r="FU68" i="23"/>
  <c r="FV68" i="23"/>
  <c r="FW68" i="23"/>
  <c r="FX68" i="23"/>
  <c r="FY68" i="23"/>
  <c r="FZ68" i="23"/>
  <c r="GA68" i="23"/>
  <c r="GB68" i="23"/>
  <c r="GC68" i="23"/>
  <c r="GD68" i="23"/>
  <c r="GE68" i="23"/>
  <c r="GF68" i="23"/>
  <c r="GG68" i="23"/>
  <c r="GH68" i="23"/>
  <c r="GI68" i="23"/>
  <c r="GJ68" i="23"/>
  <c r="GK68" i="23"/>
  <c r="GL68" i="23"/>
  <c r="GM68" i="23"/>
  <c r="GN68" i="23"/>
  <c r="GO68" i="23"/>
  <c r="GP68" i="23"/>
  <c r="GQ68" i="23"/>
  <c r="GR68" i="23"/>
  <c r="GS68" i="23"/>
  <c r="GT68" i="23"/>
  <c r="GU68" i="23"/>
  <c r="GV68" i="23"/>
  <c r="GW68" i="23"/>
  <c r="GX68" i="23"/>
  <c r="GY68" i="23"/>
  <c r="GZ68" i="23"/>
  <c r="HA68" i="23"/>
  <c r="HB68" i="23"/>
  <c r="HC68" i="23"/>
  <c r="HD68" i="23"/>
  <c r="HE68" i="23"/>
  <c r="HF68" i="23"/>
  <c r="HG68" i="23"/>
  <c r="HH68" i="23"/>
  <c r="HI68" i="23"/>
  <c r="HJ68" i="23"/>
  <c r="HK68" i="23"/>
  <c r="HL68" i="23"/>
  <c r="HM68" i="23"/>
  <c r="HN68" i="23"/>
  <c r="HO68" i="23"/>
  <c r="HP68" i="23"/>
  <c r="HQ68" i="23"/>
  <c r="HR68" i="23"/>
  <c r="HS68" i="23"/>
  <c r="HT68" i="23"/>
  <c r="HU68" i="23"/>
  <c r="HV68" i="23"/>
  <c r="HW68" i="23"/>
  <c r="HX68" i="23"/>
  <c r="HY68" i="23"/>
  <c r="HZ68" i="23"/>
  <c r="IA68" i="23"/>
  <c r="IB68" i="23"/>
  <c r="IC68" i="23"/>
  <c r="ID68" i="23"/>
  <c r="IE68" i="23"/>
  <c r="IF68" i="23"/>
  <c r="IG68" i="23"/>
  <c r="IH68" i="23"/>
  <c r="II68" i="23"/>
  <c r="IJ68" i="23"/>
  <c r="IK68" i="23"/>
  <c r="IL68" i="23"/>
  <c r="IM68" i="23"/>
  <c r="IN68" i="23"/>
  <c r="IO68" i="23"/>
  <c r="IP68" i="23"/>
  <c r="IQ68" i="23"/>
  <c r="IR68" i="23"/>
  <c r="IS68" i="23"/>
  <c r="IT68" i="23"/>
  <c r="IU68" i="23"/>
  <c r="IV68" i="23"/>
  <c r="A67" i="23"/>
  <c r="B67" i="23"/>
  <c r="C67" i="23"/>
  <c r="D67" i="23"/>
  <c r="E67" i="23"/>
  <c r="F67" i="23"/>
  <c r="G67" i="23"/>
  <c r="H67" i="23"/>
  <c r="I67" i="23"/>
  <c r="J67" i="23"/>
  <c r="K67" i="23"/>
  <c r="L67" i="23"/>
  <c r="M67" i="23"/>
  <c r="N67" i="23"/>
  <c r="O67" i="23"/>
  <c r="P67" i="23"/>
  <c r="Q67" i="23"/>
  <c r="R67" i="23"/>
  <c r="S67" i="23"/>
  <c r="T67" i="23"/>
  <c r="U67" i="23"/>
  <c r="V67" i="23"/>
  <c r="W67" i="23"/>
  <c r="X67" i="23"/>
  <c r="Y67" i="23"/>
  <c r="Z67" i="23"/>
  <c r="AA67" i="23"/>
  <c r="AB67" i="23"/>
  <c r="AC67" i="23"/>
  <c r="AD67" i="23"/>
  <c r="AE67" i="23"/>
  <c r="AF67" i="23"/>
  <c r="AG67" i="23"/>
  <c r="AH67" i="23"/>
  <c r="AI67" i="23"/>
  <c r="AJ67" i="23"/>
  <c r="AK67" i="23"/>
  <c r="AL67" i="23"/>
  <c r="AM67" i="23"/>
  <c r="AN67" i="23"/>
  <c r="AO67" i="23"/>
  <c r="AP67" i="23"/>
  <c r="AQ67" i="23"/>
  <c r="AR67" i="23"/>
  <c r="AS67" i="23"/>
  <c r="AT67" i="23"/>
  <c r="AU67" i="23"/>
  <c r="AV67" i="23"/>
  <c r="AW67" i="23"/>
  <c r="AX67" i="23"/>
  <c r="AY67" i="23"/>
  <c r="AZ67" i="23"/>
  <c r="BA67" i="23"/>
  <c r="BB67" i="23"/>
  <c r="BC67" i="23"/>
  <c r="BD67" i="23"/>
  <c r="BE67" i="23"/>
  <c r="BF67" i="23"/>
  <c r="BG67" i="23"/>
  <c r="BH67" i="23"/>
  <c r="BI67" i="23"/>
  <c r="BJ67" i="23"/>
  <c r="BK67" i="23"/>
  <c r="BL67" i="23"/>
  <c r="BM67" i="23"/>
  <c r="BN67" i="23"/>
  <c r="BO67" i="23"/>
  <c r="BP67" i="23"/>
  <c r="BQ67" i="23"/>
  <c r="BR67" i="23"/>
  <c r="BS67" i="23"/>
  <c r="BT67" i="23"/>
  <c r="BU67" i="23"/>
  <c r="BV67" i="23"/>
  <c r="BW67" i="23"/>
  <c r="BX67" i="23"/>
  <c r="BY67" i="23"/>
  <c r="BZ67" i="23"/>
  <c r="CA67" i="23"/>
  <c r="CB67" i="23"/>
  <c r="CC67" i="23"/>
  <c r="CD67" i="23"/>
  <c r="CE67" i="23"/>
  <c r="CF67" i="23"/>
  <c r="CG67" i="23"/>
  <c r="CH67" i="23"/>
  <c r="CI67" i="23"/>
  <c r="CJ67" i="23"/>
  <c r="CK67" i="23"/>
  <c r="CL67" i="23"/>
  <c r="CM67" i="23"/>
  <c r="CN67" i="23"/>
  <c r="CO67" i="23"/>
  <c r="CP67" i="23"/>
  <c r="CQ67" i="23"/>
  <c r="CR67" i="23"/>
  <c r="CS67" i="23"/>
  <c r="CT67" i="23"/>
  <c r="CU67" i="23"/>
  <c r="CV67" i="23"/>
  <c r="CW67" i="23"/>
  <c r="CX67" i="23"/>
  <c r="CY67" i="23"/>
  <c r="CZ67" i="23"/>
  <c r="DA67" i="23"/>
  <c r="DB67" i="23"/>
  <c r="DC67" i="23"/>
  <c r="DD67" i="23"/>
  <c r="DE67" i="23"/>
  <c r="DF67" i="23"/>
  <c r="DG67" i="23"/>
  <c r="DH67" i="23"/>
  <c r="DI67" i="23"/>
  <c r="DJ67" i="23"/>
  <c r="DK67" i="23"/>
  <c r="DL67" i="23"/>
  <c r="DM67" i="23"/>
  <c r="DN67" i="23"/>
  <c r="DO67" i="23"/>
  <c r="DP67" i="23"/>
  <c r="DQ67" i="23"/>
  <c r="DR67" i="23"/>
  <c r="DS67" i="23"/>
  <c r="DT67" i="23"/>
  <c r="DU67" i="23"/>
  <c r="DV67" i="23"/>
  <c r="DW67" i="23"/>
  <c r="DX67" i="23"/>
  <c r="DY67" i="23"/>
  <c r="DZ67" i="23"/>
  <c r="EA67" i="23"/>
  <c r="EB67" i="23"/>
  <c r="EC67" i="23"/>
  <c r="ED67" i="23"/>
  <c r="EE67" i="23"/>
  <c r="EF67" i="23"/>
  <c r="EG67" i="23"/>
  <c r="EH67" i="23"/>
  <c r="EI67" i="23"/>
  <c r="EJ67" i="23"/>
  <c r="EK67" i="23"/>
  <c r="EL67" i="23"/>
  <c r="EM67" i="23"/>
  <c r="EN67" i="23"/>
  <c r="EO67" i="23"/>
  <c r="EP67" i="23"/>
  <c r="EQ67" i="23"/>
  <c r="ER67" i="23"/>
  <c r="ES67" i="23"/>
  <c r="ET67" i="23"/>
  <c r="EU67" i="23"/>
  <c r="EV67" i="23"/>
  <c r="EW67" i="23"/>
  <c r="EX67" i="23"/>
  <c r="EY67" i="23"/>
  <c r="EZ67" i="23"/>
  <c r="FA67" i="23"/>
  <c r="FB67" i="23"/>
  <c r="FC67" i="23"/>
  <c r="FD67" i="23"/>
  <c r="FE67" i="23"/>
  <c r="FF67" i="23"/>
  <c r="FG67" i="23"/>
  <c r="FH67" i="23"/>
  <c r="FI67" i="23"/>
  <c r="FJ67" i="23"/>
  <c r="FK67" i="23"/>
  <c r="FL67" i="23"/>
  <c r="FM67" i="23"/>
  <c r="FN67" i="23"/>
  <c r="FO67" i="23"/>
  <c r="FP67" i="23"/>
  <c r="FQ67" i="23"/>
  <c r="FR67" i="23"/>
  <c r="FS67" i="23"/>
  <c r="FT67" i="23"/>
  <c r="FU67" i="23"/>
  <c r="FV67" i="23"/>
  <c r="FW67" i="23"/>
  <c r="FX67" i="23"/>
  <c r="FY67" i="23"/>
  <c r="FZ67" i="23"/>
  <c r="GA67" i="23"/>
  <c r="GB67" i="23"/>
  <c r="GC67" i="23"/>
  <c r="GD67" i="23"/>
  <c r="GE67" i="23"/>
  <c r="GF67" i="23"/>
  <c r="GG67" i="23"/>
  <c r="GH67" i="23"/>
  <c r="GI67" i="23"/>
  <c r="GJ67" i="23"/>
  <c r="GK67" i="23"/>
  <c r="GL67" i="23"/>
  <c r="GM67" i="23"/>
  <c r="GN67" i="23"/>
  <c r="GO67" i="23"/>
  <c r="GP67" i="23"/>
  <c r="GQ67" i="23"/>
  <c r="GR67" i="23"/>
  <c r="GS67" i="23"/>
  <c r="GT67" i="23"/>
  <c r="GU67" i="23"/>
  <c r="GV67" i="23"/>
  <c r="GW67" i="23"/>
  <c r="GX67" i="23"/>
  <c r="GY67" i="23"/>
  <c r="GZ67" i="23"/>
  <c r="HA67" i="23"/>
  <c r="HB67" i="23"/>
  <c r="HC67" i="23"/>
  <c r="HD67" i="23"/>
  <c r="HE67" i="23"/>
  <c r="HF67" i="23"/>
  <c r="HG67" i="23"/>
  <c r="HH67" i="23"/>
  <c r="HI67" i="23"/>
  <c r="HJ67" i="23"/>
  <c r="HK67" i="23"/>
  <c r="HL67" i="23"/>
  <c r="HM67" i="23"/>
  <c r="HN67" i="23"/>
  <c r="HO67" i="23"/>
  <c r="HP67" i="23"/>
  <c r="HQ67" i="23"/>
  <c r="HR67" i="23"/>
  <c r="HS67" i="23"/>
  <c r="HT67" i="23"/>
  <c r="HU67" i="23"/>
  <c r="HV67" i="23"/>
  <c r="HW67" i="23"/>
  <c r="HX67" i="23"/>
  <c r="HY67" i="23"/>
  <c r="HZ67" i="23"/>
  <c r="IA67" i="23"/>
  <c r="IB67" i="23"/>
  <c r="IC67" i="23"/>
  <c r="ID67" i="23"/>
  <c r="IE67" i="23"/>
  <c r="IF67" i="23"/>
  <c r="IG67" i="23"/>
  <c r="IH67" i="23"/>
  <c r="II67" i="23"/>
  <c r="IJ67" i="23"/>
  <c r="IK67" i="23"/>
  <c r="IL67" i="23"/>
  <c r="IM67" i="23"/>
  <c r="IN67" i="23"/>
  <c r="IO67" i="23"/>
  <c r="IP67" i="23"/>
  <c r="IQ67" i="23"/>
  <c r="IR67" i="23"/>
  <c r="IS67" i="23"/>
  <c r="IT67" i="23"/>
  <c r="IU67" i="23"/>
  <c r="IV67" i="23"/>
  <c r="A66" i="23"/>
  <c r="B66" i="23"/>
  <c r="C66" i="23"/>
  <c r="D66" i="23"/>
  <c r="E66" i="23"/>
  <c r="F66" i="23"/>
  <c r="G66" i="23"/>
  <c r="H66" i="23"/>
  <c r="I66" i="23"/>
  <c r="J66" i="23"/>
  <c r="K66" i="23"/>
  <c r="L66" i="23"/>
  <c r="M66" i="23"/>
  <c r="N66" i="23"/>
  <c r="O66" i="23"/>
  <c r="P66" i="23"/>
  <c r="Q66" i="23"/>
  <c r="R66" i="23"/>
  <c r="S66" i="23"/>
  <c r="T66" i="23"/>
  <c r="U66" i="23"/>
  <c r="V66" i="23"/>
  <c r="W66" i="23"/>
  <c r="X66" i="23"/>
  <c r="Y66" i="23"/>
  <c r="Z66" i="23"/>
  <c r="AA66" i="23"/>
  <c r="AB66" i="23"/>
  <c r="AC66" i="23"/>
  <c r="AD66" i="23"/>
  <c r="AE66" i="23"/>
  <c r="AF66" i="23"/>
  <c r="AG66" i="23"/>
  <c r="AH66" i="23"/>
  <c r="AI66" i="23"/>
  <c r="AJ66" i="23"/>
  <c r="AK66" i="23"/>
  <c r="AL66" i="23"/>
  <c r="AM66" i="23"/>
  <c r="AN66" i="23"/>
  <c r="AO66" i="23"/>
  <c r="AP66" i="23"/>
  <c r="AQ66" i="23"/>
  <c r="AR66" i="23"/>
  <c r="AS66" i="23"/>
  <c r="AT66" i="23"/>
  <c r="AU66" i="23"/>
  <c r="AV66" i="23"/>
  <c r="AW66" i="23"/>
  <c r="AX66" i="23"/>
  <c r="AY66" i="23"/>
  <c r="AZ66" i="23"/>
  <c r="BA66" i="23"/>
  <c r="BB66" i="23"/>
  <c r="BC66" i="23"/>
  <c r="BD66" i="23"/>
  <c r="BE66" i="23"/>
  <c r="BF66" i="23"/>
  <c r="BG66" i="23"/>
  <c r="BH66" i="23"/>
  <c r="BI66" i="23"/>
  <c r="BJ66" i="23"/>
  <c r="BK66" i="23"/>
  <c r="BL66" i="23"/>
  <c r="BM66" i="23"/>
  <c r="BN66" i="23"/>
  <c r="BO66" i="23"/>
  <c r="BP66" i="23"/>
  <c r="BQ66" i="23"/>
  <c r="BR66" i="23"/>
  <c r="BS66" i="23"/>
  <c r="BT66" i="23"/>
  <c r="BU66" i="23"/>
  <c r="BV66" i="23"/>
  <c r="BW66" i="23"/>
  <c r="BX66" i="23"/>
  <c r="BY66" i="23"/>
  <c r="BZ66" i="23"/>
  <c r="CA66" i="23"/>
  <c r="CB66" i="23"/>
  <c r="CC66" i="23"/>
  <c r="CD66" i="23"/>
  <c r="CE66" i="23"/>
  <c r="CF66" i="23"/>
  <c r="CG66" i="23"/>
  <c r="CH66" i="23"/>
  <c r="CI66" i="23"/>
  <c r="CJ66" i="23"/>
  <c r="CK66" i="23"/>
  <c r="CL66" i="23"/>
  <c r="CM66" i="23"/>
  <c r="CN66" i="23"/>
  <c r="CO66" i="23"/>
  <c r="CP66" i="23"/>
  <c r="CQ66" i="23"/>
  <c r="CR66" i="23"/>
  <c r="CS66" i="23"/>
  <c r="CT66" i="23"/>
  <c r="CU66" i="23"/>
  <c r="CV66" i="23"/>
  <c r="CW66" i="23"/>
  <c r="CX66" i="23"/>
  <c r="CY66" i="23"/>
  <c r="CZ66" i="23"/>
  <c r="DA66" i="23"/>
  <c r="DB66" i="23"/>
  <c r="DC66" i="23"/>
  <c r="DD66" i="23"/>
  <c r="DE66" i="23"/>
  <c r="DF66" i="23"/>
  <c r="DG66" i="23"/>
  <c r="DH66" i="23"/>
  <c r="DI66" i="23"/>
  <c r="DJ66" i="23"/>
  <c r="DK66" i="23"/>
  <c r="DL66" i="23"/>
  <c r="DM66" i="23"/>
  <c r="DN66" i="23"/>
  <c r="DO66" i="23"/>
  <c r="DP66" i="23"/>
  <c r="DQ66" i="23"/>
  <c r="DR66" i="23"/>
  <c r="DS66" i="23"/>
  <c r="DT66" i="23"/>
  <c r="DU66" i="23"/>
  <c r="DV66" i="23"/>
  <c r="DW66" i="23"/>
  <c r="DX66" i="23"/>
  <c r="DY66" i="23"/>
  <c r="DZ66" i="23"/>
  <c r="EA66" i="23"/>
  <c r="EB66" i="23"/>
  <c r="EC66" i="23"/>
  <c r="ED66" i="23"/>
  <c r="EE66" i="23"/>
  <c r="EF66" i="23"/>
  <c r="EG66" i="23"/>
  <c r="EH66" i="23"/>
  <c r="EI66" i="23"/>
  <c r="EJ66" i="23"/>
  <c r="EK66" i="23"/>
  <c r="EL66" i="23"/>
  <c r="EM66" i="23"/>
  <c r="EN66" i="23"/>
  <c r="EO66" i="23"/>
  <c r="EP66" i="23"/>
  <c r="EQ66" i="23"/>
  <c r="ER66" i="23"/>
  <c r="ES66" i="23"/>
  <c r="ET66" i="23"/>
  <c r="EU66" i="23"/>
  <c r="EV66" i="23"/>
  <c r="EW66" i="23"/>
  <c r="EX66" i="23"/>
  <c r="EY66" i="23"/>
  <c r="EZ66" i="23"/>
  <c r="FA66" i="23"/>
  <c r="FB66" i="23"/>
  <c r="FC66" i="23"/>
  <c r="FD66" i="23"/>
  <c r="FE66" i="23"/>
  <c r="FF66" i="23"/>
  <c r="FG66" i="23"/>
  <c r="FH66" i="23"/>
  <c r="FI66" i="23"/>
  <c r="FJ66" i="23"/>
  <c r="FK66" i="23"/>
  <c r="FL66" i="23"/>
  <c r="FM66" i="23"/>
  <c r="FN66" i="23"/>
  <c r="FO66" i="23"/>
  <c r="FP66" i="23"/>
  <c r="FQ66" i="23"/>
  <c r="FR66" i="23"/>
  <c r="FS66" i="23"/>
  <c r="FT66" i="23"/>
  <c r="FU66" i="23"/>
  <c r="FV66" i="23"/>
  <c r="FW66" i="23"/>
  <c r="FX66" i="23"/>
  <c r="FY66" i="23"/>
  <c r="FZ66" i="23"/>
  <c r="GA66" i="23"/>
  <c r="GB66" i="23"/>
  <c r="GC66" i="23"/>
  <c r="GD66" i="23"/>
  <c r="GE66" i="23"/>
  <c r="GF66" i="23"/>
  <c r="GG66" i="23"/>
  <c r="GH66" i="23"/>
  <c r="GI66" i="23"/>
  <c r="GJ66" i="23"/>
  <c r="GK66" i="23"/>
  <c r="GL66" i="23"/>
  <c r="GM66" i="23"/>
  <c r="GN66" i="23"/>
  <c r="GO66" i="23"/>
  <c r="GP66" i="23"/>
  <c r="GQ66" i="23"/>
  <c r="GR66" i="23"/>
  <c r="GS66" i="23"/>
  <c r="GT66" i="23"/>
  <c r="GU66" i="23"/>
  <c r="GV66" i="23"/>
  <c r="GW66" i="23"/>
  <c r="GX66" i="23"/>
  <c r="GY66" i="23"/>
  <c r="GZ66" i="23"/>
  <c r="HA66" i="23"/>
  <c r="HB66" i="23"/>
  <c r="HC66" i="23"/>
  <c r="HD66" i="23"/>
  <c r="HE66" i="23"/>
  <c r="HF66" i="23"/>
  <c r="HG66" i="23"/>
  <c r="HH66" i="23"/>
  <c r="HI66" i="23"/>
  <c r="HJ66" i="23"/>
  <c r="HK66" i="23"/>
  <c r="HL66" i="23"/>
  <c r="HM66" i="23"/>
  <c r="HN66" i="23"/>
  <c r="HO66" i="23"/>
  <c r="HP66" i="23"/>
  <c r="HQ66" i="23"/>
  <c r="HR66" i="23"/>
  <c r="HS66" i="23"/>
  <c r="HT66" i="23"/>
  <c r="HU66" i="23"/>
  <c r="HV66" i="23"/>
  <c r="HW66" i="23"/>
  <c r="HX66" i="23"/>
  <c r="HY66" i="23"/>
  <c r="HZ66" i="23"/>
  <c r="IA66" i="23"/>
  <c r="IB66" i="23"/>
  <c r="IC66" i="23"/>
  <c r="ID66" i="23"/>
  <c r="IE66" i="23"/>
  <c r="IF66" i="23"/>
  <c r="IG66" i="23"/>
  <c r="IH66" i="23"/>
  <c r="II66" i="23"/>
  <c r="IJ66" i="23"/>
  <c r="IK66" i="23"/>
  <c r="IL66" i="23"/>
  <c r="IM66" i="23"/>
  <c r="IN66" i="23"/>
  <c r="IO66" i="23"/>
  <c r="IP66" i="23"/>
  <c r="IQ66" i="23"/>
  <c r="IR66" i="23"/>
  <c r="IS66" i="23"/>
  <c r="IT66" i="23"/>
  <c r="IU66" i="23"/>
  <c r="IV66" i="23"/>
  <c r="A65" i="23"/>
  <c r="B65" i="23"/>
  <c r="C65" i="23"/>
  <c r="D65" i="23"/>
  <c r="E65" i="23"/>
  <c r="F65" i="23"/>
  <c r="G65" i="23"/>
  <c r="H65" i="23"/>
  <c r="I65" i="23"/>
  <c r="J65" i="23"/>
  <c r="K65" i="23"/>
  <c r="L65" i="23"/>
  <c r="M65" i="23"/>
  <c r="N65" i="23"/>
  <c r="O65" i="23"/>
  <c r="P65" i="23"/>
  <c r="Q65" i="23"/>
  <c r="R65" i="23"/>
  <c r="S65" i="23"/>
  <c r="T65" i="23"/>
  <c r="U65" i="23"/>
  <c r="V65" i="23"/>
  <c r="W65" i="23"/>
  <c r="X65" i="23"/>
  <c r="Y65" i="23"/>
  <c r="Z65" i="23"/>
  <c r="AA65" i="23"/>
  <c r="AB65" i="23"/>
  <c r="AC65" i="23"/>
  <c r="AD65" i="23"/>
  <c r="AE65" i="23"/>
  <c r="AF65" i="23"/>
  <c r="AG65" i="23"/>
  <c r="AH65" i="23"/>
  <c r="AI65" i="23"/>
  <c r="AJ65" i="23"/>
  <c r="AK65" i="23"/>
  <c r="AL65" i="23"/>
  <c r="AM65" i="23"/>
  <c r="AN65" i="23"/>
  <c r="AO65" i="23"/>
  <c r="AP65" i="23"/>
  <c r="AQ65" i="23"/>
  <c r="AR65" i="23"/>
  <c r="AS65" i="23"/>
  <c r="AT65" i="23"/>
  <c r="AU65" i="23"/>
  <c r="AV65" i="23"/>
  <c r="AW65" i="23"/>
  <c r="AX65" i="23"/>
  <c r="AY65" i="23"/>
  <c r="AZ65" i="23"/>
  <c r="BA65" i="23"/>
  <c r="BB65" i="23"/>
  <c r="BC65" i="23"/>
  <c r="BD65" i="23"/>
  <c r="BE65" i="23"/>
  <c r="BF65" i="23"/>
  <c r="BG65" i="23"/>
  <c r="BH65" i="23"/>
  <c r="BI65" i="23"/>
  <c r="BJ65" i="23"/>
  <c r="BK65" i="23"/>
  <c r="BL65" i="23"/>
  <c r="BM65" i="23"/>
  <c r="BN65" i="23"/>
  <c r="BO65" i="23"/>
  <c r="BP65" i="23"/>
  <c r="BQ65" i="23"/>
  <c r="BR65" i="23"/>
  <c r="BS65" i="23"/>
  <c r="BT65" i="23"/>
  <c r="BU65" i="23"/>
  <c r="BV65" i="23"/>
  <c r="BW65" i="23"/>
  <c r="BX65" i="23"/>
  <c r="BY65" i="23"/>
  <c r="BZ65" i="23"/>
  <c r="CA65" i="23"/>
  <c r="CB65" i="23"/>
  <c r="CC65" i="23"/>
  <c r="CD65" i="23"/>
  <c r="CE65" i="23"/>
  <c r="CF65" i="23"/>
  <c r="CG65" i="23"/>
  <c r="CH65" i="23"/>
  <c r="CI65" i="23"/>
  <c r="CJ65" i="23"/>
  <c r="CK65" i="23"/>
  <c r="CL65" i="23"/>
  <c r="CM65" i="23"/>
  <c r="CN65" i="23"/>
  <c r="CO65" i="23"/>
  <c r="CP65" i="23"/>
  <c r="CQ65" i="23"/>
  <c r="CR65" i="23"/>
  <c r="CS65" i="23"/>
  <c r="CT65" i="23"/>
  <c r="CU65" i="23"/>
  <c r="CV65" i="23"/>
  <c r="CW65" i="23"/>
  <c r="CX65" i="23"/>
  <c r="CY65" i="23"/>
  <c r="CZ65" i="23"/>
  <c r="DA65" i="23"/>
  <c r="DB65" i="23"/>
  <c r="DC65" i="23"/>
  <c r="DD65" i="23"/>
  <c r="DE65" i="23"/>
  <c r="DF65" i="23"/>
  <c r="DG65" i="23"/>
  <c r="DH65" i="23"/>
  <c r="DI65" i="23"/>
  <c r="DJ65" i="23"/>
  <c r="DK65" i="23"/>
  <c r="DL65" i="23"/>
  <c r="DM65" i="23"/>
  <c r="DN65" i="23"/>
  <c r="DO65" i="23"/>
  <c r="DP65" i="23"/>
  <c r="DQ65" i="23"/>
  <c r="DR65" i="23"/>
  <c r="DS65" i="23"/>
  <c r="DT65" i="23"/>
  <c r="DU65" i="23"/>
  <c r="DV65" i="23"/>
  <c r="DW65" i="23"/>
  <c r="DX65" i="23"/>
  <c r="DY65" i="23"/>
  <c r="DZ65" i="23"/>
  <c r="EA65" i="23"/>
  <c r="EB65" i="23"/>
  <c r="EC65" i="23"/>
  <c r="ED65" i="23"/>
  <c r="EE65" i="23"/>
  <c r="EF65" i="23"/>
  <c r="EG65" i="23"/>
  <c r="EH65" i="23"/>
  <c r="EI65" i="23"/>
  <c r="EJ65" i="23"/>
  <c r="EK65" i="23"/>
  <c r="EL65" i="23"/>
  <c r="EM65" i="23"/>
  <c r="EN65" i="23"/>
  <c r="EO65" i="23"/>
  <c r="EP65" i="23"/>
  <c r="EQ65" i="23"/>
  <c r="ER65" i="23"/>
  <c r="ES65" i="23"/>
  <c r="ET65" i="23"/>
  <c r="EU65" i="23"/>
  <c r="EV65" i="23"/>
  <c r="EW65" i="23"/>
  <c r="EX65" i="23"/>
  <c r="EY65" i="23"/>
  <c r="EZ65" i="23"/>
  <c r="FA65" i="23"/>
  <c r="FB65" i="23"/>
  <c r="FC65" i="23"/>
  <c r="FD65" i="23"/>
  <c r="FE65" i="23"/>
  <c r="FF65" i="23"/>
  <c r="FG65" i="23"/>
  <c r="FH65" i="23"/>
  <c r="FI65" i="23"/>
  <c r="FJ65" i="23"/>
  <c r="FK65" i="23"/>
  <c r="FL65" i="23"/>
  <c r="FM65" i="23"/>
  <c r="FN65" i="23"/>
  <c r="FO65" i="23"/>
  <c r="FP65" i="23"/>
  <c r="FQ65" i="23"/>
  <c r="FR65" i="23"/>
  <c r="FS65" i="23"/>
  <c r="FT65" i="23"/>
  <c r="FU65" i="23"/>
  <c r="FV65" i="23"/>
  <c r="FW65" i="23"/>
  <c r="FX65" i="23"/>
  <c r="FY65" i="23"/>
  <c r="FZ65" i="23"/>
  <c r="GA65" i="23"/>
  <c r="GB65" i="23"/>
  <c r="GC65" i="23"/>
  <c r="GD65" i="23"/>
  <c r="GE65" i="23"/>
  <c r="GF65" i="23"/>
  <c r="GG65" i="23"/>
  <c r="GH65" i="23"/>
  <c r="GI65" i="23"/>
  <c r="GJ65" i="23"/>
  <c r="GK65" i="23"/>
  <c r="GL65" i="23"/>
  <c r="GM65" i="23"/>
  <c r="GN65" i="23"/>
  <c r="GO65" i="23"/>
  <c r="GP65" i="23"/>
  <c r="GQ65" i="23"/>
  <c r="GR65" i="23"/>
  <c r="GS65" i="23"/>
  <c r="GT65" i="23"/>
  <c r="GU65" i="23"/>
  <c r="GV65" i="23"/>
  <c r="GW65" i="23"/>
  <c r="GX65" i="23"/>
  <c r="GY65" i="23"/>
  <c r="GZ65" i="23"/>
  <c r="HA65" i="23"/>
  <c r="HB65" i="23"/>
  <c r="HC65" i="23"/>
  <c r="HD65" i="23"/>
  <c r="HE65" i="23"/>
  <c r="HF65" i="23"/>
  <c r="HG65" i="23"/>
  <c r="HH65" i="23"/>
  <c r="HI65" i="23"/>
  <c r="HJ65" i="23"/>
  <c r="HK65" i="23"/>
  <c r="HL65" i="23"/>
  <c r="HM65" i="23"/>
  <c r="HN65" i="23"/>
  <c r="HO65" i="23"/>
  <c r="HP65" i="23"/>
  <c r="HQ65" i="23"/>
  <c r="HR65" i="23"/>
  <c r="HS65" i="23"/>
  <c r="HT65" i="23"/>
  <c r="HU65" i="23"/>
  <c r="HV65" i="23"/>
  <c r="HW65" i="23"/>
  <c r="HX65" i="23"/>
  <c r="HY65" i="23"/>
  <c r="HZ65" i="23"/>
  <c r="IA65" i="23"/>
  <c r="IB65" i="23"/>
  <c r="IC65" i="23"/>
  <c r="ID65" i="23"/>
  <c r="IE65" i="23"/>
  <c r="IF65" i="23"/>
  <c r="IG65" i="23"/>
  <c r="IH65" i="23"/>
  <c r="II65" i="23"/>
  <c r="IJ65" i="23"/>
  <c r="IK65" i="23"/>
  <c r="IL65" i="23"/>
  <c r="IM65" i="23"/>
  <c r="IN65" i="23"/>
  <c r="IO65" i="23"/>
  <c r="IP65" i="23"/>
  <c r="IQ65" i="23"/>
  <c r="IR65" i="23"/>
  <c r="IS65" i="23"/>
  <c r="IT65" i="23"/>
  <c r="IU65" i="23"/>
  <c r="IV65" i="23"/>
  <c r="A64" i="23"/>
  <c r="B64" i="23"/>
  <c r="C64" i="23"/>
  <c r="D64" i="23"/>
  <c r="E64" i="23"/>
  <c r="F64" i="23"/>
  <c r="G64" i="23"/>
  <c r="H64" i="23"/>
  <c r="I64" i="23"/>
  <c r="J64" i="23"/>
  <c r="K64" i="23"/>
  <c r="L64" i="23"/>
  <c r="M64" i="23"/>
  <c r="N64" i="23"/>
  <c r="O64" i="23"/>
  <c r="P64" i="23"/>
  <c r="Q64" i="23"/>
  <c r="R64" i="23"/>
  <c r="S64" i="23"/>
  <c r="T64" i="23"/>
  <c r="U64" i="23"/>
  <c r="V64" i="23"/>
  <c r="W64" i="23"/>
  <c r="X64" i="23"/>
  <c r="Y64" i="23"/>
  <c r="Z64" i="23"/>
  <c r="AA64" i="23"/>
  <c r="AB64" i="23"/>
  <c r="AC64" i="23"/>
  <c r="AD64" i="23"/>
  <c r="AE64" i="23"/>
  <c r="AF64" i="23"/>
  <c r="AG64" i="23"/>
  <c r="AH64" i="23"/>
  <c r="AI64" i="23"/>
  <c r="AJ64" i="23"/>
  <c r="AK64" i="23"/>
  <c r="AL64" i="23"/>
  <c r="AM64" i="23"/>
  <c r="AN64" i="23"/>
  <c r="AO64" i="23"/>
  <c r="AP64" i="23"/>
  <c r="AQ64" i="23"/>
  <c r="AR64" i="23"/>
  <c r="AS64" i="23"/>
  <c r="AT64" i="23"/>
  <c r="AU64" i="23"/>
  <c r="AV64" i="23"/>
  <c r="AW64" i="23"/>
  <c r="AX64" i="23"/>
  <c r="AY64" i="23"/>
  <c r="AZ64" i="23"/>
  <c r="BA64" i="23"/>
  <c r="BB64" i="23"/>
  <c r="BC64" i="23"/>
  <c r="BD64" i="23"/>
  <c r="BE64" i="23"/>
  <c r="BF64" i="23"/>
  <c r="BG64" i="23"/>
  <c r="BH64" i="23"/>
  <c r="BI64" i="23"/>
  <c r="BJ64" i="23"/>
  <c r="BK64" i="23"/>
  <c r="BL64" i="23"/>
  <c r="BM64" i="23"/>
  <c r="BN64" i="23"/>
  <c r="BO64" i="23"/>
  <c r="BP64" i="23"/>
  <c r="BQ64" i="23"/>
  <c r="BR64" i="23"/>
  <c r="BS64" i="23"/>
  <c r="BT64" i="23"/>
  <c r="BU64" i="23"/>
  <c r="BV64" i="23"/>
  <c r="BW64" i="23"/>
  <c r="BX64" i="23"/>
  <c r="BY64" i="23"/>
  <c r="BZ64" i="23"/>
  <c r="CA64" i="23"/>
  <c r="CB64" i="23"/>
  <c r="CC64" i="23"/>
  <c r="CD64" i="23"/>
  <c r="CE64" i="23"/>
  <c r="CF64" i="23"/>
  <c r="CG64" i="23"/>
  <c r="CH64" i="23"/>
  <c r="CI64" i="23"/>
  <c r="CJ64" i="23"/>
  <c r="CK64" i="23"/>
  <c r="CL64" i="23"/>
  <c r="CM64" i="23"/>
  <c r="CN64" i="23"/>
  <c r="CO64" i="23"/>
  <c r="CP64" i="23"/>
  <c r="CQ64" i="23"/>
  <c r="CR64" i="23"/>
  <c r="CS64" i="23"/>
  <c r="CT64" i="23"/>
  <c r="CU64" i="23"/>
  <c r="CV64" i="23"/>
  <c r="CW64" i="23"/>
  <c r="CX64" i="23"/>
  <c r="CY64" i="23"/>
  <c r="CZ64" i="23"/>
  <c r="DA64" i="23"/>
  <c r="DB64" i="23"/>
  <c r="DC64" i="23"/>
  <c r="DD64" i="23"/>
  <c r="DE64" i="23"/>
  <c r="DF64" i="23"/>
  <c r="DG64" i="23"/>
  <c r="DH64" i="23"/>
  <c r="DI64" i="23"/>
  <c r="DJ64" i="23"/>
  <c r="DK64" i="23"/>
  <c r="DL64" i="23"/>
  <c r="DM64" i="23"/>
  <c r="DN64" i="23"/>
  <c r="DO64" i="23"/>
  <c r="DP64" i="23"/>
  <c r="DQ64" i="23"/>
  <c r="DR64" i="23"/>
  <c r="DS64" i="23"/>
  <c r="DT64" i="23"/>
  <c r="DU64" i="23"/>
  <c r="DV64" i="23"/>
  <c r="DW64" i="23"/>
  <c r="DX64" i="23"/>
  <c r="DY64" i="23"/>
  <c r="DZ64" i="23"/>
  <c r="EA64" i="23"/>
  <c r="EB64" i="23"/>
  <c r="EC64" i="23"/>
  <c r="ED64" i="23"/>
  <c r="EE64" i="23"/>
  <c r="EF64" i="23"/>
  <c r="EG64" i="23"/>
  <c r="EH64" i="23"/>
  <c r="EI64" i="23"/>
  <c r="EJ64" i="23"/>
  <c r="EK64" i="23"/>
  <c r="EL64" i="23"/>
  <c r="EM64" i="23"/>
  <c r="EN64" i="23"/>
  <c r="EO64" i="23"/>
  <c r="EP64" i="23"/>
  <c r="EQ64" i="23"/>
  <c r="ER64" i="23"/>
  <c r="ES64" i="23"/>
  <c r="ET64" i="23"/>
  <c r="EU64" i="23"/>
  <c r="EV64" i="23"/>
  <c r="EW64" i="23"/>
  <c r="EX64" i="23"/>
  <c r="EY64" i="23"/>
  <c r="EZ64" i="23"/>
  <c r="FA64" i="23"/>
  <c r="FB64" i="23"/>
  <c r="FC64" i="23"/>
  <c r="FD64" i="23"/>
  <c r="FE64" i="23"/>
  <c r="FF64" i="23"/>
  <c r="FG64" i="23"/>
  <c r="FH64" i="23"/>
  <c r="FI64" i="23"/>
  <c r="FJ64" i="23"/>
  <c r="FK64" i="23"/>
  <c r="FL64" i="23"/>
  <c r="FM64" i="23"/>
  <c r="FN64" i="23"/>
  <c r="FO64" i="23"/>
  <c r="FP64" i="23"/>
  <c r="FQ64" i="23"/>
  <c r="FR64" i="23"/>
  <c r="FS64" i="23"/>
  <c r="FT64" i="23"/>
  <c r="FU64" i="23"/>
  <c r="FV64" i="23"/>
  <c r="FW64" i="23"/>
  <c r="FX64" i="23"/>
  <c r="FY64" i="23"/>
  <c r="FZ64" i="23"/>
  <c r="GA64" i="23"/>
  <c r="GB64" i="23"/>
  <c r="GC64" i="23"/>
  <c r="GD64" i="23"/>
  <c r="GE64" i="23"/>
  <c r="GF64" i="23"/>
  <c r="GG64" i="23"/>
  <c r="GH64" i="23"/>
  <c r="GI64" i="23"/>
  <c r="GJ64" i="23"/>
  <c r="GK64" i="23"/>
  <c r="GL64" i="23"/>
  <c r="GM64" i="23"/>
  <c r="GN64" i="23"/>
  <c r="GO64" i="23"/>
  <c r="GP64" i="23"/>
  <c r="GQ64" i="23"/>
  <c r="GR64" i="23"/>
  <c r="GS64" i="23"/>
  <c r="GT64" i="23"/>
  <c r="GU64" i="23"/>
  <c r="GV64" i="23"/>
  <c r="GW64" i="23"/>
  <c r="GX64" i="23"/>
  <c r="GY64" i="23"/>
  <c r="GZ64" i="23"/>
  <c r="HA64" i="23"/>
  <c r="HB64" i="23"/>
  <c r="HC64" i="23"/>
  <c r="HD64" i="23"/>
  <c r="HE64" i="23"/>
  <c r="HF64" i="23"/>
  <c r="HG64" i="23"/>
  <c r="HH64" i="23"/>
  <c r="HI64" i="23"/>
  <c r="HJ64" i="23"/>
  <c r="HK64" i="23"/>
  <c r="HL64" i="23"/>
  <c r="HM64" i="23"/>
  <c r="HN64" i="23"/>
  <c r="HO64" i="23"/>
  <c r="HP64" i="23"/>
  <c r="HQ64" i="23"/>
  <c r="HR64" i="23"/>
  <c r="HS64" i="23"/>
  <c r="HT64" i="23"/>
  <c r="HU64" i="23"/>
  <c r="HV64" i="23"/>
  <c r="HW64" i="23"/>
  <c r="HX64" i="23"/>
  <c r="HY64" i="23"/>
  <c r="HZ64" i="23"/>
  <c r="IA64" i="23"/>
  <c r="IB64" i="23"/>
  <c r="IC64" i="23"/>
  <c r="ID64" i="23"/>
  <c r="IE64" i="23"/>
  <c r="IF64" i="23"/>
  <c r="IG64" i="23"/>
  <c r="IH64" i="23"/>
  <c r="II64" i="23"/>
  <c r="IJ64" i="23"/>
  <c r="IK64" i="23"/>
  <c r="IL64" i="23"/>
  <c r="IM64" i="23"/>
  <c r="IN64" i="23"/>
  <c r="IO64" i="23"/>
  <c r="IP64" i="23"/>
  <c r="IQ64" i="23"/>
  <c r="IR64" i="23"/>
  <c r="IS64" i="23"/>
  <c r="IT64" i="23"/>
  <c r="IU64" i="23"/>
  <c r="IV64" i="23"/>
  <c r="A63" i="23"/>
  <c r="B63" i="23"/>
  <c r="C63" i="23"/>
  <c r="D63" i="23"/>
  <c r="E63" i="23"/>
  <c r="F63" i="23"/>
  <c r="G63" i="23"/>
  <c r="H63" i="23"/>
  <c r="I63" i="23"/>
  <c r="J63" i="23"/>
  <c r="K63" i="23"/>
  <c r="L63" i="23"/>
  <c r="M63" i="23"/>
  <c r="N63" i="23"/>
  <c r="O63" i="23"/>
  <c r="P63" i="23"/>
  <c r="Q63" i="23"/>
  <c r="R63" i="23"/>
  <c r="S63" i="23"/>
  <c r="T63" i="23"/>
  <c r="U63" i="23"/>
  <c r="V63" i="23"/>
  <c r="W63" i="23"/>
  <c r="X63" i="23"/>
  <c r="Y63" i="23"/>
  <c r="Z63" i="23"/>
  <c r="AA63" i="23"/>
  <c r="AB63" i="23"/>
  <c r="AC63" i="23"/>
  <c r="AD63" i="23"/>
  <c r="AE63" i="23"/>
  <c r="AF63" i="23"/>
  <c r="AG63" i="23"/>
  <c r="AH63" i="23"/>
  <c r="AI63" i="23"/>
  <c r="AJ63" i="23"/>
  <c r="AK63" i="23"/>
  <c r="AL63" i="23"/>
  <c r="AM63" i="23"/>
  <c r="AN63" i="23"/>
  <c r="AO63" i="23"/>
  <c r="AP63" i="23"/>
  <c r="AQ63" i="23"/>
  <c r="AR63" i="23"/>
  <c r="AS63" i="23"/>
  <c r="AT63" i="23"/>
  <c r="AU63" i="23"/>
  <c r="AV63" i="23"/>
  <c r="AW63" i="23"/>
  <c r="AX63" i="23"/>
  <c r="AY63" i="23"/>
  <c r="AZ63" i="23"/>
  <c r="BA63" i="23"/>
  <c r="BB63" i="23"/>
  <c r="BC63" i="23"/>
  <c r="BD63" i="23"/>
  <c r="BE63" i="23"/>
  <c r="BF63" i="23"/>
  <c r="BG63" i="23"/>
  <c r="BH63" i="23"/>
  <c r="BI63" i="23"/>
  <c r="BJ63" i="23"/>
  <c r="BK63" i="23"/>
  <c r="BL63" i="23"/>
  <c r="BM63" i="23"/>
  <c r="BN63" i="23"/>
  <c r="BO63" i="23"/>
  <c r="BP63" i="23"/>
  <c r="BQ63" i="23"/>
  <c r="BR63" i="23"/>
  <c r="BS63" i="23"/>
  <c r="BT63" i="23"/>
  <c r="BU63" i="23"/>
  <c r="BV63" i="23"/>
  <c r="BW63" i="23"/>
  <c r="BX63" i="23"/>
  <c r="BY63" i="23"/>
  <c r="BZ63" i="23"/>
  <c r="CA63" i="23"/>
  <c r="CB63" i="23"/>
  <c r="CC63" i="23"/>
  <c r="CD63" i="23"/>
  <c r="CE63" i="23"/>
  <c r="CF63" i="23"/>
  <c r="CG63" i="23"/>
  <c r="CH63" i="23"/>
  <c r="CI63" i="23"/>
  <c r="CJ63" i="23"/>
  <c r="CK63" i="23"/>
  <c r="CL63" i="23"/>
  <c r="CM63" i="23"/>
  <c r="CN63" i="23"/>
  <c r="CO63" i="23"/>
  <c r="CP63" i="23"/>
  <c r="CQ63" i="23"/>
  <c r="CR63" i="23"/>
  <c r="CS63" i="23"/>
  <c r="CT63" i="23"/>
  <c r="CU63" i="23"/>
  <c r="CV63" i="23"/>
  <c r="CW63" i="23"/>
  <c r="CX63" i="23"/>
  <c r="CY63" i="23"/>
  <c r="CZ63" i="23"/>
  <c r="DA63" i="23"/>
  <c r="DB63" i="23"/>
  <c r="DC63" i="23"/>
  <c r="DD63" i="23"/>
  <c r="DE63" i="23"/>
  <c r="DF63" i="23"/>
  <c r="DG63" i="23"/>
  <c r="DH63" i="23"/>
  <c r="DI63" i="23"/>
  <c r="DJ63" i="23"/>
  <c r="DK63" i="23"/>
  <c r="DL63" i="23"/>
  <c r="DM63" i="23"/>
  <c r="DN63" i="23"/>
  <c r="DO63" i="23"/>
  <c r="DP63" i="23"/>
  <c r="DQ63" i="23"/>
  <c r="DR63" i="23"/>
  <c r="DS63" i="23"/>
  <c r="DT63" i="23"/>
  <c r="DU63" i="23"/>
  <c r="DV63" i="23"/>
  <c r="DW63" i="23"/>
  <c r="DX63" i="23"/>
  <c r="DY63" i="23"/>
  <c r="DZ63" i="23"/>
  <c r="EA63" i="23"/>
  <c r="EB63" i="23"/>
  <c r="EC63" i="23"/>
  <c r="ED63" i="23"/>
  <c r="EE63" i="23"/>
  <c r="EF63" i="23"/>
  <c r="EG63" i="23"/>
  <c r="EH63" i="23"/>
  <c r="EI63" i="23"/>
  <c r="EJ63" i="23"/>
  <c r="EK63" i="23"/>
  <c r="EL63" i="23"/>
  <c r="EM63" i="23"/>
  <c r="EN63" i="23"/>
  <c r="EO63" i="23"/>
  <c r="EP63" i="23"/>
  <c r="EQ63" i="23"/>
  <c r="ER63" i="23"/>
  <c r="ES63" i="23"/>
  <c r="ET63" i="23"/>
  <c r="EU63" i="23"/>
  <c r="EV63" i="23"/>
  <c r="EW63" i="23"/>
  <c r="EX63" i="23"/>
  <c r="EY63" i="23"/>
  <c r="EZ63" i="23"/>
  <c r="FA63" i="23"/>
  <c r="FB63" i="23"/>
  <c r="FC63" i="23"/>
  <c r="FD63" i="23"/>
  <c r="FE63" i="23"/>
  <c r="FF63" i="23"/>
  <c r="FG63" i="23"/>
  <c r="FH63" i="23"/>
  <c r="FI63" i="23"/>
  <c r="FJ63" i="23"/>
  <c r="FK63" i="23"/>
  <c r="FL63" i="23"/>
  <c r="FM63" i="23"/>
  <c r="FN63" i="23"/>
  <c r="FO63" i="23"/>
  <c r="FP63" i="23"/>
  <c r="FQ63" i="23"/>
  <c r="FR63" i="23"/>
  <c r="FS63" i="23"/>
  <c r="FT63" i="23"/>
  <c r="FU63" i="23"/>
  <c r="FV63" i="23"/>
  <c r="FW63" i="23"/>
  <c r="FX63" i="23"/>
  <c r="FY63" i="23"/>
  <c r="FZ63" i="23"/>
  <c r="GA63" i="23"/>
  <c r="GB63" i="23"/>
  <c r="GC63" i="23"/>
  <c r="GD63" i="23"/>
  <c r="GE63" i="23"/>
  <c r="GF63" i="23"/>
  <c r="GG63" i="23"/>
  <c r="GH63" i="23"/>
  <c r="GI63" i="23"/>
  <c r="GJ63" i="23"/>
  <c r="GK63" i="23"/>
  <c r="GL63" i="23"/>
  <c r="GM63" i="23"/>
  <c r="GN63" i="23"/>
  <c r="GO63" i="23"/>
  <c r="GP63" i="23"/>
  <c r="GQ63" i="23"/>
  <c r="GR63" i="23"/>
  <c r="GS63" i="23"/>
  <c r="GT63" i="23"/>
  <c r="GU63" i="23"/>
  <c r="GV63" i="23"/>
  <c r="GW63" i="23"/>
  <c r="GX63" i="23"/>
  <c r="GY63" i="23"/>
  <c r="GZ63" i="23"/>
  <c r="HA63" i="23"/>
  <c r="HB63" i="23"/>
  <c r="HC63" i="23"/>
  <c r="HD63" i="23"/>
  <c r="HE63" i="23"/>
  <c r="HF63" i="23"/>
  <c r="HG63" i="23"/>
  <c r="HH63" i="23"/>
  <c r="HI63" i="23"/>
  <c r="HJ63" i="23"/>
  <c r="HK63" i="23"/>
  <c r="HL63" i="23"/>
  <c r="HM63" i="23"/>
  <c r="HN63" i="23"/>
  <c r="HO63" i="23"/>
  <c r="HP63" i="23"/>
  <c r="HQ63" i="23"/>
  <c r="HR63" i="23"/>
  <c r="HS63" i="23"/>
  <c r="HT63" i="23"/>
  <c r="HU63" i="23"/>
  <c r="HV63" i="23"/>
  <c r="HW63" i="23"/>
  <c r="HX63" i="23"/>
  <c r="HY63" i="23"/>
  <c r="HZ63" i="23"/>
  <c r="IA63" i="23"/>
  <c r="IB63" i="23"/>
  <c r="IC63" i="23"/>
  <c r="ID63" i="23"/>
  <c r="IE63" i="23"/>
  <c r="IF63" i="23"/>
  <c r="IG63" i="23"/>
  <c r="IH63" i="23"/>
  <c r="II63" i="23"/>
  <c r="IJ63" i="23"/>
  <c r="IK63" i="23"/>
  <c r="IL63" i="23"/>
  <c r="IM63" i="23"/>
  <c r="IN63" i="23"/>
  <c r="IO63" i="23"/>
  <c r="IP63" i="23"/>
  <c r="IQ63" i="23"/>
  <c r="IR63" i="23"/>
  <c r="IS63" i="23"/>
  <c r="IT63" i="23"/>
  <c r="IU63" i="23"/>
  <c r="IV63" i="23"/>
  <c r="A62" i="23"/>
  <c r="B62" i="23"/>
  <c r="C62" i="23"/>
  <c r="D62" i="23"/>
  <c r="E62" i="23"/>
  <c r="F62" i="23"/>
  <c r="G62" i="23"/>
  <c r="H62" i="23"/>
  <c r="I62" i="23"/>
  <c r="J62" i="23"/>
  <c r="K62" i="23"/>
  <c r="L62" i="23"/>
  <c r="M62" i="23"/>
  <c r="N62" i="23"/>
  <c r="O62" i="23"/>
  <c r="P62" i="23"/>
  <c r="Q62" i="23"/>
  <c r="R62" i="23"/>
  <c r="S62" i="23"/>
  <c r="T62" i="23"/>
  <c r="U62" i="23"/>
  <c r="V62" i="23"/>
  <c r="W62" i="23"/>
  <c r="X62" i="23"/>
  <c r="Y62" i="23"/>
  <c r="Z62" i="23"/>
  <c r="AA62" i="23"/>
  <c r="AB62" i="23"/>
  <c r="AC62" i="23"/>
  <c r="AD62" i="23"/>
  <c r="AE62" i="23"/>
  <c r="AF62" i="23"/>
  <c r="AG62" i="23"/>
  <c r="AH62" i="23"/>
  <c r="AI62" i="23"/>
  <c r="AJ62" i="23"/>
  <c r="AK62" i="23"/>
  <c r="AL62" i="23"/>
  <c r="AM62" i="23"/>
  <c r="AN62" i="23"/>
  <c r="AO62" i="23"/>
  <c r="AP62" i="23"/>
  <c r="AQ62" i="23"/>
  <c r="AR62" i="23"/>
  <c r="AS62" i="23"/>
  <c r="AT62" i="23"/>
  <c r="AU62" i="23"/>
  <c r="AV62" i="23"/>
  <c r="AW62" i="23"/>
  <c r="AX62" i="23"/>
  <c r="AY62" i="23"/>
  <c r="AZ62" i="23"/>
  <c r="BA62" i="23"/>
  <c r="BB62" i="23"/>
  <c r="BC62" i="23"/>
  <c r="BD62" i="23"/>
  <c r="BE62" i="23"/>
  <c r="BF62" i="23"/>
  <c r="BG62" i="23"/>
  <c r="BH62" i="23"/>
  <c r="BI62" i="23"/>
  <c r="BJ62" i="23"/>
  <c r="BK62" i="23"/>
  <c r="BL62" i="23"/>
  <c r="BM62" i="23"/>
  <c r="BN62" i="23"/>
  <c r="BO62" i="23"/>
  <c r="BP62" i="23"/>
  <c r="BQ62" i="23"/>
  <c r="BR62" i="23"/>
  <c r="BS62" i="23"/>
  <c r="BT62" i="23"/>
  <c r="BU62" i="23"/>
  <c r="BV62" i="23"/>
  <c r="BW62" i="23"/>
  <c r="BX62" i="23"/>
  <c r="BY62" i="23"/>
  <c r="BZ62" i="23"/>
  <c r="CA62" i="23"/>
  <c r="CB62" i="23"/>
  <c r="CC62" i="23"/>
  <c r="CD62" i="23"/>
  <c r="CE62" i="23"/>
  <c r="CF62" i="23"/>
  <c r="CG62" i="23"/>
  <c r="CH62" i="23"/>
  <c r="CI62" i="23"/>
  <c r="CJ62" i="23"/>
  <c r="CK62" i="23"/>
  <c r="CL62" i="23"/>
  <c r="CM62" i="23"/>
  <c r="CN62" i="23"/>
  <c r="CO62" i="23"/>
  <c r="CP62" i="23"/>
  <c r="CQ62" i="23"/>
  <c r="CR62" i="23"/>
  <c r="CS62" i="23"/>
  <c r="CT62" i="23"/>
  <c r="CU62" i="23"/>
  <c r="CV62" i="23"/>
  <c r="CW62" i="23"/>
  <c r="CX62" i="23"/>
  <c r="CY62" i="23"/>
  <c r="CZ62" i="23"/>
  <c r="DA62" i="23"/>
  <c r="DB62" i="23"/>
  <c r="DC62" i="23"/>
  <c r="DD62" i="23"/>
  <c r="DE62" i="23"/>
  <c r="DF62" i="23"/>
  <c r="DG62" i="23"/>
  <c r="DH62" i="23"/>
  <c r="DI62" i="23"/>
  <c r="DJ62" i="23"/>
  <c r="DK62" i="23"/>
  <c r="DL62" i="23"/>
  <c r="DM62" i="23"/>
  <c r="DN62" i="23"/>
  <c r="DO62" i="23"/>
  <c r="DP62" i="23"/>
  <c r="DQ62" i="23"/>
  <c r="DR62" i="23"/>
  <c r="DS62" i="23"/>
  <c r="DT62" i="23"/>
  <c r="DU62" i="23"/>
  <c r="DV62" i="23"/>
  <c r="DW62" i="23"/>
  <c r="DX62" i="23"/>
  <c r="DY62" i="23"/>
  <c r="DZ62" i="23"/>
  <c r="EA62" i="23"/>
  <c r="EB62" i="23"/>
  <c r="EC62" i="23"/>
  <c r="ED62" i="23"/>
  <c r="EE62" i="23"/>
  <c r="EF62" i="23"/>
  <c r="EG62" i="23"/>
  <c r="EH62" i="23"/>
  <c r="EI62" i="23"/>
  <c r="EJ62" i="23"/>
  <c r="EK62" i="23"/>
  <c r="EL62" i="23"/>
  <c r="EM62" i="23"/>
  <c r="EN62" i="23"/>
  <c r="EO62" i="23"/>
  <c r="EP62" i="23"/>
  <c r="EQ62" i="23"/>
  <c r="ER62" i="23"/>
  <c r="ES62" i="23"/>
  <c r="ET62" i="23"/>
  <c r="EU62" i="23"/>
  <c r="EV62" i="23"/>
  <c r="EW62" i="23"/>
  <c r="EX62" i="23"/>
  <c r="EY62" i="23"/>
  <c r="EZ62" i="23"/>
  <c r="FA62" i="23"/>
  <c r="FB62" i="23"/>
  <c r="FC62" i="23"/>
  <c r="FD62" i="23"/>
  <c r="FE62" i="23"/>
  <c r="FF62" i="23"/>
  <c r="FG62" i="23"/>
  <c r="FH62" i="23"/>
  <c r="FI62" i="23"/>
  <c r="FJ62" i="23"/>
  <c r="FK62" i="23"/>
  <c r="FL62" i="23"/>
  <c r="FM62" i="23"/>
  <c r="FN62" i="23"/>
  <c r="FO62" i="23"/>
  <c r="FP62" i="23"/>
  <c r="FQ62" i="23"/>
  <c r="FR62" i="23"/>
  <c r="FS62" i="23"/>
  <c r="FT62" i="23"/>
  <c r="FU62" i="23"/>
  <c r="FV62" i="23"/>
  <c r="FW62" i="23"/>
  <c r="FX62" i="23"/>
  <c r="FY62" i="23"/>
  <c r="FZ62" i="23"/>
  <c r="GA62" i="23"/>
  <c r="GB62" i="23"/>
  <c r="GC62" i="23"/>
  <c r="GD62" i="23"/>
  <c r="GE62" i="23"/>
  <c r="GF62" i="23"/>
  <c r="GG62" i="23"/>
  <c r="GH62" i="23"/>
  <c r="GI62" i="23"/>
  <c r="GJ62" i="23"/>
  <c r="GK62" i="23"/>
  <c r="GL62" i="23"/>
  <c r="GM62" i="23"/>
  <c r="GN62" i="23"/>
  <c r="GO62" i="23"/>
  <c r="GP62" i="23"/>
  <c r="GQ62" i="23"/>
  <c r="GR62" i="23"/>
  <c r="GS62" i="23"/>
  <c r="GT62" i="23"/>
  <c r="GU62" i="23"/>
  <c r="GV62" i="23"/>
  <c r="GW62" i="23"/>
  <c r="GX62" i="23"/>
  <c r="GY62" i="23"/>
  <c r="GZ62" i="23"/>
  <c r="HA62" i="23"/>
  <c r="HB62" i="23"/>
  <c r="HC62" i="23"/>
  <c r="HD62" i="23"/>
  <c r="HE62" i="23"/>
  <c r="HF62" i="23"/>
  <c r="HG62" i="23"/>
  <c r="HH62" i="23"/>
  <c r="HI62" i="23"/>
  <c r="HJ62" i="23"/>
  <c r="HK62" i="23"/>
  <c r="HL62" i="23"/>
  <c r="HM62" i="23"/>
  <c r="HN62" i="23"/>
  <c r="HO62" i="23"/>
  <c r="HP62" i="23"/>
  <c r="HQ62" i="23"/>
  <c r="HR62" i="23"/>
  <c r="HS62" i="23"/>
  <c r="HT62" i="23"/>
  <c r="HU62" i="23"/>
  <c r="HV62" i="23"/>
  <c r="HW62" i="23"/>
  <c r="HX62" i="23"/>
  <c r="HY62" i="23"/>
  <c r="HZ62" i="23"/>
  <c r="IA62" i="23"/>
  <c r="IB62" i="23"/>
  <c r="IC62" i="23"/>
  <c r="ID62" i="23"/>
  <c r="IE62" i="23"/>
  <c r="IF62" i="23"/>
  <c r="IG62" i="23"/>
  <c r="IH62" i="23"/>
  <c r="II62" i="23"/>
  <c r="IJ62" i="23"/>
  <c r="IK62" i="23"/>
  <c r="IL62" i="23"/>
  <c r="IM62" i="23"/>
  <c r="IN62" i="23"/>
  <c r="IO62" i="23"/>
  <c r="IP62" i="23"/>
  <c r="IQ62" i="23"/>
  <c r="IR62" i="23"/>
  <c r="IS62" i="23"/>
  <c r="IT62" i="23"/>
  <c r="IU62" i="23"/>
  <c r="IV62" i="23"/>
  <c r="A61" i="23"/>
  <c r="B61" i="23"/>
  <c r="C61" i="23"/>
  <c r="D61" i="23"/>
  <c r="E61" i="23"/>
  <c r="F61" i="23"/>
  <c r="G61" i="23"/>
  <c r="H61" i="23"/>
  <c r="I61" i="23"/>
  <c r="J61" i="23"/>
  <c r="K61" i="23"/>
  <c r="L61" i="23"/>
  <c r="M61" i="23"/>
  <c r="N61" i="23"/>
  <c r="O61" i="23"/>
  <c r="P61" i="23"/>
  <c r="Q61" i="23"/>
  <c r="R61" i="23"/>
  <c r="S61" i="23"/>
  <c r="T61" i="23"/>
  <c r="U61" i="23"/>
  <c r="V61" i="23"/>
  <c r="W61" i="23"/>
  <c r="X61" i="23"/>
  <c r="Y61" i="23"/>
  <c r="Z61" i="23"/>
  <c r="AA61" i="23"/>
  <c r="AB61" i="23"/>
  <c r="AC61" i="23"/>
  <c r="AD61" i="23"/>
  <c r="AE61" i="23"/>
  <c r="AF61" i="23"/>
  <c r="AG61" i="23"/>
  <c r="AH61" i="23"/>
  <c r="AI61" i="23"/>
  <c r="AJ61" i="23"/>
  <c r="AK61" i="23"/>
  <c r="AL61" i="23"/>
  <c r="AM61" i="23"/>
  <c r="AN61" i="23"/>
  <c r="AO61" i="23"/>
  <c r="AP61" i="23"/>
  <c r="AQ61" i="23"/>
  <c r="AR61" i="23"/>
  <c r="AS61" i="23"/>
  <c r="AT61" i="23"/>
  <c r="AU61" i="23"/>
  <c r="AV61" i="23"/>
  <c r="AW61" i="23"/>
  <c r="AX61" i="23"/>
  <c r="AY61" i="23"/>
  <c r="AZ61" i="23"/>
  <c r="BA61" i="23"/>
  <c r="BB61" i="23"/>
  <c r="BC61" i="23"/>
  <c r="BD61" i="23"/>
  <c r="BE61" i="23"/>
  <c r="BF61" i="23"/>
  <c r="BG61" i="23"/>
  <c r="BH61" i="23"/>
  <c r="BI61" i="23"/>
  <c r="BJ61" i="23"/>
  <c r="BK61" i="23"/>
  <c r="BL61" i="23"/>
  <c r="BM61" i="23"/>
  <c r="BN61" i="23"/>
  <c r="BO61" i="23"/>
  <c r="BP61" i="23"/>
  <c r="BQ61" i="23"/>
  <c r="BR61" i="23"/>
  <c r="BS61" i="23"/>
  <c r="BT61" i="23"/>
  <c r="BU61" i="23"/>
  <c r="BV61" i="23"/>
  <c r="BW61" i="23"/>
  <c r="BX61" i="23"/>
  <c r="BY61" i="23"/>
  <c r="BZ61" i="23"/>
  <c r="CA61" i="23"/>
  <c r="CB61" i="23"/>
  <c r="CC61" i="23"/>
  <c r="CD61" i="23"/>
  <c r="CE61" i="23"/>
  <c r="CF61" i="23"/>
  <c r="CG61" i="23"/>
  <c r="CH61" i="23"/>
  <c r="CI61" i="23"/>
  <c r="CJ61" i="23"/>
  <c r="CK61" i="23"/>
  <c r="CL61" i="23"/>
  <c r="CM61" i="23"/>
  <c r="CN61" i="23"/>
  <c r="CO61" i="23"/>
  <c r="CP61" i="23"/>
  <c r="CQ61" i="23"/>
  <c r="CR61" i="23"/>
  <c r="CS61" i="23"/>
  <c r="CT61" i="23"/>
  <c r="CU61" i="23"/>
  <c r="CV61" i="23"/>
  <c r="CW61" i="23"/>
  <c r="CX61" i="23"/>
  <c r="CY61" i="23"/>
  <c r="CZ61" i="23"/>
  <c r="DA61" i="23"/>
  <c r="DB61" i="23"/>
  <c r="DC61" i="23"/>
  <c r="DD61" i="23"/>
  <c r="DE61" i="23"/>
  <c r="DF61" i="23"/>
  <c r="DG61" i="23"/>
  <c r="DH61" i="23"/>
  <c r="DI61" i="23"/>
  <c r="DJ61" i="23"/>
  <c r="DK61" i="23"/>
  <c r="DL61" i="23"/>
  <c r="DM61" i="23"/>
  <c r="DN61" i="23"/>
  <c r="DO61" i="23"/>
  <c r="DP61" i="23"/>
  <c r="DQ61" i="23"/>
  <c r="DR61" i="23"/>
  <c r="DS61" i="23"/>
  <c r="DT61" i="23"/>
  <c r="DU61" i="23"/>
  <c r="DV61" i="23"/>
  <c r="DW61" i="23"/>
  <c r="DX61" i="23"/>
  <c r="DY61" i="23"/>
  <c r="DZ61" i="23"/>
  <c r="EA61" i="23"/>
  <c r="EB61" i="23"/>
  <c r="EC61" i="23"/>
  <c r="ED61" i="23"/>
  <c r="EE61" i="23"/>
  <c r="EF61" i="23"/>
  <c r="EG61" i="23"/>
  <c r="EH61" i="23"/>
  <c r="EI61" i="23"/>
  <c r="EJ61" i="23"/>
  <c r="EK61" i="23"/>
  <c r="EL61" i="23"/>
  <c r="EM61" i="23"/>
  <c r="EN61" i="23"/>
  <c r="EO61" i="23"/>
  <c r="EP61" i="23"/>
  <c r="EQ61" i="23"/>
  <c r="ER61" i="23"/>
  <c r="ES61" i="23"/>
  <c r="ET61" i="23"/>
  <c r="EU61" i="23"/>
  <c r="EV61" i="23"/>
  <c r="EW61" i="23"/>
  <c r="EX61" i="23"/>
  <c r="EY61" i="23"/>
  <c r="EZ61" i="23"/>
  <c r="FA61" i="23"/>
  <c r="FB61" i="23"/>
  <c r="FC61" i="23"/>
  <c r="FD61" i="23"/>
  <c r="FE61" i="23"/>
  <c r="FF61" i="23"/>
  <c r="FG61" i="23"/>
  <c r="FH61" i="23"/>
  <c r="FI61" i="23"/>
  <c r="FJ61" i="23"/>
  <c r="FK61" i="23"/>
  <c r="FL61" i="23"/>
  <c r="FM61" i="23"/>
  <c r="FN61" i="23"/>
  <c r="FO61" i="23"/>
  <c r="FP61" i="23"/>
  <c r="FQ61" i="23"/>
  <c r="FR61" i="23"/>
  <c r="FS61" i="23"/>
  <c r="FT61" i="23"/>
  <c r="FU61" i="23"/>
  <c r="FV61" i="23"/>
  <c r="FW61" i="23"/>
  <c r="FX61" i="23"/>
  <c r="FY61" i="23"/>
  <c r="FZ61" i="23"/>
  <c r="GA61" i="23"/>
  <c r="GB61" i="23"/>
  <c r="GC61" i="23"/>
  <c r="GD61" i="23"/>
  <c r="GE61" i="23"/>
  <c r="GF61" i="23"/>
  <c r="GG61" i="23"/>
  <c r="GH61" i="23"/>
  <c r="GI61" i="23"/>
  <c r="GJ61" i="23"/>
  <c r="GK61" i="23"/>
  <c r="GL61" i="23"/>
  <c r="GM61" i="23"/>
  <c r="GN61" i="23"/>
  <c r="GO61" i="23"/>
  <c r="GP61" i="23"/>
  <c r="GQ61" i="23"/>
  <c r="GR61" i="23"/>
  <c r="GS61" i="23"/>
  <c r="GT61" i="23"/>
  <c r="GU61" i="23"/>
  <c r="GV61" i="23"/>
  <c r="GW61" i="23"/>
  <c r="GX61" i="23"/>
  <c r="GY61" i="23"/>
  <c r="GZ61" i="23"/>
  <c r="HA61" i="23"/>
  <c r="HB61" i="23"/>
  <c r="HC61" i="23"/>
  <c r="HD61" i="23"/>
  <c r="HE61" i="23"/>
  <c r="HF61" i="23"/>
  <c r="HG61" i="23"/>
  <c r="HH61" i="23"/>
  <c r="HI61" i="23"/>
  <c r="HJ61" i="23"/>
  <c r="HK61" i="23"/>
  <c r="HL61" i="23"/>
  <c r="HM61" i="23"/>
  <c r="HN61" i="23"/>
  <c r="HO61" i="23"/>
  <c r="HP61" i="23"/>
  <c r="HQ61" i="23"/>
  <c r="HR61" i="23"/>
  <c r="HS61" i="23"/>
  <c r="HT61" i="23"/>
  <c r="HU61" i="23"/>
  <c r="HV61" i="23"/>
  <c r="HW61" i="23"/>
  <c r="HX61" i="23"/>
  <c r="HY61" i="23"/>
  <c r="HZ61" i="23"/>
  <c r="IA61" i="23"/>
  <c r="IB61" i="23"/>
  <c r="IC61" i="23"/>
  <c r="ID61" i="23"/>
  <c r="IE61" i="23"/>
  <c r="IF61" i="23"/>
  <c r="IG61" i="23"/>
  <c r="IH61" i="23"/>
  <c r="II61" i="23"/>
  <c r="IJ61" i="23"/>
  <c r="IK61" i="23"/>
  <c r="IL61" i="23"/>
  <c r="IM61" i="23"/>
  <c r="IN61" i="23"/>
  <c r="IO61" i="23"/>
  <c r="IP61" i="23"/>
  <c r="IQ61" i="23"/>
  <c r="IR61" i="23"/>
  <c r="IS61" i="23"/>
  <c r="IT61" i="23"/>
  <c r="IU61" i="23"/>
  <c r="IV61" i="23"/>
  <c r="A60" i="23"/>
  <c r="B60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AE60" i="23"/>
  <c r="AF60" i="23"/>
  <c r="AG60" i="23"/>
  <c r="AH60" i="23"/>
  <c r="AI60" i="23"/>
  <c r="AJ60" i="23"/>
  <c r="AK60" i="23"/>
  <c r="AL60" i="23"/>
  <c r="AM60" i="23"/>
  <c r="AN60" i="23"/>
  <c r="AO60" i="23"/>
  <c r="AP60" i="23"/>
  <c r="AQ60" i="23"/>
  <c r="AR60" i="23"/>
  <c r="AS60" i="23"/>
  <c r="AT60" i="23"/>
  <c r="AU60" i="23"/>
  <c r="AV60" i="23"/>
  <c r="AW60" i="23"/>
  <c r="AX60" i="23"/>
  <c r="AY60" i="23"/>
  <c r="AZ60" i="23"/>
  <c r="BA60" i="23"/>
  <c r="BB60" i="23"/>
  <c r="BC60" i="23"/>
  <c r="BD60" i="23"/>
  <c r="BE60" i="23"/>
  <c r="BF60" i="23"/>
  <c r="BG60" i="23"/>
  <c r="BH60" i="23"/>
  <c r="BI60" i="23"/>
  <c r="BJ60" i="23"/>
  <c r="BK60" i="23"/>
  <c r="BL60" i="23"/>
  <c r="BM60" i="23"/>
  <c r="BN60" i="23"/>
  <c r="BO60" i="23"/>
  <c r="BP60" i="23"/>
  <c r="BQ60" i="23"/>
  <c r="BR60" i="23"/>
  <c r="BS60" i="23"/>
  <c r="BT60" i="23"/>
  <c r="BU60" i="23"/>
  <c r="BV60" i="23"/>
  <c r="BW60" i="23"/>
  <c r="BX60" i="23"/>
  <c r="BY60" i="23"/>
  <c r="BZ60" i="23"/>
  <c r="CA60" i="23"/>
  <c r="CB60" i="23"/>
  <c r="CC60" i="23"/>
  <c r="CD60" i="23"/>
  <c r="CE60" i="23"/>
  <c r="CF60" i="23"/>
  <c r="CG60" i="23"/>
  <c r="CH60" i="23"/>
  <c r="CI60" i="23"/>
  <c r="CJ60" i="23"/>
  <c r="CK60" i="23"/>
  <c r="CL60" i="23"/>
  <c r="CM60" i="23"/>
  <c r="CN60" i="23"/>
  <c r="CO60" i="23"/>
  <c r="CP60" i="23"/>
  <c r="CQ60" i="23"/>
  <c r="CR60" i="23"/>
  <c r="CS60" i="23"/>
  <c r="CT60" i="23"/>
  <c r="CU60" i="23"/>
  <c r="CV60" i="23"/>
  <c r="CW60" i="23"/>
  <c r="CX60" i="23"/>
  <c r="CY60" i="23"/>
  <c r="CZ60" i="23"/>
  <c r="DA60" i="23"/>
  <c r="DB60" i="23"/>
  <c r="DC60" i="23"/>
  <c r="DD60" i="23"/>
  <c r="DE60" i="23"/>
  <c r="DF60" i="23"/>
  <c r="DG60" i="23"/>
  <c r="DH60" i="23"/>
  <c r="DI60" i="23"/>
  <c r="DJ60" i="23"/>
  <c r="DK60" i="23"/>
  <c r="DL60" i="23"/>
  <c r="DM60" i="23"/>
  <c r="DN60" i="23"/>
  <c r="DO60" i="23"/>
  <c r="DP60" i="23"/>
  <c r="DQ60" i="23"/>
  <c r="DR60" i="23"/>
  <c r="DS60" i="23"/>
  <c r="DT60" i="23"/>
  <c r="DU60" i="23"/>
  <c r="DV60" i="23"/>
  <c r="DW60" i="23"/>
  <c r="DX60" i="23"/>
  <c r="DY60" i="23"/>
  <c r="DZ60" i="23"/>
  <c r="EA60" i="23"/>
  <c r="EB60" i="23"/>
  <c r="EC60" i="23"/>
  <c r="ED60" i="23"/>
  <c r="EE60" i="23"/>
  <c r="EF60" i="23"/>
  <c r="EG60" i="23"/>
  <c r="EH60" i="23"/>
  <c r="EI60" i="23"/>
  <c r="EJ60" i="23"/>
  <c r="EK60" i="23"/>
  <c r="EL60" i="23"/>
  <c r="EM60" i="23"/>
  <c r="EN60" i="23"/>
  <c r="EO60" i="23"/>
  <c r="EP60" i="23"/>
  <c r="EQ60" i="23"/>
  <c r="ER60" i="23"/>
  <c r="ES60" i="23"/>
  <c r="ET60" i="23"/>
  <c r="EU60" i="23"/>
  <c r="EV60" i="23"/>
  <c r="EW60" i="23"/>
  <c r="EX60" i="23"/>
  <c r="EY60" i="23"/>
  <c r="EZ60" i="23"/>
  <c r="FA60" i="23"/>
  <c r="FB60" i="23"/>
  <c r="FC60" i="23"/>
  <c r="FD60" i="23"/>
  <c r="FE60" i="23"/>
  <c r="FF60" i="23"/>
  <c r="FG60" i="23"/>
  <c r="FH60" i="23"/>
  <c r="FI60" i="23"/>
  <c r="FJ60" i="23"/>
  <c r="FK60" i="23"/>
  <c r="FL60" i="23"/>
  <c r="FM60" i="23"/>
  <c r="FN60" i="23"/>
  <c r="FO60" i="23"/>
  <c r="FP60" i="23"/>
  <c r="FQ60" i="23"/>
  <c r="FR60" i="23"/>
  <c r="FS60" i="23"/>
  <c r="FT60" i="23"/>
  <c r="FU60" i="23"/>
  <c r="FV60" i="23"/>
  <c r="FW60" i="23"/>
  <c r="FX60" i="23"/>
  <c r="FY60" i="23"/>
  <c r="FZ60" i="23"/>
  <c r="GA60" i="23"/>
  <c r="GB60" i="23"/>
  <c r="GC60" i="23"/>
  <c r="GD60" i="23"/>
  <c r="GE60" i="23"/>
  <c r="GF60" i="23"/>
  <c r="GG60" i="23"/>
  <c r="GH60" i="23"/>
  <c r="GI60" i="23"/>
  <c r="GJ60" i="23"/>
  <c r="GK60" i="23"/>
  <c r="GL60" i="23"/>
  <c r="GM60" i="23"/>
  <c r="GN60" i="23"/>
  <c r="GO60" i="23"/>
  <c r="GP60" i="23"/>
  <c r="GQ60" i="23"/>
  <c r="GR60" i="23"/>
  <c r="GS60" i="23"/>
  <c r="GT60" i="23"/>
  <c r="GU60" i="23"/>
  <c r="GV60" i="23"/>
  <c r="GW60" i="23"/>
  <c r="GX60" i="23"/>
  <c r="GY60" i="23"/>
  <c r="GZ60" i="23"/>
  <c r="HA60" i="23"/>
  <c r="HB60" i="23"/>
  <c r="HC60" i="23"/>
  <c r="HD60" i="23"/>
  <c r="HE60" i="23"/>
  <c r="HF60" i="23"/>
  <c r="HG60" i="23"/>
  <c r="HH60" i="23"/>
  <c r="HI60" i="23"/>
  <c r="HJ60" i="23"/>
  <c r="HK60" i="23"/>
  <c r="HL60" i="23"/>
  <c r="HM60" i="23"/>
  <c r="HN60" i="23"/>
  <c r="HO60" i="23"/>
  <c r="HP60" i="23"/>
  <c r="HQ60" i="23"/>
  <c r="HR60" i="23"/>
  <c r="HS60" i="23"/>
  <c r="HT60" i="23"/>
  <c r="HU60" i="23"/>
  <c r="HV60" i="23"/>
  <c r="HW60" i="23"/>
  <c r="HX60" i="23"/>
  <c r="HY60" i="23"/>
  <c r="HZ60" i="23"/>
  <c r="IA60" i="23"/>
  <c r="IB60" i="23"/>
  <c r="IC60" i="23"/>
  <c r="ID60" i="23"/>
  <c r="IE60" i="23"/>
  <c r="IF60" i="23"/>
  <c r="IG60" i="23"/>
  <c r="IH60" i="23"/>
  <c r="II60" i="23"/>
  <c r="IJ60" i="23"/>
  <c r="IK60" i="23"/>
  <c r="IL60" i="23"/>
  <c r="IM60" i="23"/>
  <c r="IN60" i="23"/>
  <c r="IO60" i="23"/>
  <c r="IP60" i="23"/>
  <c r="IQ60" i="23"/>
  <c r="IR60" i="23"/>
  <c r="IS60" i="23"/>
  <c r="IT60" i="23"/>
  <c r="IU60" i="23"/>
  <c r="IV60" i="23"/>
  <c r="A59" i="23"/>
  <c r="B59" i="23"/>
  <c r="C59" i="23"/>
  <c r="D59" i="23"/>
  <c r="E59" i="23"/>
  <c r="F59" i="23"/>
  <c r="G59" i="23"/>
  <c r="H59" i="23"/>
  <c r="I59" i="23"/>
  <c r="J59" i="23"/>
  <c r="K59" i="23"/>
  <c r="L59" i="23"/>
  <c r="M59" i="23"/>
  <c r="N59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AE59" i="23"/>
  <c r="AF59" i="23"/>
  <c r="AG59" i="23"/>
  <c r="AH59" i="23"/>
  <c r="AI59" i="23"/>
  <c r="AJ59" i="23"/>
  <c r="AK59" i="23"/>
  <c r="AL59" i="23"/>
  <c r="AM59" i="23"/>
  <c r="AN59" i="23"/>
  <c r="AO59" i="23"/>
  <c r="AP59" i="23"/>
  <c r="AQ59" i="23"/>
  <c r="AR59" i="23"/>
  <c r="AS59" i="23"/>
  <c r="AT59" i="23"/>
  <c r="AU59" i="23"/>
  <c r="AV59" i="23"/>
  <c r="AW59" i="23"/>
  <c r="AX59" i="23"/>
  <c r="AY59" i="23"/>
  <c r="AZ59" i="23"/>
  <c r="BA59" i="23"/>
  <c r="BB59" i="23"/>
  <c r="BC59" i="23"/>
  <c r="BD59" i="23"/>
  <c r="BE59" i="23"/>
  <c r="BF59" i="23"/>
  <c r="BG59" i="23"/>
  <c r="BH59" i="23"/>
  <c r="BI59" i="23"/>
  <c r="BJ59" i="23"/>
  <c r="BK59" i="23"/>
  <c r="BL59" i="23"/>
  <c r="BM59" i="23"/>
  <c r="BN59" i="23"/>
  <c r="BO59" i="23"/>
  <c r="BP59" i="23"/>
  <c r="BQ59" i="23"/>
  <c r="BR59" i="23"/>
  <c r="BS59" i="23"/>
  <c r="BT59" i="23"/>
  <c r="BU59" i="23"/>
  <c r="BV59" i="23"/>
  <c r="BW59" i="23"/>
  <c r="BX59" i="23"/>
  <c r="BY59" i="23"/>
  <c r="BZ59" i="23"/>
  <c r="CA59" i="23"/>
  <c r="CB59" i="23"/>
  <c r="CC59" i="23"/>
  <c r="CD59" i="23"/>
  <c r="CE59" i="23"/>
  <c r="CF59" i="23"/>
  <c r="CG59" i="23"/>
  <c r="CH59" i="23"/>
  <c r="CI59" i="23"/>
  <c r="CJ59" i="23"/>
  <c r="CK59" i="23"/>
  <c r="CL59" i="23"/>
  <c r="CM59" i="23"/>
  <c r="CN59" i="23"/>
  <c r="CO59" i="23"/>
  <c r="CP59" i="23"/>
  <c r="CQ59" i="23"/>
  <c r="CR59" i="23"/>
  <c r="CS59" i="23"/>
  <c r="CT59" i="23"/>
  <c r="CU59" i="23"/>
  <c r="CV59" i="23"/>
  <c r="CW59" i="23"/>
  <c r="CX59" i="23"/>
  <c r="CY59" i="23"/>
  <c r="CZ59" i="23"/>
  <c r="DA59" i="23"/>
  <c r="DB59" i="23"/>
  <c r="DC59" i="23"/>
  <c r="DD59" i="23"/>
  <c r="DE59" i="23"/>
  <c r="DF59" i="23"/>
  <c r="DG59" i="23"/>
  <c r="DH59" i="23"/>
  <c r="DI59" i="23"/>
  <c r="DJ59" i="23"/>
  <c r="DK59" i="23"/>
  <c r="DL59" i="23"/>
  <c r="DM59" i="23"/>
  <c r="DN59" i="23"/>
  <c r="DO59" i="23"/>
  <c r="DP59" i="23"/>
  <c r="DQ59" i="23"/>
  <c r="DR59" i="23"/>
  <c r="DS59" i="23"/>
  <c r="DT59" i="23"/>
  <c r="DU59" i="23"/>
  <c r="DV59" i="23"/>
  <c r="DW59" i="23"/>
  <c r="DX59" i="23"/>
  <c r="DY59" i="23"/>
  <c r="DZ59" i="23"/>
  <c r="EA59" i="23"/>
  <c r="EB59" i="23"/>
  <c r="EC59" i="23"/>
  <c r="ED59" i="23"/>
  <c r="EE59" i="23"/>
  <c r="EF59" i="23"/>
  <c r="EG59" i="23"/>
  <c r="EH59" i="23"/>
  <c r="EI59" i="23"/>
  <c r="EJ59" i="23"/>
  <c r="EK59" i="23"/>
  <c r="EL59" i="23"/>
  <c r="EM59" i="23"/>
  <c r="EN59" i="23"/>
  <c r="EO59" i="23"/>
  <c r="EP59" i="23"/>
  <c r="EQ59" i="23"/>
  <c r="ER59" i="23"/>
  <c r="ES59" i="23"/>
  <c r="ET59" i="23"/>
  <c r="EU59" i="23"/>
  <c r="EV59" i="23"/>
  <c r="EW59" i="23"/>
  <c r="EX59" i="23"/>
  <c r="EY59" i="23"/>
  <c r="EZ59" i="23"/>
  <c r="FA59" i="23"/>
  <c r="FB59" i="23"/>
  <c r="FC59" i="23"/>
  <c r="FD59" i="23"/>
  <c r="FE59" i="23"/>
  <c r="FF59" i="23"/>
  <c r="FG59" i="23"/>
  <c r="FH59" i="23"/>
  <c r="FI59" i="23"/>
  <c r="FJ59" i="23"/>
  <c r="FK59" i="23"/>
  <c r="FL59" i="23"/>
  <c r="FM59" i="23"/>
  <c r="FN59" i="23"/>
  <c r="FO59" i="23"/>
  <c r="FP59" i="23"/>
  <c r="FQ59" i="23"/>
  <c r="FR59" i="23"/>
  <c r="FS59" i="23"/>
  <c r="FT59" i="23"/>
  <c r="FU59" i="23"/>
  <c r="FV59" i="23"/>
  <c r="FW59" i="23"/>
  <c r="FX59" i="23"/>
  <c r="FY59" i="23"/>
  <c r="FZ59" i="23"/>
  <c r="GA59" i="23"/>
  <c r="GB59" i="23"/>
  <c r="GC59" i="23"/>
  <c r="GD59" i="23"/>
  <c r="GE59" i="23"/>
  <c r="GF59" i="23"/>
  <c r="GG59" i="23"/>
  <c r="GH59" i="23"/>
  <c r="GI59" i="23"/>
  <c r="GJ59" i="23"/>
  <c r="GK59" i="23"/>
  <c r="GL59" i="23"/>
  <c r="GM59" i="23"/>
  <c r="GN59" i="23"/>
  <c r="GO59" i="23"/>
  <c r="GP59" i="23"/>
  <c r="GQ59" i="23"/>
  <c r="GR59" i="23"/>
  <c r="GS59" i="23"/>
  <c r="GT59" i="23"/>
  <c r="GU59" i="23"/>
  <c r="GV59" i="23"/>
  <c r="GW59" i="23"/>
  <c r="GX59" i="23"/>
  <c r="GY59" i="23"/>
  <c r="GZ59" i="23"/>
  <c r="HA59" i="23"/>
  <c r="HB59" i="23"/>
  <c r="HC59" i="23"/>
  <c r="HD59" i="23"/>
  <c r="HE59" i="23"/>
  <c r="HF59" i="23"/>
  <c r="HG59" i="23"/>
  <c r="HH59" i="23"/>
  <c r="HI59" i="23"/>
  <c r="HJ59" i="23"/>
  <c r="HK59" i="23"/>
  <c r="HL59" i="23"/>
  <c r="HM59" i="23"/>
  <c r="HN59" i="23"/>
  <c r="HO59" i="23"/>
  <c r="HP59" i="23"/>
  <c r="HQ59" i="23"/>
  <c r="HR59" i="23"/>
  <c r="HS59" i="23"/>
  <c r="HT59" i="23"/>
  <c r="HU59" i="23"/>
  <c r="HV59" i="23"/>
  <c r="HW59" i="23"/>
  <c r="HX59" i="23"/>
  <c r="HY59" i="23"/>
  <c r="HZ59" i="23"/>
  <c r="IA59" i="23"/>
  <c r="IB59" i="23"/>
  <c r="IC59" i="23"/>
  <c r="ID59" i="23"/>
  <c r="IE59" i="23"/>
  <c r="IF59" i="23"/>
  <c r="IG59" i="23"/>
  <c r="IH59" i="23"/>
  <c r="II59" i="23"/>
  <c r="IJ59" i="23"/>
  <c r="IK59" i="23"/>
  <c r="IL59" i="23"/>
  <c r="IM59" i="23"/>
  <c r="IN59" i="23"/>
  <c r="IO59" i="23"/>
  <c r="IP59" i="23"/>
  <c r="IQ59" i="23"/>
  <c r="IR59" i="23"/>
  <c r="IS59" i="23"/>
  <c r="IT59" i="23"/>
  <c r="IU59" i="23"/>
  <c r="IV59" i="23"/>
  <c r="A58" i="23"/>
  <c r="B58" i="23"/>
  <c r="C58" i="23"/>
  <c r="D58" i="23"/>
  <c r="E58" i="23"/>
  <c r="F58" i="23"/>
  <c r="G58" i="23"/>
  <c r="H58" i="23"/>
  <c r="I58" i="23"/>
  <c r="J58" i="23"/>
  <c r="K58" i="23"/>
  <c r="L58" i="23"/>
  <c r="M58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Z58" i="23"/>
  <c r="AA58" i="23"/>
  <c r="AB58" i="23"/>
  <c r="AC58" i="23"/>
  <c r="AD58" i="23"/>
  <c r="AE58" i="23"/>
  <c r="AF58" i="23"/>
  <c r="AG58" i="23"/>
  <c r="AH58" i="23"/>
  <c r="AI58" i="23"/>
  <c r="AJ58" i="23"/>
  <c r="AK58" i="23"/>
  <c r="AL58" i="23"/>
  <c r="AM58" i="23"/>
  <c r="AN58" i="23"/>
  <c r="AO58" i="23"/>
  <c r="AP58" i="23"/>
  <c r="AQ58" i="23"/>
  <c r="AR58" i="23"/>
  <c r="AS58" i="23"/>
  <c r="AT58" i="23"/>
  <c r="AU58" i="23"/>
  <c r="AV58" i="23"/>
  <c r="AW58" i="23"/>
  <c r="AX58" i="23"/>
  <c r="AY58" i="23"/>
  <c r="AZ58" i="23"/>
  <c r="BA58" i="23"/>
  <c r="BB58" i="23"/>
  <c r="BC58" i="23"/>
  <c r="BD58" i="23"/>
  <c r="BE58" i="23"/>
  <c r="BF58" i="23"/>
  <c r="BG58" i="23"/>
  <c r="BH58" i="23"/>
  <c r="BI58" i="23"/>
  <c r="BJ58" i="23"/>
  <c r="BK58" i="23"/>
  <c r="BL58" i="23"/>
  <c r="BM58" i="23"/>
  <c r="BN58" i="23"/>
  <c r="BO58" i="23"/>
  <c r="BP58" i="23"/>
  <c r="BQ58" i="23"/>
  <c r="BR58" i="23"/>
  <c r="BS58" i="23"/>
  <c r="BT58" i="23"/>
  <c r="BU58" i="23"/>
  <c r="BV58" i="23"/>
  <c r="BW58" i="23"/>
  <c r="BX58" i="23"/>
  <c r="BY58" i="23"/>
  <c r="BZ58" i="23"/>
  <c r="CA58" i="23"/>
  <c r="CB58" i="23"/>
  <c r="CC58" i="23"/>
  <c r="CD58" i="23"/>
  <c r="CE58" i="23"/>
  <c r="CF58" i="23"/>
  <c r="CG58" i="23"/>
  <c r="CH58" i="23"/>
  <c r="CI58" i="23"/>
  <c r="CJ58" i="23"/>
  <c r="CK58" i="23"/>
  <c r="CL58" i="23"/>
  <c r="CM58" i="23"/>
  <c r="CN58" i="23"/>
  <c r="CO58" i="23"/>
  <c r="CP58" i="23"/>
  <c r="CQ58" i="23"/>
  <c r="CR58" i="23"/>
  <c r="CS58" i="23"/>
  <c r="CT58" i="23"/>
  <c r="CU58" i="23"/>
  <c r="CV58" i="23"/>
  <c r="CW58" i="23"/>
  <c r="CX58" i="23"/>
  <c r="CY58" i="23"/>
  <c r="CZ58" i="23"/>
  <c r="DA58" i="23"/>
  <c r="DB58" i="23"/>
  <c r="DC58" i="23"/>
  <c r="DD58" i="23"/>
  <c r="DE58" i="23"/>
  <c r="DF58" i="23"/>
  <c r="DG58" i="23"/>
  <c r="DH58" i="23"/>
  <c r="DI58" i="23"/>
  <c r="DJ58" i="23"/>
  <c r="DK58" i="23"/>
  <c r="DL58" i="23"/>
  <c r="DM58" i="23"/>
  <c r="DN58" i="23"/>
  <c r="DO58" i="23"/>
  <c r="DP58" i="23"/>
  <c r="DQ58" i="23"/>
  <c r="DR58" i="23"/>
  <c r="DS58" i="23"/>
  <c r="DT58" i="23"/>
  <c r="DU58" i="23"/>
  <c r="DV58" i="23"/>
  <c r="DW58" i="23"/>
  <c r="DX58" i="23"/>
  <c r="DY58" i="23"/>
  <c r="DZ58" i="23"/>
  <c r="EA58" i="23"/>
  <c r="EB58" i="23"/>
  <c r="EC58" i="23"/>
  <c r="ED58" i="23"/>
  <c r="EE58" i="23"/>
  <c r="EF58" i="23"/>
  <c r="EG58" i="23"/>
  <c r="EH58" i="23"/>
  <c r="EI58" i="23"/>
  <c r="EJ58" i="23"/>
  <c r="EK58" i="23"/>
  <c r="EL58" i="23"/>
  <c r="EM58" i="23"/>
  <c r="EN58" i="23"/>
  <c r="EO58" i="23"/>
  <c r="EP58" i="23"/>
  <c r="EQ58" i="23"/>
  <c r="ER58" i="23"/>
  <c r="ES58" i="23"/>
  <c r="ET58" i="23"/>
  <c r="EU58" i="23"/>
  <c r="EV58" i="23"/>
  <c r="EW58" i="23"/>
  <c r="EX58" i="23"/>
  <c r="EY58" i="23"/>
  <c r="EZ58" i="23"/>
  <c r="FA58" i="23"/>
  <c r="FB58" i="23"/>
  <c r="FC58" i="23"/>
  <c r="FD58" i="23"/>
  <c r="FE58" i="23"/>
  <c r="FF58" i="23"/>
  <c r="FG58" i="23"/>
  <c r="FH58" i="23"/>
  <c r="FI58" i="23"/>
  <c r="FJ58" i="23"/>
  <c r="FK58" i="23"/>
  <c r="FL58" i="23"/>
  <c r="FM58" i="23"/>
  <c r="FN58" i="23"/>
  <c r="FO58" i="23"/>
  <c r="FP58" i="23"/>
  <c r="FQ58" i="23"/>
  <c r="FR58" i="23"/>
  <c r="FS58" i="23"/>
  <c r="FT58" i="23"/>
  <c r="FU58" i="23"/>
  <c r="FV58" i="23"/>
  <c r="FW58" i="23"/>
  <c r="FX58" i="23"/>
  <c r="FY58" i="23"/>
  <c r="FZ58" i="23"/>
  <c r="GA58" i="23"/>
  <c r="GB58" i="23"/>
  <c r="GC58" i="23"/>
  <c r="GD58" i="23"/>
  <c r="GE58" i="23"/>
  <c r="GF58" i="23"/>
  <c r="GG58" i="23"/>
  <c r="GH58" i="23"/>
  <c r="GI58" i="23"/>
  <c r="GJ58" i="23"/>
  <c r="GK58" i="23"/>
  <c r="GL58" i="23"/>
  <c r="GM58" i="23"/>
  <c r="GN58" i="23"/>
  <c r="GO58" i="23"/>
  <c r="GP58" i="23"/>
  <c r="GQ58" i="23"/>
  <c r="GR58" i="23"/>
  <c r="GS58" i="23"/>
  <c r="GT58" i="23"/>
  <c r="GU58" i="23"/>
  <c r="GV58" i="23"/>
  <c r="GW58" i="23"/>
  <c r="GX58" i="23"/>
  <c r="GY58" i="23"/>
  <c r="GZ58" i="23"/>
  <c r="HA58" i="23"/>
  <c r="HB58" i="23"/>
  <c r="HC58" i="23"/>
  <c r="HD58" i="23"/>
  <c r="HE58" i="23"/>
  <c r="HF58" i="23"/>
  <c r="HG58" i="23"/>
  <c r="HH58" i="23"/>
  <c r="HI58" i="23"/>
  <c r="HJ58" i="23"/>
  <c r="HK58" i="23"/>
  <c r="HL58" i="23"/>
  <c r="HM58" i="23"/>
  <c r="HN58" i="23"/>
  <c r="HO58" i="23"/>
  <c r="HP58" i="23"/>
  <c r="HQ58" i="23"/>
  <c r="HR58" i="23"/>
  <c r="HS58" i="23"/>
  <c r="HT58" i="23"/>
  <c r="HU58" i="23"/>
  <c r="HV58" i="23"/>
  <c r="HW58" i="23"/>
  <c r="HX58" i="23"/>
  <c r="HY58" i="23"/>
  <c r="HZ58" i="23"/>
  <c r="IA58" i="23"/>
  <c r="IB58" i="23"/>
  <c r="IC58" i="23"/>
  <c r="ID58" i="23"/>
  <c r="IE58" i="23"/>
  <c r="IF58" i="23"/>
  <c r="IG58" i="23"/>
  <c r="IH58" i="23"/>
  <c r="II58" i="23"/>
  <c r="IJ58" i="23"/>
  <c r="IK58" i="23"/>
  <c r="IL58" i="23"/>
  <c r="IM58" i="23"/>
  <c r="IN58" i="23"/>
  <c r="IO58" i="23"/>
  <c r="IP58" i="23"/>
  <c r="IQ58" i="23"/>
  <c r="IR58" i="23"/>
  <c r="IS58" i="23"/>
  <c r="IT58" i="23"/>
  <c r="IU58" i="23"/>
  <c r="IV58" i="23"/>
  <c r="A57" i="23"/>
  <c r="B57" i="23"/>
  <c r="C57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AC57" i="23"/>
  <c r="AD57" i="23"/>
  <c r="AE57" i="23"/>
  <c r="AF57" i="23"/>
  <c r="AG57" i="23"/>
  <c r="AH57" i="23"/>
  <c r="AI57" i="23"/>
  <c r="AJ57" i="23"/>
  <c r="AK57" i="23"/>
  <c r="AL57" i="23"/>
  <c r="AM57" i="23"/>
  <c r="AN57" i="23"/>
  <c r="AO57" i="23"/>
  <c r="AP57" i="23"/>
  <c r="AQ57" i="23"/>
  <c r="AR57" i="23"/>
  <c r="AS57" i="23"/>
  <c r="AT57" i="23"/>
  <c r="AU57" i="23"/>
  <c r="AV57" i="23"/>
  <c r="AW57" i="23"/>
  <c r="AX57" i="23"/>
  <c r="AY57" i="23"/>
  <c r="AZ57" i="23"/>
  <c r="BA57" i="23"/>
  <c r="BB57" i="23"/>
  <c r="BC57" i="23"/>
  <c r="BD57" i="23"/>
  <c r="BE57" i="23"/>
  <c r="BF57" i="23"/>
  <c r="BG57" i="23"/>
  <c r="BH57" i="23"/>
  <c r="BI57" i="23"/>
  <c r="BJ57" i="23"/>
  <c r="BK57" i="23"/>
  <c r="BL57" i="23"/>
  <c r="BM57" i="23"/>
  <c r="BN57" i="23"/>
  <c r="BO57" i="23"/>
  <c r="BP57" i="23"/>
  <c r="BQ57" i="23"/>
  <c r="BR57" i="23"/>
  <c r="BS57" i="23"/>
  <c r="BT57" i="23"/>
  <c r="BU57" i="23"/>
  <c r="BV57" i="23"/>
  <c r="BW57" i="23"/>
  <c r="BX57" i="23"/>
  <c r="BY57" i="23"/>
  <c r="BZ57" i="23"/>
  <c r="CA57" i="23"/>
  <c r="CB57" i="23"/>
  <c r="CC57" i="23"/>
  <c r="CD57" i="23"/>
  <c r="CE57" i="23"/>
  <c r="CF57" i="23"/>
  <c r="CG57" i="23"/>
  <c r="CH57" i="23"/>
  <c r="CI57" i="23"/>
  <c r="CJ57" i="23"/>
  <c r="CK57" i="23"/>
  <c r="CL57" i="23"/>
  <c r="CM57" i="23"/>
  <c r="CN57" i="23"/>
  <c r="CO57" i="23"/>
  <c r="CP57" i="23"/>
  <c r="CQ57" i="23"/>
  <c r="CR57" i="23"/>
  <c r="CS57" i="23"/>
  <c r="CT57" i="23"/>
  <c r="CU57" i="23"/>
  <c r="CV57" i="23"/>
  <c r="CW57" i="23"/>
  <c r="CX57" i="23"/>
  <c r="CY57" i="23"/>
  <c r="CZ57" i="23"/>
  <c r="DA57" i="23"/>
  <c r="DB57" i="23"/>
  <c r="DC57" i="23"/>
  <c r="DD57" i="23"/>
  <c r="DE57" i="23"/>
  <c r="DF57" i="23"/>
  <c r="DG57" i="23"/>
  <c r="DH57" i="23"/>
  <c r="DI57" i="23"/>
  <c r="DJ57" i="23"/>
  <c r="DK57" i="23"/>
  <c r="DL57" i="23"/>
  <c r="DM57" i="23"/>
  <c r="DN57" i="23"/>
  <c r="DO57" i="23"/>
  <c r="DP57" i="23"/>
  <c r="DQ57" i="23"/>
  <c r="DR57" i="23"/>
  <c r="DS57" i="23"/>
  <c r="DT57" i="23"/>
  <c r="DU57" i="23"/>
  <c r="DV57" i="23"/>
  <c r="DW57" i="23"/>
  <c r="DX57" i="23"/>
  <c r="DY57" i="23"/>
  <c r="DZ57" i="23"/>
  <c r="EA57" i="23"/>
  <c r="EB57" i="23"/>
  <c r="EC57" i="23"/>
  <c r="ED57" i="23"/>
  <c r="EE57" i="23"/>
  <c r="EF57" i="23"/>
  <c r="EG57" i="23"/>
  <c r="EH57" i="23"/>
  <c r="EI57" i="23"/>
  <c r="EJ57" i="23"/>
  <c r="EK57" i="23"/>
  <c r="EL57" i="23"/>
  <c r="EM57" i="23"/>
  <c r="EN57" i="23"/>
  <c r="EO57" i="23"/>
  <c r="EP57" i="23"/>
  <c r="EQ57" i="23"/>
  <c r="ER57" i="23"/>
  <c r="ES57" i="23"/>
  <c r="ET57" i="23"/>
  <c r="EU57" i="23"/>
  <c r="EV57" i="23"/>
  <c r="EW57" i="23"/>
  <c r="EX57" i="23"/>
  <c r="EY57" i="23"/>
  <c r="EZ57" i="23"/>
  <c r="FA57" i="23"/>
  <c r="FB57" i="23"/>
  <c r="FC57" i="23"/>
  <c r="FD57" i="23"/>
  <c r="FE57" i="23"/>
  <c r="FF57" i="23"/>
  <c r="FG57" i="23"/>
  <c r="FH57" i="23"/>
  <c r="FI57" i="23"/>
  <c r="FJ57" i="23"/>
  <c r="FK57" i="23"/>
  <c r="FL57" i="23"/>
  <c r="FM57" i="23"/>
  <c r="FN57" i="23"/>
  <c r="FO57" i="23"/>
  <c r="FP57" i="23"/>
  <c r="FQ57" i="23"/>
  <c r="FR57" i="23"/>
  <c r="FS57" i="23"/>
  <c r="FT57" i="23"/>
  <c r="FU57" i="23"/>
  <c r="FV57" i="23"/>
  <c r="FW57" i="23"/>
  <c r="FX57" i="23"/>
  <c r="FY57" i="23"/>
  <c r="FZ57" i="23"/>
  <c r="GA57" i="23"/>
  <c r="GB57" i="23"/>
  <c r="GC57" i="23"/>
  <c r="GD57" i="23"/>
  <c r="GE57" i="23"/>
  <c r="GF57" i="23"/>
  <c r="GG57" i="23"/>
  <c r="GH57" i="23"/>
  <c r="GI57" i="23"/>
  <c r="GJ57" i="23"/>
  <c r="GK57" i="23"/>
  <c r="GL57" i="23"/>
  <c r="GM57" i="23"/>
  <c r="GN57" i="23"/>
  <c r="GO57" i="23"/>
  <c r="GP57" i="23"/>
  <c r="GQ57" i="23"/>
  <c r="GR57" i="23"/>
  <c r="GS57" i="23"/>
  <c r="GT57" i="23"/>
  <c r="GU57" i="23"/>
  <c r="GV57" i="23"/>
  <c r="GW57" i="23"/>
  <c r="GX57" i="23"/>
  <c r="GY57" i="23"/>
  <c r="GZ57" i="23"/>
  <c r="HA57" i="23"/>
  <c r="HB57" i="23"/>
  <c r="HC57" i="23"/>
  <c r="HD57" i="23"/>
  <c r="HE57" i="23"/>
  <c r="HF57" i="23"/>
  <c r="HG57" i="23"/>
  <c r="HH57" i="23"/>
  <c r="HI57" i="23"/>
  <c r="HJ57" i="23"/>
  <c r="HK57" i="23"/>
  <c r="HL57" i="23"/>
  <c r="HM57" i="23"/>
  <c r="HN57" i="23"/>
  <c r="HO57" i="23"/>
  <c r="HP57" i="23"/>
  <c r="HQ57" i="23"/>
  <c r="HR57" i="23"/>
  <c r="HS57" i="23"/>
  <c r="HT57" i="23"/>
  <c r="HU57" i="23"/>
  <c r="HV57" i="23"/>
  <c r="HW57" i="23"/>
  <c r="HX57" i="23"/>
  <c r="HY57" i="23"/>
  <c r="HZ57" i="23"/>
  <c r="IA57" i="23"/>
  <c r="IB57" i="23"/>
  <c r="IC57" i="23"/>
  <c r="ID57" i="23"/>
  <c r="IE57" i="23"/>
  <c r="IF57" i="23"/>
  <c r="IG57" i="23"/>
  <c r="IH57" i="23"/>
  <c r="II57" i="23"/>
  <c r="IJ57" i="23"/>
  <c r="IK57" i="23"/>
  <c r="IL57" i="23"/>
  <c r="IM57" i="23"/>
  <c r="IN57" i="23"/>
  <c r="IO57" i="23"/>
  <c r="IP57" i="23"/>
  <c r="IQ57" i="23"/>
  <c r="IR57" i="23"/>
  <c r="IS57" i="23"/>
  <c r="IT57" i="23"/>
  <c r="IU57" i="23"/>
  <c r="IV57" i="23"/>
  <c r="A56" i="23"/>
  <c r="B56" i="23"/>
  <c r="C56" i="23"/>
  <c r="D56" i="23"/>
  <c r="E56" i="23"/>
  <c r="F56" i="23"/>
  <c r="G56" i="23"/>
  <c r="H56" i="23"/>
  <c r="I56" i="23"/>
  <c r="J56" i="23"/>
  <c r="K56" i="23"/>
  <c r="L56" i="23"/>
  <c r="M56" i="23"/>
  <c r="N56" i="23"/>
  <c r="O56" i="23"/>
  <c r="P56" i="23"/>
  <c r="Q56" i="23"/>
  <c r="R56" i="23"/>
  <c r="S56" i="23"/>
  <c r="T56" i="23"/>
  <c r="U56" i="23"/>
  <c r="V56" i="23"/>
  <c r="W56" i="23"/>
  <c r="X56" i="23"/>
  <c r="Y56" i="23"/>
  <c r="Z56" i="23"/>
  <c r="AA56" i="23"/>
  <c r="AB56" i="23"/>
  <c r="AC56" i="23"/>
  <c r="AD56" i="23"/>
  <c r="AE56" i="23"/>
  <c r="AF56" i="23"/>
  <c r="AG56" i="23"/>
  <c r="AH56" i="23"/>
  <c r="AI56" i="23"/>
  <c r="AJ56" i="23"/>
  <c r="AK56" i="23"/>
  <c r="AL56" i="23"/>
  <c r="AM56" i="23"/>
  <c r="AN56" i="23"/>
  <c r="AO56" i="23"/>
  <c r="AP56" i="23"/>
  <c r="AQ56" i="23"/>
  <c r="AR56" i="23"/>
  <c r="AS56" i="23"/>
  <c r="AT56" i="23"/>
  <c r="AU56" i="23"/>
  <c r="AV56" i="23"/>
  <c r="AW56" i="23"/>
  <c r="AX56" i="23"/>
  <c r="AY56" i="23"/>
  <c r="AZ56" i="23"/>
  <c r="BA56" i="23"/>
  <c r="BB56" i="23"/>
  <c r="BC56" i="23"/>
  <c r="BD56" i="23"/>
  <c r="BE56" i="23"/>
  <c r="BF56" i="23"/>
  <c r="BG56" i="23"/>
  <c r="BH56" i="23"/>
  <c r="BI56" i="23"/>
  <c r="BJ56" i="23"/>
  <c r="BK56" i="23"/>
  <c r="BL56" i="23"/>
  <c r="BM56" i="23"/>
  <c r="BN56" i="23"/>
  <c r="BO56" i="23"/>
  <c r="BP56" i="23"/>
  <c r="BQ56" i="23"/>
  <c r="BR56" i="23"/>
  <c r="BS56" i="23"/>
  <c r="BT56" i="23"/>
  <c r="BU56" i="23"/>
  <c r="BV56" i="23"/>
  <c r="BW56" i="23"/>
  <c r="BX56" i="23"/>
  <c r="BY56" i="23"/>
  <c r="BZ56" i="23"/>
  <c r="CA56" i="23"/>
  <c r="CB56" i="23"/>
  <c r="CC56" i="23"/>
  <c r="CD56" i="23"/>
  <c r="CE56" i="23"/>
  <c r="CF56" i="23"/>
  <c r="CG56" i="23"/>
  <c r="CH56" i="23"/>
  <c r="CI56" i="23"/>
  <c r="CJ56" i="23"/>
  <c r="CK56" i="23"/>
  <c r="CL56" i="23"/>
  <c r="CM56" i="23"/>
  <c r="CN56" i="23"/>
  <c r="CO56" i="23"/>
  <c r="CP56" i="23"/>
  <c r="CQ56" i="23"/>
  <c r="CR56" i="23"/>
  <c r="CS56" i="23"/>
  <c r="CT56" i="23"/>
  <c r="CU56" i="23"/>
  <c r="CV56" i="23"/>
  <c r="CW56" i="23"/>
  <c r="CX56" i="23"/>
  <c r="CY56" i="23"/>
  <c r="CZ56" i="23"/>
  <c r="DA56" i="23"/>
  <c r="DB56" i="23"/>
  <c r="DC56" i="23"/>
  <c r="DD56" i="23"/>
  <c r="DE56" i="23"/>
  <c r="DF56" i="23"/>
  <c r="DG56" i="23"/>
  <c r="DH56" i="23"/>
  <c r="DI56" i="23"/>
  <c r="DJ56" i="23"/>
  <c r="DK56" i="23"/>
  <c r="DL56" i="23"/>
  <c r="DM56" i="23"/>
  <c r="DN56" i="23"/>
  <c r="DO56" i="23"/>
  <c r="DP56" i="23"/>
  <c r="DQ56" i="23"/>
  <c r="DR56" i="23"/>
  <c r="DS56" i="23"/>
  <c r="DT56" i="23"/>
  <c r="DU56" i="23"/>
  <c r="DV56" i="23"/>
  <c r="DW56" i="23"/>
  <c r="DX56" i="23"/>
  <c r="DY56" i="23"/>
  <c r="DZ56" i="23"/>
  <c r="EA56" i="23"/>
  <c r="EB56" i="23"/>
  <c r="EC56" i="23"/>
  <c r="ED56" i="23"/>
  <c r="EE56" i="23"/>
  <c r="EF56" i="23"/>
  <c r="EG56" i="23"/>
  <c r="EH56" i="23"/>
  <c r="EI56" i="23"/>
  <c r="EJ56" i="23"/>
  <c r="EK56" i="23"/>
  <c r="EL56" i="23"/>
  <c r="EM56" i="23"/>
  <c r="EN56" i="23"/>
  <c r="EO56" i="23"/>
  <c r="EP56" i="23"/>
  <c r="EQ56" i="23"/>
  <c r="ER56" i="23"/>
  <c r="ES56" i="23"/>
  <c r="ET56" i="23"/>
  <c r="EU56" i="23"/>
  <c r="EV56" i="23"/>
  <c r="EW56" i="23"/>
  <c r="EX56" i="23"/>
  <c r="EY56" i="23"/>
  <c r="EZ56" i="23"/>
  <c r="FA56" i="23"/>
  <c r="FB56" i="23"/>
  <c r="FC56" i="23"/>
  <c r="FD56" i="23"/>
  <c r="FE56" i="23"/>
  <c r="FF56" i="23"/>
  <c r="FG56" i="23"/>
  <c r="FH56" i="23"/>
  <c r="FI56" i="23"/>
  <c r="FJ56" i="23"/>
  <c r="FK56" i="23"/>
  <c r="FL56" i="23"/>
  <c r="FM56" i="23"/>
  <c r="FN56" i="23"/>
  <c r="FO56" i="23"/>
  <c r="FP56" i="23"/>
  <c r="FQ56" i="23"/>
  <c r="FR56" i="23"/>
  <c r="FS56" i="23"/>
  <c r="FT56" i="23"/>
  <c r="FU56" i="23"/>
  <c r="FV56" i="23"/>
  <c r="FW56" i="23"/>
  <c r="FX56" i="23"/>
  <c r="FY56" i="23"/>
  <c r="FZ56" i="23"/>
  <c r="GA56" i="23"/>
  <c r="GB56" i="23"/>
  <c r="GC56" i="23"/>
  <c r="GD56" i="23"/>
  <c r="GE56" i="23"/>
  <c r="GF56" i="23"/>
  <c r="GG56" i="23"/>
  <c r="GH56" i="23"/>
  <c r="GI56" i="23"/>
  <c r="GJ56" i="23"/>
  <c r="GK56" i="23"/>
  <c r="GL56" i="23"/>
  <c r="GM56" i="23"/>
  <c r="GN56" i="23"/>
  <c r="GO56" i="23"/>
  <c r="GP56" i="23"/>
  <c r="GQ56" i="23"/>
  <c r="GR56" i="23"/>
  <c r="GS56" i="23"/>
  <c r="GT56" i="23"/>
  <c r="GU56" i="23"/>
  <c r="GV56" i="23"/>
  <c r="GW56" i="23"/>
  <c r="GX56" i="23"/>
  <c r="GY56" i="23"/>
  <c r="GZ56" i="23"/>
  <c r="HA56" i="23"/>
  <c r="HB56" i="23"/>
  <c r="HC56" i="23"/>
  <c r="HD56" i="23"/>
  <c r="HE56" i="23"/>
  <c r="HF56" i="23"/>
  <c r="HG56" i="23"/>
  <c r="HH56" i="23"/>
  <c r="HI56" i="23"/>
  <c r="HJ56" i="23"/>
  <c r="HK56" i="23"/>
  <c r="HL56" i="23"/>
  <c r="HM56" i="23"/>
  <c r="HN56" i="23"/>
  <c r="HO56" i="23"/>
  <c r="HP56" i="23"/>
  <c r="HQ56" i="23"/>
  <c r="HR56" i="23"/>
  <c r="HS56" i="23"/>
  <c r="HT56" i="23"/>
  <c r="HU56" i="23"/>
  <c r="HV56" i="23"/>
  <c r="HW56" i="23"/>
  <c r="HX56" i="23"/>
  <c r="HY56" i="23"/>
  <c r="HZ56" i="23"/>
  <c r="IA56" i="23"/>
  <c r="IB56" i="23"/>
  <c r="IC56" i="23"/>
  <c r="ID56" i="23"/>
  <c r="IE56" i="23"/>
  <c r="IF56" i="23"/>
  <c r="IG56" i="23"/>
  <c r="IH56" i="23"/>
  <c r="II56" i="23"/>
  <c r="IJ56" i="23"/>
  <c r="IK56" i="23"/>
  <c r="IL56" i="23"/>
  <c r="IM56" i="23"/>
  <c r="IN56" i="23"/>
  <c r="IO56" i="23"/>
  <c r="IP56" i="23"/>
  <c r="IQ56" i="23"/>
  <c r="IR56" i="23"/>
  <c r="IS56" i="23"/>
  <c r="IT56" i="23"/>
  <c r="IU56" i="23"/>
  <c r="IV56" i="23"/>
  <c r="A55" i="23"/>
  <c r="B55" i="23"/>
  <c r="C55" i="23"/>
  <c r="D55" i="23"/>
  <c r="E55" i="23"/>
  <c r="F55" i="23"/>
  <c r="G55" i="23"/>
  <c r="H55" i="23"/>
  <c r="I55" i="23"/>
  <c r="J55" i="23"/>
  <c r="K55" i="23"/>
  <c r="L55" i="23"/>
  <c r="M55" i="23"/>
  <c r="N55" i="23"/>
  <c r="O55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AE55" i="23"/>
  <c r="AF55" i="23"/>
  <c r="AG55" i="23"/>
  <c r="AH55" i="23"/>
  <c r="AI55" i="23"/>
  <c r="AJ55" i="23"/>
  <c r="AK55" i="23"/>
  <c r="AL55" i="23"/>
  <c r="AM55" i="23"/>
  <c r="AN55" i="23"/>
  <c r="AO55" i="23"/>
  <c r="AP55" i="23"/>
  <c r="AQ55" i="23"/>
  <c r="AR55" i="23"/>
  <c r="AS55" i="23"/>
  <c r="AT55" i="23"/>
  <c r="AU55" i="23"/>
  <c r="AV55" i="23"/>
  <c r="AW55" i="23"/>
  <c r="AX55" i="23"/>
  <c r="AY55" i="23"/>
  <c r="AZ55" i="23"/>
  <c r="BA55" i="23"/>
  <c r="BB55" i="23"/>
  <c r="BC55" i="23"/>
  <c r="BD55" i="23"/>
  <c r="BE55" i="23"/>
  <c r="BF55" i="23"/>
  <c r="BG55" i="23"/>
  <c r="BH55" i="23"/>
  <c r="BI55" i="23"/>
  <c r="BJ55" i="23"/>
  <c r="BK55" i="23"/>
  <c r="BL55" i="23"/>
  <c r="BM55" i="23"/>
  <c r="BN55" i="23"/>
  <c r="BO55" i="23"/>
  <c r="BP55" i="23"/>
  <c r="BQ55" i="23"/>
  <c r="BR55" i="23"/>
  <c r="BS55" i="23"/>
  <c r="BT55" i="23"/>
  <c r="BU55" i="23"/>
  <c r="BV55" i="23"/>
  <c r="BW55" i="23"/>
  <c r="BX55" i="23"/>
  <c r="BY55" i="23"/>
  <c r="BZ55" i="23"/>
  <c r="CA55" i="23"/>
  <c r="CB55" i="23"/>
  <c r="CC55" i="23"/>
  <c r="CD55" i="23"/>
  <c r="CE55" i="23"/>
  <c r="CF55" i="23"/>
  <c r="CG55" i="23"/>
  <c r="CH55" i="23"/>
  <c r="CI55" i="23"/>
  <c r="CJ55" i="23"/>
  <c r="CK55" i="23"/>
  <c r="CL55" i="23"/>
  <c r="CM55" i="23"/>
  <c r="CN55" i="23"/>
  <c r="CO55" i="23"/>
  <c r="CP55" i="23"/>
  <c r="CQ55" i="23"/>
  <c r="CR55" i="23"/>
  <c r="CS55" i="23"/>
  <c r="CT55" i="23"/>
  <c r="CU55" i="23"/>
  <c r="CV55" i="23"/>
  <c r="CW55" i="23"/>
  <c r="CX55" i="23"/>
  <c r="CY55" i="23"/>
  <c r="CZ55" i="23"/>
  <c r="DA55" i="23"/>
  <c r="DB55" i="23"/>
  <c r="DC55" i="23"/>
  <c r="DD55" i="23"/>
  <c r="DE55" i="23"/>
  <c r="DF55" i="23"/>
  <c r="DG55" i="23"/>
  <c r="DH55" i="23"/>
  <c r="DI55" i="23"/>
  <c r="DJ55" i="23"/>
  <c r="DK55" i="23"/>
  <c r="DL55" i="23"/>
  <c r="DM55" i="23"/>
  <c r="DN55" i="23"/>
  <c r="DO55" i="23"/>
  <c r="DP55" i="23"/>
  <c r="DQ55" i="23"/>
  <c r="DR55" i="23"/>
  <c r="DS55" i="23"/>
  <c r="DT55" i="23"/>
  <c r="DU55" i="23"/>
  <c r="DV55" i="23"/>
  <c r="DW55" i="23"/>
  <c r="DX55" i="23"/>
  <c r="DY55" i="23"/>
  <c r="DZ55" i="23"/>
  <c r="EA55" i="23"/>
  <c r="EB55" i="23"/>
  <c r="EC55" i="23"/>
  <c r="ED55" i="23"/>
  <c r="EE55" i="23"/>
  <c r="EF55" i="23"/>
  <c r="EG55" i="23"/>
  <c r="EH55" i="23"/>
  <c r="EI55" i="23"/>
  <c r="EJ55" i="23"/>
  <c r="EK55" i="23"/>
  <c r="EL55" i="23"/>
  <c r="EM55" i="23"/>
  <c r="EN55" i="23"/>
  <c r="EO55" i="23"/>
  <c r="EP55" i="23"/>
  <c r="EQ55" i="23"/>
  <c r="ER55" i="23"/>
  <c r="ES55" i="23"/>
  <c r="ET55" i="23"/>
  <c r="EU55" i="23"/>
  <c r="EV55" i="23"/>
  <c r="EW55" i="23"/>
  <c r="EX55" i="23"/>
  <c r="EY55" i="23"/>
  <c r="EZ55" i="23"/>
  <c r="FA55" i="23"/>
  <c r="FB55" i="23"/>
  <c r="FC55" i="23"/>
  <c r="FD55" i="23"/>
  <c r="FE55" i="23"/>
  <c r="FF55" i="23"/>
  <c r="FG55" i="23"/>
  <c r="FH55" i="23"/>
  <c r="FI55" i="23"/>
  <c r="FJ55" i="23"/>
  <c r="FK55" i="23"/>
  <c r="FL55" i="23"/>
  <c r="FM55" i="23"/>
  <c r="FN55" i="23"/>
  <c r="FO55" i="23"/>
  <c r="FP55" i="23"/>
  <c r="FQ55" i="23"/>
  <c r="FR55" i="23"/>
  <c r="FS55" i="23"/>
  <c r="FT55" i="23"/>
  <c r="FU55" i="23"/>
  <c r="FV55" i="23"/>
  <c r="FW55" i="23"/>
  <c r="FX55" i="23"/>
  <c r="FY55" i="23"/>
  <c r="FZ55" i="23"/>
  <c r="GA55" i="23"/>
  <c r="GB55" i="23"/>
  <c r="GC55" i="23"/>
  <c r="GD55" i="23"/>
  <c r="GE55" i="23"/>
  <c r="GF55" i="23"/>
  <c r="GG55" i="23"/>
  <c r="GH55" i="23"/>
  <c r="GI55" i="23"/>
  <c r="GJ55" i="23"/>
  <c r="GK55" i="23"/>
  <c r="GL55" i="23"/>
  <c r="GM55" i="23"/>
  <c r="GN55" i="23"/>
  <c r="GO55" i="23"/>
  <c r="GP55" i="23"/>
  <c r="GQ55" i="23"/>
  <c r="GR55" i="23"/>
  <c r="GS55" i="23"/>
  <c r="GT55" i="23"/>
  <c r="GU55" i="23"/>
  <c r="GV55" i="23"/>
  <c r="GW55" i="23"/>
  <c r="GX55" i="23"/>
  <c r="GY55" i="23"/>
  <c r="GZ55" i="23"/>
  <c r="HA55" i="23"/>
  <c r="HB55" i="23"/>
  <c r="HC55" i="23"/>
  <c r="HD55" i="23"/>
  <c r="HE55" i="23"/>
  <c r="HF55" i="23"/>
  <c r="HG55" i="23"/>
  <c r="HH55" i="23"/>
  <c r="HI55" i="23"/>
  <c r="HJ55" i="23"/>
  <c r="HK55" i="23"/>
  <c r="HL55" i="23"/>
  <c r="HM55" i="23"/>
  <c r="HN55" i="23"/>
  <c r="HO55" i="23"/>
  <c r="HP55" i="23"/>
  <c r="HQ55" i="23"/>
  <c r="HR55" i="23"/>
  <c r="HS55" i="23"/>
  <c r="HT55" i="23"/>
  <c r="HU55" i="23"/>
  <c r="HV55" i="23"/>
  <c r="HW55" i="23"/>
  <c r="HX55" i="23"/>
  <c r="HY55" i="23"/>
  <c r="HZ55" i="23"/>
  <c r="IA55" i="23"/>
  <c r="IB55" i="23"/>
  <c r="IC55" i="23"/>
  <c r="ID55" i="23"/>
  <c r="IE55" i="23"/>
  <c r="IF55" i="23"/>
  <c r="IG55" i="23"/>
  <c r="IH55" i="23"/>
  <c r="II55" i="23"/>
  <c r="IJ55" i="23"/>
  <c r="IK55" i="23"/>
  <c r="IL55" i="23"/>
  <c r="IM55" i="23"/>
  <c r="IN55" i="23"/>
  <c r="IO55" i="23"/>
  <c r="IP55" i="23"/>
  <c r="IQ55" i="23"/>
  <c r="IR55" i="23"/>
  <c r="IS55" i="23"/>
  <c r="IT55" i="23"/>
  <c r="IU55" i="23"/>
  <c r="IV55" i="23"/>
  <c r="A54" i="23"/>
  <c r="B54" i="23"/>
  <c r="C54" i="23"/>
  <c r="D54" i="23"/>
  <c r="E54" i="23"/>
  <c r="F54" i="23"/>
  <c r="G54" i="23"/>
  <c r="H54" i="23"/>
  <c r="I54" i="23"/>
  <c r="J54" i="23"/>
  <c r="K54" i="23"/>
  <c r="L54" i="23"/>
  <c r="M54" i="23"/>
  <c r="N54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AE54" i="23"/>
  <c r="AF54" i="23"/>
  <c r="AG54" i="23"/>
  <c r="AH54" i="23"/>
  <c r="AI54" i="23"/>
  <c r="AJ54" i="23"/>
  <c r="AK54" i="23"/>
  <c r="AL54" i="23"/>
  <c r="AM54" i="23"/>
  <c r="AN54" i="23"/>
  <c r="AO54" i="23"/>
  <c r="AP54" i="23"/>
  <c r="AQ54" i="23"/>
  <c r="AR54" i="23"/>
  <c r="AS54" i="23"/>
  <c r="AT54" i="23"/>
  <c r="AU54" i="23"/>
  <c r="AV54" i="23"/>
  <c r="AW54" i="23"/>
  <c r="AX54" i="23"/>
  <c r="AY54" i="23"/>
  <c r="AZ54" i="23"/>
  <c r="BA54" i="23"/>
  <c r="BB54" i="23"/>
  <c r="BC54" i="23"/>
  <c r="BD54" i="23"/>
  <c r="BE54" i="23"/>
  <c r="BF54" i="23"/>
  <c r="BG54" i="23"/>
  <c r="BH54" i="23"/>
  <c r="BI54" i="23"/>
  <c r="BJ54" i="23"/>
  <c r="BK54" i="23"/>
  <c r="BL54" i="23"/>
  <c r="BM54" i="23"/>
  <c r="BN54" i="23"/>
  <c r="BO54" i="23"/>
  <c r="BP54" i="23"/>
  <c r="BQ54" i="23"/>
  <c r="BR54" i="23"/>
  <c r="BS54" i="23"/>
  <c r="BT54" i="23"/>
  <c r="BU54" i="23"/>
  <c r="BV54" i="23"/>
  <c r="BW54" i="23"/>
  <c r="BX54" i="23"/>
  <c r="BY54" i="23"/>
  <c r="BZ54" i="23"/>
  <c r="CA54" i="23"/>
  <c r="CB54" i="23"/>
  <c r="CC54" i="23"/>
  <c r="CD54" i="23"/>
  <c r="CE54" i="23"/>
  <c r="CF54" i="23"/>
  <c r="CG54" i="23"/>
  <c r="CH54" i="23"/>
  <c r="CI54" i="23"/>
  <c r="CJ54" i="23"/>
  <c r="CK54" i="23"/>
  <c r="CL54" i="23"/>
  <c r="CM54" i="23"/>
  <c r="CN54" i="23"/>
  <c r="CO54" i="23"/>
  <c r="CP54" i="23"/>
  <c r="CQ54" i="23"/>
  <c r="CR54" i="23"/>
  <c r="CS54" i="23"/>
  <c r="CT54" i="23"/>
  <c r="CU54" i="23"/>
  <c r="CV54" i="23"/>
  <c r="CW54" i="23"/>
  <c r="CX54" i="23"/>
  <c r="CY54" i="23"/>
  <c r="CZ54" i="23"/>
  <c r="DA54" i="23"/>
  <c r="DB54" i="23"/>
  <c r="DC54" i="23"/>
  <c r="DD54" i="23"/>
  <c r="DE54" i="23"/>
  <c r="DF54" i="23"/>
  <c r="DG54" i="23"/>
  <c r="DH54" i="23"/>
  <c r="DI54" i="23"/>
  <c r="DJ54" i="23"/>
  <c r="DK54" i="23"/>
  <c r="DL54" i="23"/>
  <c r="DM54" i="23"/>
  <c r="DN54" i="23"/>
  <c r="DO54" i="23"/>
  <c r="DP54" i="23"/>
  <c r="DQ54" i="23"/>
  <c r="DR54" i="23"/>
  <c r="DS54" i="23"/>
  <c r="DT54" i="23"/>
  <c r="DU54" i="23"/>
  <c r="DV54" i="23"/>
  <c r="DW54" i="23"/>
  <c r="DX54" i="23"/>
  <c r="DY54" i="23"/>
  <c r="DZ54" i="23"/>
  <c r="EA54" i="23"/>
  <c r="EB54" i="23"/>
  <c r="EC54" i="23"/>
  <c r="ED54" i="23"/>
  <c r="EE54" i="23"/>
  <c r="EF54" i="23"/>
  <c r="EG54" i="23"/>
  <c r="EH54" i="23"/>
  <c r="EI54" i="23"/>
  <c r="EJ54" i="23"/>
  <c r="EK54" i="23"/>
  <c r="EL54" i="23"/>
  <c r="EM54" i="23"/>
  <c r="EN54" i="23"/>
  <c r="EO54" i="23"/>
  <c r="EP54" i="23"/>
  <c r="EQ54" i="23"/>
  <c r="ER54" i="23"/>
  <c r="ES54" i="23"/>
  <c r="ET54" i="23"/>
  <c r="EU54" i="23"/>
  <c r="EV54" i="23"/>
  <c r="EW54" i="23"/>
  <c r="EX54" i="23"/>
  <c r="EY54" i="23"/>
  <c r="EZ54" i="23"/>
  <c r="FA54" i="23"/>
  <c r="FB54" i="23"/>
  <c r="FC54" i="23"/>
  <c r="FD54" i="23"/>
  <c r="FE54" i="23"/>
  <c r="FF54" i="23"/>
  <c r="FG54" i="23"/>
  <c r="FH54" i="23"/>
  <c r="FI54" i="23"/>
  <c r="FJ54" i="23"/>
  <c r="FK54" i="23"/>
  <c r="FL54" i="23"/>
  <c r="FM54" i="23"/>
  <c r="FN54" i="23"/>
  <c r="FO54" i="23"/>
  <c r="FP54" i="23"/>
  <c r="FQ54" i="23"/>
  <c r="FR54" i="23"/>
  <c r="FS54" i="23"/>
  <c r="FT54" i="23"/>
  <c r="FU54" i="23"/>
  <c r="FV54" i="23"/>
  <c r="FW54" i="23"/>
  <c r="FX54" i="23"/>
  <c r="FY54" i="23"/>
  <c r="FZ54" i="23"/>
  <c r="GA54" i="23"/>
  <c r="GB54" i="23"/>
  <c r="GC54" i="23"/>
  <c r="GD54" i="23"/>
  <c r="GE54" i="23"/>
  <c r="GF54" i="23"/>
  <c r="GG54" i="23"/>
  <c r="GH54" i="23"/>
  <c r="GI54" i="23"/>
  <c r="GJ54" i="23"/>
  <c r="GK54" i="23"/>
  <c r="GL54" i="23"/>
  <c r="GM54" i="23"/>
  <c r="GN54" i="23"/>
  <c r="GO54" i="23"/>
  <c r="GP54" i="23"/>
  <c r="GQ54" i="23"/>
  <c r="GR54" i="23"/>
  <c r="GS54" i="23"/>
  <c r="GT54" i="23"/>
  <c r="GU54" i="23"/>
  <c r="GV54" i="23"/>
  <c r="GW54" i="23"/>
  <c r="GX54" i="23"/>
  <c r="GY54" i="23"/>
  <c r="GZ54" i="23"/>
  <c r="HA54" i="23"/>
  <c r="HB54" i="23"/>
  <c r="HC54" i="23"/>
  <c r="HD54" i="23"/>
  <c r="HE54" i="23"/>
  <c r="HF54" i="23"/>
  <c r="HG54" i="23"/>
  <c r="HH54" i="23"/>
  <c r="HI54" i="23"/>
  <c r="HJ54" i="23"/>
  <c r="HK54" i="23"/>
  <c r="HL54" i="23"/>
  <c r="HM54" i="23"/>
  <c r="HN54" i="23"/>
  <c r="HO54" i="23"/>
  <c r="HP54" i="23"/>
  <c r="HQ54" i="23"/>
  <c r="HR54" i="23"/>
  <c r="HS54" i="23"/>
  <c r="HT54" i="23"/>
  <c r="HU54" i="23"/>
  <c r="HV54" i="23"/>
  <c r="HW54" i="23"/>
  <c r="HX54" i="23"/>
  <c r="HY54" i="23"/>
  <c r="HZ54" i="23"/>
  <c r="IA54" i="23"/>
  <c r="IB54" i="23"/>
  <c r="IC54" i="23"/>
  <c r="ID54" i="23"/>
  <c r="IE54" i="23"/>
  <c r="IF54" i="23"/>
  <c r="IG54" i="23"/>
  <c r="IH54" i="23"/>
  <c r="II54" i="23"/>
  <c r="IJ54" i="23"/>
  <c r="IK54" i="23"/>
  <c r="IL54" i="23"/>
  <c r="IM54" i="23"/>
  <c r="IN54" i="23"/>
  <c r="IO54" i="23"/>
  <c r="IP54" i="23"/>
  <c r="IQ54" i="23"/>
  <c r="IR54" i="23"/>
  <c r="IS54" i="23"/>
  <c r="IT54" i="23"/>
  <c r="IU54" i="23"/>
  <c r="IV54" i="23"/>
  <c r="A53" i="23"/>
  <c r="B53" i="23"/>
  <c r="C53" i="23"/>
  <c r="D53" i="23"/>
  <c r="E53" i="23"/>
  <c r="F53" i="23"/>
  <c r="G53" i="23"/>
  <c r="H53" i="23"/>
  <c r="I53" i="23"/>
  <c r="J53" i="23"/>
  <c r="K53" i="23"/>
  <c r="L53" i="23"/>
  <c r="M53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AE53" i="23"/>
  <c r="AF53" i="23"/>
  <c r="AG53" i="23"/>
  <c r="AH53" i="23"/>
  <c r="AI53" i="23"/>
  <c r="AJ53" i="23"/>
  <c r="AK53" i="23"/>
  <c r="AL53" i="23"/>
  <c r="AM53" i="23"/>
  <c r="AN53" i="23"/>
  <c r="AO53" i="23"/>
  <c r="AP53" i="23"/>
  <c r="AQ53" i="23"/>
  <c r="AR53" i="23"/>
  <c r="AS53" i="23"/>
  <c r="AT53" i="23"/>
  <c r="AU53" i="23"/>
  <c r="AV53" i="23"/>
  <c r="AW53" i="23"/>
  <c r="AX53" i="23"/>
  <c r="AY53" i="23"/>
  <c r="AZ53" i="23"/>
  <c r="BA53" i="23"/>
  <c r="BB53" i="23"/>
  <c r="BC53" i="23"/>
  <c r="BD53" i="23"/>
  <c r="BE53" i="23"/>
  <c r="BF53" i="23"/>
  <c r="BG53" i="23"/>
  <c r="BH53" i="23"/>
  <c r="BI53" i="23"/>
  <c r="BJ53" i="23"/>
  <c r="BK53" i="23"/>
  <c r="BL53" i="23"/>
  <c r="BM53" i="23"/>
  <c r="BN53" i="23"/>
  <c r="BO53" i="23"/>
  <c r="BP53" i="23"/>
  <c r="BQ53" i="23"/>
  <c r="BR53" i="23"/>
  <c r="BS53" i="23"/>
  <c r="BT53" i="23"/>
  <c r="BU53" i="23"/>
  <c r="BV53" i="23"/>
  <c r="BW53" i="23"/>
  <c r="BX53" i="23"/>
  <c r="BY53" i="23"/>
  <c r="BZ53" i="23"/>
  <c r="CA53" i="23"/>
  <c r="CB53" i="23"/>
  <c r="CC53" i="23"/>
  <c r="CD53" i="23"/>
  <c r="CE53" i="23"/>
  <c r="CF53" i="23"/>
  <c r="CG53" i="23"/>
  <c r="CH53" i="23"/>
  <c r="CI53" i="23"/>
  <c r="CJ53" i="23"/>
  <c r="CK53" i="23"/>
  <c r="CL53" i="23"/>
  <c r="CM53" i="23"/>
  <c r="CN53" i="23"/>
  <c r="CO53" i="23"/>
  <c r="CP53" i="23"/>
  <c r="CQ53" i="23"/>
  <c r="CR53" i="23"/>
  <c r="CS53" i="23"/>
  <c r="CT53" i="23"/>
  <c r="CU53" i="23"/>
  <c r="CV53" i="23"/>
  <c r="CW53" i="23"/>
  <c r="CX53" i="23"/>
  <c r="CY53" i="23"/>
  <c r="CZ53" i="23"/>
  <c r="DA53" i="23"/>
  <c r="DB53" i="23"/>
  <c r="DC53" i="23"/>
  <c r="DD53" i="23"/>
  <c r="DE53" i="23"/>
  <c r="DF53" i="23"/>
  <c r="DG53" i="23"/>
  <c r="DH53" i="23"/>
  <c r="DI53" i="23"/>
  <c r="DJ53" i="23"/>
  <c r="DK53" i="23"/>
  <c r="DL53" i="23"/>
  <c r="DM53" i="23"/>
  <c r="DN53" i="23"/>
  <c r="DO53" i="23"/>
  <c r="DP53" i="23"/>
  <c r="DQ53" i="23"/>
  <c r="DR53" i="23"/>
  <c r="DS53" i="23"/>
  <c r="DT53" i="23"/>
  <c r="DU53" i="23"/>
  <c r="DV53" i="23"/>
  <c r="DW53" i="23"/>
  <c r="DX53" i="23"/>
  <c r="DY53" i="23"/>
  <c r="DZ53" i="23"/>
  <c r="EA53" i="23"/>
  <c r="EB53" i="23"/>
  <c r="EC53" i="23"/>
  <c r="ED53" i="23"/>
  <c r="EE53" i="23"/>
  <c r="EF53" i="23"/>
  <c r="EG53" i="23"/>
  <c r="EH53" i="23"/>
  <c r="EI53" i="23"/>
  <c r="EJ53" i="23"/>
  <c r="EK53" i="23"/>
  <c r="EL53" i="23"/>
  <c r="EM53" i="23"/>
  <c r="EN53" i="23"/>
  <c r="EO53" i="23"/>
  <c r="EP53" i="23"/>
  <c r="EQ53" i="23"/>
  <c r="ER53" i="23"/>
  <c r="ES53" i="23"/>
  <c r="ET53" i="23"/>
  <c r="EU53" i="23"/>
  <c r="EV53" i="23"/>
  <c r="EW53" i="23"/>
  <c r="EX53" i="23"/>
  <c r="EY53" i="23"/>
  <c r="EZ53" i="23"/>
  <c r="FA53" i="23"/>
  <c r="FB53" i="23"/>
  <c r="FC53" i="23"/>
  <c r="FD53" i="23"/>
  <c r="FE53" i="23"/>
  <c r="FF53" i="23"/>
  <c r="FG53" i="23"/>
  <c r="FH53" i="23"/>
  <c r="FI53" i="23"/>
  <c r="FJ53" i="23"/>
  <c r="FK53" i="23"/>
  <c r="FL53" i="23"/>
  <c r="FM53" i="23"/>
  <c r="FN53" i="23"/>
  <c r="FO53" i="23"/>
  <c r="FP53" i="23"/>
  <c r="FQ53" i="23"/>
  <c r="FR53" i="23"/>
  <c r="FS53" i="23"/>
  <c r="FT53" i="23"/>
  <c r="FU53" i="23"/>
  <c r="FV53" i="23"/>
  <c r="FW53" i="23"/>
  <c r="FX53" i="23"/>
  <c r="FY53" i="23"/>
  <c r="FZ53" i="23"/>
  <c r="GA53" i="23"/>
  <c r="GB53" i="23"/>
  <c r="GC53" i="23"/>
  <c r="GD53" i="23"/>
  <c r="GE53" i="23"/>
  <c r="GF53" i="23"/>
  <c r="GG53" i="23"/>
  <c r="GH53" i="23"/>
  <c r="GI53" i="23"/>
  <c r="GJ53" i="23"/>
  <c r="GK53" i="23"/>
  <c r="GL53" i="23"/>
  <c r="GM53" i="23"/>
  <c r="GN53" i="23"/>
  <c r="GO53" i="23"/>
  <c r="GP53" i="23"/>
  <c r="GQ53" i="23"/>
  <c r="GR53" i="23"/>
  <c r="GS53" i="23"/>
  <c r="GT53" i="23"/>
  <c r="GU53" i="23"/>
  <c r="GV53" i="23"/>
  <c r="GW53" i="23"/>
  <c r="GX53" i="23"/>
  <c r="GY53" i="23"/>
  <c r="GZ53" i="23"/>
  <c r="HA53" i="23"/>
  <c r="HB53" i="23"/>
  <c r="HC53" i="23"/>
  <c r="HD53" i="23"/>
  <c r="HE53" i="23"/>
  <c r="HF53" i="23"/>
  <c r="HG53" i="23"/>
  <c r="HH53" i="23"/>
  <c r="HI53" i="23"/>
  <c r="HJ53" i="23"/>
  <c r="HK53" i="23"/>
  <c r="HL53" i="23"/>
  <c r="HM53" i="23"/>
  <c r="HN53" i="23"/>
  <c r="HO53" i="23"/>
  <c r="HP53" i="23"/>
  <c r="HQ53" i="23"/>
  <c r="HR53" i="23"/>
  <c r="HS53" i="23"/>
  <c r="HT53" i="23"/>
  <c r="HU53" i="23"/>
  <c r="HV53" i="23"/>
  <c r="HW53" i="23"/>
  <c r="HX53" i="23"/>
  <c r="HY53" i="23"/>
  <c r="HZ53" i="23"/>
  <c r="IA53" i="23"/>
  <c r="IB53" i="23"/>
  <c r="IC53" i="23"/>
  <c r="ID53" i="23"/>
  <c r="IE53" i="23"/>
  <c r="IF53" i="23"/>
  <c r="IG53" i="23"/>
  <c r="IH53" i="23"/>
  <c r="II53" i="23"/>
  <c r="IJ53" i="23"/>
  <c r="IK53" i="23"/>
  <c r="IL53" i="23"/>
  <c r="IM53" i="23"/>
  <c r="IN53" i="23"/>
  <c r="IO53" i="23"/>
  <c r="IP53" i="23"/>
  <c r="IQ53" i="23"/>
  <c r="IR53" i="23"/>
  <c r="IS53" i="23"/>
  <c r="IT53" i="23"/>
  <c r="IU53" i="23"/>
  <c r="IV53" i="23"/>
  <c r="A52" i="23"/>
  <c r="B52" i="23"/>
  <c r="C52" i="23"/>
  <c r="D52" i="23"/>
  <c r="E52" i="23"/>
  <c r="F52" i="23"/>
  <c r="G52" i="23"/>
  <c r="H52" i="23"/>
  <c r="I52" i="23"/>
  <c r="J52" i="23"/>
  <c r="K52" i="23"/>
  <c r="L52" i="23"/>
  <c r="M52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Z52" i="23"/>
  <c r="AA52" i="23"/>
  <c r="AB52" i="23"/>
  <c r="AC52" i="23"/>
  <c r="AD52" i="23"/>
  <c r="AE52" i="23"/>
  <c r="AF52" i="23"/>
  <c r="AG52" i="23"/>
  <c r="AH52" i="23"/>
  <c r="AI52" i="23"/>
  <c r="AJ52" i="23"/>
  <c r="AK52" i="23"/>
  <c r="AL52" i="23"/>
  <c r="AM52" i="23"/>
  <c r="AN52" i="23"/>
  <c r="AO52" i="23"/>
  <c r="AP52" i="23"/>
  <c r="AQ52" i="23"/>
  <c r="AR52" i="23"/>
  <c r="AS52" i="23"/>
  <c r="AT52" i="23"/>
  <c r="AU52" i="23"/>
  <c r="AV52" i="23"/>
  <c r="AW52" i="23"/>
  <c r="AX52" i="23"/>
  <c r="AY52" i="23"/>
  <c r="AZ52" i="23"/>
  <c r="BA52" i="23"/>
  <c r="BB52" i="23"/>
  <c r="BC52" i="23"/>
  <c r="BD52" i="23"/>
  <c r="BE52" i="23"/>
  <c r="BF52" i="23"/>
  <c r="BG52" i="23"/>
  <c r="BH52" i="23"/>
  <c r="BI52" i="23"/>
  <c r="BJ52" i="23"/>
  <c r="BK52" i="23"/>
  <c r="BL52" i="23"/>
  <c r="BM52" i="23"/>
  <c r="BN52" i="23"/>
  <c r="BO52" i="23"/>
  <c r="BP52" i="23"/>
  <c r="BQ52" i="23"/>
  <c r="BR52" i="23"/>
  <c r="BS52" i="23"/>
  <c r="BT52" i="23"/>
  <c r="BU52" i="23"/>
  <c r="BV52" i="23"/>
  <c r="BW52" i="23"/>
  <c r="BX52" i="23"/>
  <c r="BY52" i="23"/>
  <c r="BZ52" i="23"/>
  <c r="CA52" i="23"/>
  <c r="CB52" i="23"/>
  <c r="CC52" i="23"/>
  <c r="CD52" i="23"/>
  <c r="CE52" i="23"/>
  <c r="CF52" i="23"/>
  <c r="CG52" i="23"/>
  <c r="CH52" i="23"/>
  <c r="CI52" i="23"/>
  <c r="CJ52" i="23"/>
  <c r="CK52" i="23"/>
  <c r="CL52" i="23"/>
  <c r="CM52" i="23"/>
  <c r="CN52" i="23"/>
  <c r="CO52" i="23"/>
  <c r="CP52" i="23"/>
  <c r="CQ52" i="23"/>
  <c r="CR52" i="23"/>
  <c r="CS52" i="23"/>
  <c r="CT52" i="23"/>
  <c r="CU52" i="23"/>
  <c r="CV52" i="23"/>
  <c r="CW52" i="23"/>
  <c r="CX52" i="23"/>
  <c r="CY52" i="23"/>
  <c r="CZ52" i="23"/>
  <c r="DA52" i="23"/>
  <c r="DB52" i="23"/>
  <c r="DC52" i="23"/>
  <c r="DD52" i="23"/>
  <c r="DE52" i="23"/>
  <c r="DF52" i="23"/>
  <c r="DG52" i="23"/>
  <c r="DH52" i="23"/>
  <c r="DI52" i="23"/>
  <c r="DJ52" i="23"/>
  <c r="DK52" i="23"/>
  <c r="DL52" i="23"/>
  <c r="DM52" i="23"/>
  <c r="DN52" i="23"/>
  <c r="DO52" i="23"/>
  <c r="DP52" i="23"/>
  <c r="DQ52" i="23"/>
  <c r="DR52" i="23"/>
  <c r="DS52" i="23"/>
  <c r="DT52" i="23"/>
  <c r="DU52" i="23"/>
  <c r="DV52" i="23"/>
  <c r="DW52" i="23"/>
  <c r="DX52" i="23"/>
  <c r="DY52" i="23"/>
  <c r="DZ52" i="23"/>
  <c r="EA52" i="23"/>
  <c r="EB52" i="23"/>
  <c r="EC52" i="23"/>
  <c r="ED52" i="23"/>
  <c r="EE52" i="23"/>
  <c r="EF52" i="23"/>
  <c r="EG52" i="23"/>
  <c r="EH52" i="23"/>
  <c r="EI52" i="23"/>
  <c r="EJ52" i="23"/>
  <c r="EK52" i="23"/>
  <c r="EL52" i="23"/>
  <c r="EM52" i="23"/>
  <c r="EN52" i="23"/>
  <c r="EO52" i="23"/>
  <c r="EP52" i="23"/>
  <c r="EQ52" i="23"/>
  <c r="ER52" i="23"/>
  <c r="ES52" i="23"/>
  <c r="ET52" i="23"/>
  <c r="EU52" i="23"/>
  <c r="EV52" i="23"/>
  <c r="EW52" i="23"/>
  <c r="EX52" i="23"/>
  <c r="EY52" i="23"/>
  <c r="EZ52" i="23"/>
  <c r="FA52" i="23"/>
  <c r="FB52" i="23"/>
  <c r="FC52" i="23"/>
  <c r="FD52" i="23"/>
  <c r="FE52" i="23"/>
  <c r="FF52" i="23"/>
  <c r="FG52" i="23"/>
  <c r="FH52" i="23"/>
  <c r="FI52" i="23"/>
  <c r="FJ52" i="23"/>
  <c r="FK52" i="23"/>
  <c r="FL52" i="23"/>
  <c r="FM52" i="23"/>
  <c r="FN52" i="23"/>
  <c r="FO52" i="23"/>
  <c r="FP52" i="23"/>
  <c r="FQ52" i="23"/>
  <c r="FR52" i="23"/>
  <c r="FS52" i="23"/>
  <c r="FT52" i="23"/>
  <c r="FU52" i="23"/>
  <c r="FV52" i="23"/>
  <c r="FW52" i="23"/>
  <c r="FX52" i="23"/>
  <c r="FY52" i="23"/>
  <c r="FZ52" i="23"/>
  <c r="GA52" i="23"/>
  <c r="GB52" i="23"/>
  <c r="GC52" i="23"/>
  <c r="GD52" i="23"/>
  <c r="GE52" i="23"/>
  <c r="GF52" i="23"/>
  <c r="GG52" i="23"/>
  <c r="GH52" i="23"/>
  <c r="GI52" i="23"/>
  <c r="GJ52" i="23"/>
  <c r="GK52" i="23"/>
  <c r="GL52" i="23"/>
  <c r="GM52" i="23"/>
  <c r="GN52" i="23"/>
  <c r="GO52" i="23"/>
  <c r="GP52" i="23"/>
  <c r="GQ52" i="23"/>
  <c r="GR52" i="23"/>
  <c r="GS52" i="23"/>
  <c r="GT52" i="23"/>
  <c r="GU52" i="23"/>
  <c r="GV52" i="23"/>
  <c r="GW52" i="23"/>
  <c r="GX52" i="23"/>
  <c r="GY52" i="23"/>
  <c r="GZ52" i="23"/>
  <c r="HA52" i="23"/>
  <c r="HB52" i="23"/>
  <c r="HC52" i="23"/>
  <c r="HD52" i="23"/>
  <c r="HE52" i="23"/>
  <c r="HF52" i="23"/>
  <c r="HG52" i="23"/>
  <c r="HH52" i="23"/>
  <c r="HI52" i="23"/>
  <c r="HJ52" i="23"/>
  <c r="HK52" i="23"/>
  <c r="HL52" i="23"/>
  <c r="HM52" i="23"/>
  <c r="HN52" i="23"/>
  <c r="HO52" i="23"/>
  <c r="HP52" i="23"/>
  <c r="HQ52" i="23"/>
  <c r="HR52" i="23"/>
  <c r="HS52" i="23"/>
  <c r="HT52" i="23"/>
  <c r="HU52" i="23"/>
  <c r="HV52" i="23"/>
  <c r="HW52" i="23"/>
  <c r="HX52" i="23"/>
  <c r="HY52" i="23"/>
  <c r="HZ52" i="23"/>
  <c r="IA52" i="23"/>
  <c r="IB52" i="23"/>
  <c r="IC52" i="23"/>
  <c r="ID52" i="23"/>
  <c r="IE52" i="23"/>
  <c r="IF52" i="23"/>
  <c r="IG52" i="23"/>
  <c r="IH52" i="23"/>
  <c r="II52" i="23"/>
  <c r="IJ52" i="23"/>
  <c r="IK52" i="23"/>
  <c r="IL52" i="23"/>
  <c r="IM52" i="23"/>
  <c r="IN52" i="23"/>
  <c r="IO52" i="23"/>
  <c r="IP52" i="23"/>
  <c r="IQ52" i="23"/>
  <c r="IR52" i="23"/>
  <c r="IS52" i="23"/>
  <c r="IT52" i="23"/>
  <c r="IU52" i="23"/>
  <c r="IV52" i="23"/>
  <c r="A51" i="23"/>
  <c r="B51" i="23"/>
  <c r="C51" i="23"/>
  <c r="D51" i="23"/>
  <c r="E51" i="23"/>
  <c r="F51" i="23"/>
  <c r="G51" i="23"/>
  <c r="H51" i="23"/>
  <c r="I51" i="23"/>
  <c r="J51" i="23"/>
  <c r="K51" i="23"/>
  <c r="L51" i="23"/>
  <c r="M51" i="23"/>
  <c r="N51" i="23"/>
  <c r="O51" i="23"/>
  <c r="P51" i="23"/>
  <c r="Q51" i="23"/>
  <c r="R51" i="23"/>
  <c r="S51" i="23"/>
  <c r="T51" i="23"/>
  <c r="U51" i="23"/>
  <c r="V51" i="23"/>
  <c r="W51" i="23"/>
  <c r="X51" i="23"/>
  <c r="Y51" i="23"/>
  <c r="Z51" i="23"/>
  <c r="AA51" i="23"/>
  <c r="AB51" i="23"/>
  <c r="AC51" i="23"/>
  <c r="AD51" i="23"/>
  <c r="AE51" i="23"/>
  <c r="AF51" i="23"/>
  <c r="AG51" i="23"/>
  <c r="AH51" i="23"/>
  <c r="AI51" i="23"/>
  <c r="AJ51" i="23"/>
  <c r="AK51" i="23"/>
  <c r="AL51" i="23"/>
  <c r="AM51" i="23"/>
  <c r="AN51" i="23"/>
  <c r="AO51" i="23"/>
  <c r="AP51" i="23"/>
  <c r="AQ51" i="23"/>
  <c r="AR51" i="23"/>
  <c r="AS51" i="23"/>
  <c r="AT51" i="23"/>
  <c r="AU51" i="23"/>
  <c r="AV51" i="23"/>
  <c r="AW51" i="23"/>
  <c r="AX51" i="23"/>
  <c r="AY51" i="23"/>
  <c r="AZ51" i="23"/>
  <c r="BA51" i="23"/>
  <c r="BB51" i="23"/>
  <c r="BC51" i="23"/>
  <c r="BD51" i="23"/>
  <c r="BE51" i="23"/>
  <c r="BF51" i="23"/>
  <c r="BG51" i="23"/>
  <c r="BH51" i="23"/>
  <c r="BI51" i="23"/>
  <c r="BJ51" i="23"/>
  <c r="BK51" i="23"/>
  <c r="BL51" i="23"/>
  <c r="BM51" i="23"/>
  <c r="BN51" i="23"/>
  <c r="BO51" i="23"/>
  <c r="BP51" i="23"/>
  <c r="BQ51" i="23"/>
  <c r="BR51" i="23"/>
  <c r="BS51" i="23"/>
  <c r="BT51" i="23"/>
  <c r="BU51" i="23"/>
  <c r="BV51" i="23"/>
  <c r="BW51" i="23"/>
  <c r="BX51" i="23"/>
  <c r="BY51" i="23"/>
  <c r="BZ51" i="23"/>
  <c r="CA51" i="23"/>
  <c r="CB51" i="23"/>
  <c r="CC51" i="23"/>
  <c r="CD51" i="23"/>
  <c r="CE51" i="23"/>
  <c r="CF51" i="23"/>
  <c r="CG51" i="23"/>
  <c r="CH51" i="23"/>
  <c r="CI51" i="23"/>
  <c r="CJ51" i="23"/>
  <c r="CK51" i="23"/>
  <c r="CL51" i="23"/>
  <c r="CM51" i="23"/>
  <c r="CN51" i="23"/>
  <c r="CO51" i="23"/>
  <c r="CP51" i="23"/>
  <c r="CQ51" i="23"/>
  <c r="CR51" i="23"/>
  <c r="CS51" i="23"/>
  <c r="CT51" i="23"/>
  <c r="CU51" i="23"/>
  <c r="CV51" i="23"/>
  <c r="CW51" i="23"/>
  <c r="CX51" i="23"/>
  <c r="CY51" i="23"/>
  <c r="CZ51" i="23"/>
  <c r="DA51" i="23"/>
  <c r="DB51" i="23"/>
  <c r="DC51" i="23"/>
  <c r="DD51" i="23"/>
  <c r="DE51" i="23"/>
  <c r="DF51" i="23"/>
  <c r="DG51" i="23"/>
  <c r="DH51" i="23"/>
  <c r="DI51" i="23"/>
  <c r="DJ51" i="23"/>
  <c r="DK51" i="23"/>
  <c r="DL51" i="23"/>
  <c r="DM51" i="23"/>
  <c r="DN51" i="23"/>
  <c r="DO51" i="23"/>
  <c r="DP51" i="23"/>
  <c r="DQ51" i="23"/>
  <c r="DR51" i="23"/>
  <c r="DS51" i="23"/>
  <c r="DT51" i="23"/>
  <c r="DU51" i="23"/>
  <c r="DV51" i="23"/>
  <c r="DW51" i="23"/>
  <c r="DX51" i="23"/>
  <c r="DY51" i="23"/>
  <c r="DZ51" i="23"/>
  <c r="EA51" i="23"/>
  <c r="EB51" i="23"/>
  <c r="EC51" i="23"/>
  <c r="ED51" i="23"/>
  <c r="EE51" i="23"/>
  <c r="EF51" i="23"/>
  <c r="EG51" i="23"/>
  <c r="EH51" i="23"/>
  <c r="EI51" i="23"/>
  <c r="EJ51" i="23"/>
  <c r="EK51" i="23"/>
  <c r="EL51" i="23"/>
  <c r="EM51" i="23"/>
  <c r="EN51" i="23"/>
  <c r="EO51" i="23"/>
  <c r="EP51" i="23"/>
  <c r="EQ51" i="23"/>
  <c r="ER51" i="23"/>
  <c r="ES51" i="23"/>
  <c r="ET51" i="23"/>
  <c r="EU51" i="23"/>
  <c r="EV51" i="23"/>
  <c r="EW51" i="23"/>
  <c r="EX51" i="23"/>
  <c r="EY51" i="23"/>
  <c r="EZ51" i="23"/>
  <c r="FA51" i="23"/>
  <c r="FB51" i="23"/>
  <c r="FC51" i="23"/>
  <c r="FD51" i="23"/>
  <c r="FE51" i="23"/>
  <c r="FF51" i="23"/>
  <c r="FG51" i="23"/>
  <c r="FH51" i="23"/>
  <c r="FI51" i="23"/>
  <c r="FJ51" i="23"/>
  <c r="FK51" i="23"/>
  <c r="FL51" i="23"/>
  <c r="FM51" i="23"/>
  <c r="FN51" i="23"/>
  <c r="FO51" i="23"/>
  <c r="FP51" i="23"/>
  <c r="FQ51" i="23"/>
  <c r="FR51" i="23"/>
  <c r="FS51" i="23"/>
  <c r="FT51" i="23"/>
  <c r="FU51" i="23"/>
  <c r="FV51" i="23"/>
  <c r="FW51" i="23"/>
  <c r="FX51" i="23"/>
  <c r="FY51" i="23"/>
  <c r="FZ51" i="23"/>
  <c r="GA51" i="23"/>
  <c r="GB51" i="23"/>
  <c r="GC51" i="23"/>
  <c r="GD51" i="23"/>
  <c r="GE51" i="23"/>
  <c r="GF51" i="23"/>
  <c r="GG51" i="23"/>
  <c r="GH51" i="23"/>
  <c r="GI51" i="23"/>
  <c r="GJ51" i="23"/>
  <c r="GK51" i="23"/>
  <c r="GL51" i="23"/>
  <c r="GM51" i="23"/>
  <c r="GN51" i="23"/>
  <c r="GO51" i="23"/>
  <c r="GP51" i="23"/>
  <c r="GQ51" i="23"/>
  <c r="GR51" i="23"/>
  <c r="GS51" i="23"/>
  <c r="GT51" i="23"/>
  <c r="GU51" i="23"/>
  <c r="GV51" i="23"/>
  <c r="GW51" i="23"/>
  <c r="GX51" i="23"/>
  <c r="GY51" i="23"/>
  <c r="GZ51" i="23"/>
  <c r="HA51" i="23"/>
  <c r="HB51" i="23"/>
  <c r="HC51" i="23"/>
  <c r="HD51" i="23"/>
  <c r="HE51" i="23"/>
  <c r="HF51" i="23"/>
  <c r="HG51" i="23"/>
  <c r="HH51" i="23"/>
  <c r="HI51" i="23"/>
  <c r="HJ51" i="23"/>
  <c r="HK51" i="23"/>
  <c r="HL51" i="23"/>
  <c r="HM51" i="23"/>
  <c r="HN51" i="23"/>
  <c r="HO51" i="23"/>
  <c r="HP51" i="23"/>
  <c r="HQ51" i="23"/>
  <c r="HR51" i="23"/>
  <c r="HS51" i="23"/>
  <c r="HT51" i="23"/>
  <c r="HU51" i="23"/>
  <c r="HV51" i="23"/>
  <c r="HW51" i="23"/>
  <c r="HX51" i="23"/>
  <c r="HY51" i="23"/>
  <c r="HZ51" i="23"/>
  <c r="IA51" i="23"/>
  <c r="IB51" i="23"/>
  <c r="IC51" i="23"/>
  <c r="ID51" i="23"/>
  <c r="IE51" i="23"/>
  <c r="IF51" i="23"/>
  <c r="IG51" i="23"/>
  <c r="IH51" i="23"/>
  <c r="II51" i="23"/>
  <c r="IJ51" i="23"/>
  <c r="IK51" i="23"/>
  <c r="IL51" i="23"/>
  <c r="IM51" i="23"/>
  <c r="IN51" i="23"/>
  <c r="IO51" i="23"/>
  <c r="IP51" i="23"/>
  <c r="IQ51" i="23"/>
  <c r="IR51" i="23"/>
  <c r="IS51" i="23"/>
  <c r="IT51" i="23"/>
  <c r="IU51" i="23"/>
  <c r="IV51" i="23"/>
  <c r="A50" i="23"/>
  <c r="B50" i="23"/>
  <c r="C50" i="23"/>
  <c r="D50" i="23"/>
  <c r="E50" i="23"/>
  <c r="F50" i="23"/>
  <c r="G50" i="23"/>
  <c r="H50" i="23"/>
  <c r="I50" i="23"/>
  <c r="J50" i="23"/>
  <c r="K50" i="23"/>
  <c r="L50" i="23"/>
  <c r="M50" i="23"/>
  <c r="N50" i="23"/>
  <c r="O50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AE50" i="23"/>
  <c r="AF50" i="23"/>
  <c r="AG50" i="23"/>
  <c r="AH50" i="23"/>
  <c r="AI50" i="23"/>
  <c r="AJ50" i="23"/>
  <c r="AK50" i="23"/>
  <c r="AL50" i="23"/>
  <c r="AM50" i="23"/>
  <c r="AN50" i="23"/>
  <c r="AO50" i="23"/>
  <c r="AP50" i="23"/>
  <c r="AQ50" i="23"/>
  <c r="AR50" i="23"/>
  <c r="AS50" i="23"/>
  <c r="AT50" i="23"/>
  <c r="AU50" i="23"/>
  <c r="AV50" i="23"/>
  <c r="AW50" i="23"/>
  <c r="AX50" i="23"/>
  <c r="AY50" i="23"/>
  <c r="AZ50" i="23"/>
  <c r="BA50" i="23"/>
  <c r="BB50" i="23"/>
  <c r="BC50" i="23"/>
  <c r="BD50" i="23"/>
  <c r="BE50" i="23"/>
  <c r="BF50" i="23"/>
  <c r="BG50" i="23"/>
  <c r="BH50" i="23"/>
  <c r="BI50" i="23"/>
  <c r="BJ50" i="23"/>
  <c r="BK50" i="23"/>
  <c r="BL50" i="23"/>
  <c r="BM50" i="23"/>
  <c r="BN50" i="23"/>
  <c r="BO50" i="23"/>
  <c r="BP50" i="23"/>
  <c r="BQ50" i="23"/>
  <c r="BR50" i="23"/>
  <c r="BS50" i="23"/>
  <c r="BT50" i="23"/>
  <c r="BU50" i="23"/>
  <c r="BV50" i="23"/>
  <c r="BW50" i="23"/>
  <c r="BX50" i="23"/>
  <c r="BY50" i="23"/>
  <c r="BZ50" i="23"/>
  <c r="CA50" i="23"/>
  <c r="CB50" i="23"/>
  <c r="CC50" i="23"/>
  <c r="CD50" i="23"/>
  <c r="CE50" i="23"/>
  <c r="CF50" i="23"/>
  <c r="CG50" i="23"/>
  <c r="CH50" i="23"/>
  <c r="CI50" i="23"/>
  <c r="CJ50" i="23"/>
  <c r="CK50" i="23"/>
  <c r="CL50" i="23"/>
  <c r="CM50" i="23"/>
  <c r="CN50" i="23"/>
  <c r="CO50" i="23"/>
  <c r="CP50" i="23"/>
  <c r="CQ50" i="23"/>
  <c r="CR50" i="23"/>
  <c r="CS50" i="23"/>
  <c r="CT50" i="23"/>
  <c r="CU50" i="23"/>
  <c r="CV50" i="23"/>
  <c r="CW50" i="23"/>
  <c r="CX50" i="23"/>
  <c r="CY50" i="23"/>
  <c r="CZ50" i="23"/>
  <c r="DA50" i="23"/>
  <c r="DB50" i="23"/>
  <c r="DC50" i="23"/>
  <c r="DD50" i="23"/>
  <c r="DE50" i="23"/>
  <c r="DF50" i="23"/>
  <c r="DG50" i="23"/>
  <c r="DH50" i="23"/>
  <c r="DI50" i="23"/>
  <c r="DJ50" i="23"/>
  <c r="DK50" i="23"/>
  <c r="DL50" i="23"/>
  <c r="DM50" i="23"/>
  <c r="DN50" i="23"/>
  <c r="DO50" i="23"/>
  <c r="DP50" i="23"/>
  <c r="DQ50" i="23"/>
  <c r="DR50" i="23"/>
  <c r="DS50" i="23"/>
  <c r="DT50" i="23"/>
  <c r="DU50" i="23"/>
  <c r="DV50" i="23"/>
  <c r="DW50" i="23"/>
  <c r="DX50" i="23"/>
  <c r="DY50" i="23"/>
  <c r="DZ50" i="23"/>
  <c r="EA50" i="23"/>
  <c r="EB50" i="23"/>
  <c r="EC50" i="23"/>
  <c r="ED50" i="23"/>
  <c r="EE50" i="23"/>
  <c r="EF50" i="23"/>
  <c r="EG50" i="23"/>
  <c r="EH50" i="23"/>
  <c r="EI50" i="23"/>
  <c r="EJ50" i="23"/>
  <c r="EK50" i="23"/>
  <c r="EL50" i="23"/>
  <c r="EM50" i="23"/>
  <c r="EN50" i="23"/>
  <c r="EO50" i="23"/>
  <c r="EP50" i="23"/>
  <c r="EQ50" i="23"/>
  <c r="ER50" i="23"/>
  <c r="ES50" i="23"/>
  <c r="ET50" i="23"/>
  <c r="EU50" i="23"/>
  <c r="EV50" i="23"/>
  <c r="EW50" i="23"/>
  <c r="EX50" i="23"/>
  <c r="EY50" i="23"/>
  <c r="EZ50" i="23"/>
  <c r="FA50" i="23"/>
  <c r="FB50" i="23"/>
  <c r="FC50" i="23"/>
  <c r="FD50" i="23"/>
  <c r="FE50" i="23"/>
  <c r="FF50" i="23"/>
  <c r="FG50" i="23"/>
  <c r="FH50" i="23"/>
  <c r="FI50" i="23"/>
  <c r="FJ50" i="23"/>
  <c r="FK50" i="23"/>
  <c r="FL50" i="23"/>
  <c r="FM50" i="23"/>
  <c r="FN50" i="23"/>
  <c r="FO50" i="23"/>
  <c r="FP50" i="23"/>
  <c r="FQ50" i="23"/>
  <c r="FR50" i="23"/>
  <c r="FS50" i="23"/>
  <c r="FT50" i="23"/>
  <c r="FU50" i="23"/>
  <c r="FV50" i="23"/>
  <c r="FW50" i="23"/>
  <c r="FX50" i="23"/>
  <c r="FY50" i="23"/>
  <c r="FZ50" i="23"/>
  <c r="GA50" i="23"/>
  <c r="GB50" i="23"/>
  <c r="GC50" i="23"/>
  <c r="GD50" i="23"/>
  <c r="GE50" i="23"/>
  <c r="GF50" i="23"/>
  <c r="GG50" i="23"/>
  <c r="GH50" i="23"/>
  <c r="GI50" i="23"/>
  <c r="GJ50" i="23"/>
  <c r="GK50" i="23"/>
  <c r="GL50" i="23"/>
  <c r="GM50" i="23"/>
  <c r="GN50" i="23"/>
  <c r="GO50" i="23"/>
  <c r="GP50" i="23"/>
  <c r="GQ50" i="23"/>
  <c r="GR50" i="23"/>
  <c r="GS50" i="23"/>
  <c r="GT50" i="23"/>
  <c r="GU50" i="23"/>
  <c r="GV50" i="23"/>
  <c r="GW50" i="23"/>
  <c r="GX50" i="23"/>
  <c r="GY50" i="23"/>
  <c r="GZ50" i="23"/>
  <c r="HA50" i="23"/>
  <c r="HB50" i="23"/>
  <c r="HC50" i="23"/>
  <c r="HD50" i="23"/>
  <c r="HE50" i="23"/>
  <c r="HF50" i="23"/>
  <c r="HG50" i="23"/>
  <c r="HH50" i="23"/>
  <c r="HI50" i="23"/>
  <c r="HJ50" i="23"/>
  <c r="HK50" i="23"/>
  <c r="HL50" i="23"/>
  <c r="HM50" i="23"/>
  <c r="HN50" i="23"/>
  <c r="HO50" i="23"/>
  <c r="HP50" i="23"/>
  <c r="HQ50" i="23"/>
  <c r="HR50" i="23"/>
  <c r="HS50" i="23"/>
  <c r="HT50" i="23"/>
  <c r="HU50" i="23"/>
  <c r="HV50" i="23"/>
  <c r="HW50" i="23"/>
  <c r="HX50" i="23"/>
  <c r="HY50" i="23"/>
  <c r="HZ50" i="23"/>
  <c r="IA50" i="23"/>
  <c r="IB50" i="23"/>
  <c r="IC50" i="23"/>
  <c r="ID50" i="23"/>
  <c r="IE50" i="23"/>
  <c r="IF50" i="23"/>
  <c r="IG50" i="23"/>
  <c r="IH50" i="23"/>
  <c r="II50" i="23"/>
  <c r="IJ50" i="23"/>
  <c r="IK50" i="23"/>
  <c r="IL50" i="23"/>
  <c r="IM50" i="23"/>
  <c r="IN50" i="23"/>
  <c r="IO50" i="23"/>
  <c r="IP50" i="23"/>
  <c r="IQ50" i="23"/>
  <c r="IR50" i="23"/>
  <c r="IS50" i="23"/>
  <c r="IT50" i="23"/>
  <c r="IU50" i="23"/>
  <c r="IV50" i="23"/>
  <c r="A49" i="23"/>
  <c r="B49" i="23"/>
  <c r="C49" i="23"/>
  <c r="D49" i="23"/>
  <c r="E49" i="23"/>
  <c r="F49" i="23"/>
  <c r="G49" i="23"/>
  <c r="H49" i="23"/>
  <c r="I49" i="23"/>
  <c r="J49" i="23"/>
  <c r="K49" i="23"/>
  <c r="L49" i="23"/>
  <c r="M49" i="23"/>
  <c r="N49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AE49" i="23"/>
  <c r="AF49" i="23"/>
  <c r="AG49" i="23"/>
  <c r="AH49" i="23"/>
  <c r="AI49" i="23"/>
  <c r="AJ49" i="23"/>
  <c r="AK49" i="23"/>
  <c r="AL49" i="23"/>
  <c r="AM49" i="23"/>
  <c r="AN49" i="23"/>
  <c r="AO49" i="23"/>
  <c r="AP49" i="23"/>
  <c r="AQ49" i="23"/>
  <c r="AR49" i="23"/>
  <c r="AS49" i="23"/>
  <c r="AT49" i="23"/>
  <c r="AU49" i="23"/>
  <c r="AV49" i="23"/>
  <c r="AW49" i="23"/>
  <c r="AX49" i="23"/>
  <c r="AY49" i="23"/>
  <c r="AZ49" i="23"/>
  <c r="BA49" i="23"/>
  <c r="BB49" i="23"/>
  <c r="BC49" i="23"/>
  <c r="BD49" i="23"/>
  <c r="BE49" i="23"/>
  <c r="BF49" i="23"/>
  <c r="BG49" i="23"/>
  <c r="BH49" i="23"/>
  <c r="BI49" i="23"/>
  <c r="BJ49" i="23"/>
  <c r="BK49" i="23"/>
  <c r="BL49" i="23"/>
  <c r="BM49" i="23"/>
  <c r="BN49" i="23"/>
  <c r="BO49" i="23"/>
  <c r="BP49" i="23"/>
  <c r="BQ49" i="23"/>
  <c r="BR49" i="23"/>
  <c r="BS49" i="23"/>
  <c r="BT49" i="23"/>
  <c r="BU49" i="23"/>
  <c r="BV49" i="23"/>
  <c r="BW49" i="23"/>
  <c r="BX49" i="23"/>
  <c r="BY49" i="23"/>
  <c r="BZ49" i="23"/>
  <c r="CA49" i="23"/>
  <c r="CB49" i="23"/>
  <c r="CC49" i="23"/>
  <c r="CD49" i="23"/>
  <c r="CE49" i="23"/>
  <c r="CF49" i="23"/>
  <c r="CG49" i="23"/>
  <c r="CH49" i="23"/>
  <c r="CI49" i="23"/>
  <c r="CJ49" i="23"/>
  <c r="CK49" i="23"/>
  <c r="CL49" i="23"/>
  <c r="CM49" i="23"/>
  <c r="CN49" i="23"/>
  <c r="CO49" i="23"/>
  <c r="CP49" i="23"/>
  <c r="CQ49" i="23"/>
  <c r="CR49" i="23"/>
  <c r="CS49" i="23"/>
  <c r="CT49" i="23"/>
  <c r="CU49" i="23"/>
  <c r="CV49" i="23"/>
  <c r="CW49" i="23"/>
  <c r="CX49" i="23"/>
  <c r="CY49" i="23"/>
  <c r="CZ49" i="23"/>
  <c r="DA49" i="23"/>
  <c r="DB49" i="23"/>
  <c r="DC49" i="23"/>
  <c r="DD49" i="23"/>
  <c r="DE49" i="23"/>
  <c r="DF49" i="23"/>
  <c r="DG49" i="23"/>
  <c r="DH49" i="23"/>
  <c r="DI49" i="23"/>
  <c r="DJ49" i="23"/>
  <c r="DK49" i="23"/>
  <c r="DL49" i="23"/>
  <c r="DM49" i="23"/>
  <c r="DN49" i="23"/>
  <c r="DO49" i="23"/>
  <c r="DP49" i="23"/>
  <c r="DQ49" i="23"/>
  <c r="DR49" i="23"/>
  <c r="DS49" i="23"/>
  <c r="DT49" i="23"/>
  <c r="DU49" i="23"/>
  <c r="DV49" i="23"/>
  <c r="DW49" i="23"/>
  <c r="DX49" i="23"/>
  <c r="DY49" i="23"/>
  <c r="DZ49" i="23"/>
  <c r="EA49" i="23"/>
  <c r="EB49" i="23"/>
  <c r="EC49" i="23"/>
  <c r="ED49" i="23"/>
  <c r="EE49" i="23"/>
  <c r="EF49" i="23"/>
  <c r="EG49" i="23"/>
  <c r="EH49" i="23"/>
  <c r="EI49" i="23"/>
  <c r="EJ49" i="23"/>
  <c r="EK49" i="23"/>
  <c r="EL49" i="23"/>
  <c r="EM49" i="23"/>
  <c r="EN49" i="23"/>
  <c r="EO49" i="23"/>
  <c r="EP49" i="23"/>
  <c r="EQ49" i="23"/>
  <c r="ER49" i="23"/>
  <c r="ES49" i="23"/>
  <c r="ET49" i="23"/>
  <c r="EU49" i="23"/>
  <c r="EV49" i="23"/>
  <c r="EW49" i="23"/>
  <c r="EX49" i="23"/>
  <c r="EY49" i="23"/>
  <c r="EZ49" i="23"/>
  <c r="FA49" i="23"/>
  <c r="FB49" i="23"/>
  <c r="FC49" i="23"/>
  <c r="FD49" i="23"/>
  <c r="FE49" i="23"/>
  <c r="FF49" i="23"/>
  <c r="FG49" i="23"/>
  <c r="FH49" i="23"/>
  <c r="FI49" i="23"/>
  <c r="FJ49" i="23"/>
  <c r="FK49" i="23"/>
  <c r="FL49" i="23"/>
  <c r="FM49" i="23"/>
  <c r="FN49" i="23"/>
  <c r="FO49" i="23"/>
  <c r="FP49" i="23"/>
  <c r="FQ49" i="23"/>
  <c r="FR49" i="23"/>
  <c r="FS49" i="23"/>
  <c r="FT49" i="23"/>
  <c r="FU49" i="23"/>
  <c r="FV49" i="23"/>
  <c r="FW49" i="23"/>
  <c r="FX49" i="23"/>
  <c r="FY49" i="23"/>
  <c r="FZ49" i="23"/>
  <c r="GA49" i="23"/>
  <c r="GB49" i="23"/>
  <c r="GC49" i="23"/>
  <c r="GD49" i="23"/>
  <c r="GE49" i="23"/>
  <c r="GF49" i="23"/>
  <c r="GG49" i="23"/>
  <c r="GH49" i="23"/>
  <c r="GI49" i="23"/>
  <c r="GJ49" i="23"/>
  <c r="GK49" i="23"/>
  <c r="GL49" i="23"/>
  <c r="GM49" i="23"/>
  <c r="GN49" i="23"/>
  <c r="GO49" i="23"/>
  <c r="GP49" i="23"/>
  <c r="GQ49" i="23"/>
  <c r="GR49" i="23"/>
  <c r="GS49" i="23"/>
  <c r="GT49" i="23"/>
  <c r="GU49" i="23"/>
  <c r="GV49" i="23"/>
  <c r="GW49" i="23"/>
  <c r="GX49" i="23"/>
  <c r="GY49" i="23"/>
  <c r="GZ49" i="23"/>
  <c r="HA49" i="23"/>
  <c r="HB49" i="23"/>
  <c r="HC49" i="23"/>
  <c r="HD49" i="23"/>
  <c r="HE49" i="23"/>
  <c r="HF49" i="23"/>
  <c r="HG49" i="23"/>
  <c r="HH49" i="23"/>
  <c r="HI49" i="23"/>
  <c r="HJ49" i="23"/>
  <c r="HK49" i="23"/>
  <c r="HL49" i="23"/>
  <c r="HM49" i="23"/>
  <c r="HN49" i="23"/>
  <c r="HO49" i="23"/>
  <c r="HP49" i="23"/>
  <c r="HQ49" i="23"/>
  <c r="HR49" i="23"/>
  <c r="HS49" i="23"/>
  <c r="HT49" i="23"/>
  <c r="HU49" i="23"/>
  <c r="HV49" i="23"/>
  <c r="HW49" i="23"/>
  <c r="HX49" i="23"/>
  <c r="HY49" i="23"/>
  <c r="HZ49" i="23"/>
  <c r="IA49" i="23"/>
  <c r="IB49" i="23"/>
  <c r="IC49" i="23"/>
  <c r="ID49" i="23"/>
  <c r="IE49" i="23"/>
  <c r="IF49" i="23"/>
  <c r="IG49" i="23"/>
  <c r="IH49" i="23"/>
  <c r="II49" i="23"/>
  <c r="IJ49" i="23"/>
  <c r="IK49" i="23"/>
  <c r="IL49" i="23"/>
  <c r="IM49" i="23"/>
  <c r="IN49" i="23"/>
  <c r="IO49" i="23"/>
  <c r="IP49" i="23"/>
  <c r="IQ49" i="23"/>
  <c r="IR49" i="23"/>
  <c r="IS49" i="23"/>
  <c r="IT49" i="23"/>
  <c r="IU49" i="23"/>
  <c r="IV49" i="23"/>
  <c r="A48" i="23"/>
  <c r="B48" i="23"/>
  <c r="C48" i="23"/>
  <c r="D48" i="23"/>
  <c r="E48" i="23"/>
  <c r="F48" i="23"/>
  <c r="G48" i="23"/>
  <c r="H48" i="23"/>
  <c r="I48" i="23"/>
  <c r="J48" i="23"/>
  <c r="K48" i="23"/>
  <c r="L48" i="23"/>
  <c r="M48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AC48" i="23"/>
  <c r="AD48" i="23"/>
  <c r="AE48" i="23"/>
  <c r="AF48" i="23"/>
  <c r="AG48" i="23"/>
  <c r="AH48" i="23"/>
  <c r="AI48" i="23"/>
  <c r="AJ48" i="23"/>
  <c r="AK48" i="23"/>
  <c r="AL48" i="23"/>
  <c r="AM48" i="23"/>
  <c r="AN48" i="23"/>
  <c r="AO48" i="23"/>
  <c r="AP48" i="23"/>
  <c r="AQ48" i="23"/>
  <c r="AR48" i="23"/>
  <c r="AS48" i="23"/>
  <c r="AT48" i="23"/>
  <c r="AU48" i="23"/>
  <c r="AV48" i="23"/>
  <c r="AW48" i="23"/>
  <c r="AX48" i="23"/>
  <c r="AY48" i="23"/>
  <c r="AZ48" i="23"/>
  <c r="BA48" i="23"/>
  <c r="BB48" i="23"/>
  <c r="BC48" i="23"/>
  <c r="BD48" i="23"/>
  <c r="BE48" i="23"/>
  <c r="BF48" i="23"/>
  <c r="BG48" i="23"/>
  <c r="BH48" i="23"/>
  <c r="BI48" i="23"/>
  <c r="BJ48" i="23"/>
  <c r="BK48" i="23"/>
  <c r="BL48" i="23"/>
  <c r="BM48" i="23"/>
  <c r="BN48" i="23"/>
  <c r="BO48" i="23"/>
  <c r="BP48" i="23"/>
  <c r="BQ48" i="23"/>
  <c r="BR48" i="23"/>
  <c r="BS48" i="23"/>
  <c r="BT48" i="23"/>
  <c r="BU48" i="23"/>
  <c r="BV48" i="23"/>
  <c r="BW48" i="23"/>
  <c r="BX48" i="23"/>
  <c r="BY48" i="23"/>
  <c r="BZ48" i="23"/>
  <c r="CA48" i="23"/>
  <c r="CB48" i="23"/>
  <c r="CC48" i="23"/>
  <c r="CD48" i="23"/>
  <c r="CE48" i="23"/>
  <c r="CF48" i="23"/>
  <c r="CG48" i="23"/>
  <c r="CH48" i="23"/>
  <c r="CI48" i="23"/>
  <c r="CJ48" i="23"/>
  <c r="CK48" i="23"/>
  <c r="CL48" i="23"/>
  <c r="CM48" i="23"/>
  <c r="CN48" i="23"/>
  <c r="CO48" i="23"/>
  <c r="CP48" i="23"/>
  <c r="CQ48" i="23"/>
  <c r="CR48" i="23"/>
  <c r="CS48" i="23"/>
  <c r="CT48" i="23"/>
  <c r="CU48" i="23"/>
  <c r="CV48" i="23"/>
  <c r="CW48" i="23"/>
  <c r="CX48" i="23"/>
  <c r="CY48" i="23"/>
  <c r="CZ48" i="23"/>
  <c r="DA48" i="23"/>
  <c r="DB48" i="23"/>
  <c r="DC48" i="23"/>
  <c r="DD48" i="23"/>
  <c r="DE48" i="23"/>
  <c r="DF48" i="23"/>
  <c r="DG48" i="23"/>
  <c r="DH48" i="23"/>
  <c r="DI48" i="23"/>
  <c r="DJ48" i="23"/>
  <c r="DK48" i="23"/>
  <c r="DL48" i="23"/>
  <c r="DM48" i="23"/>
  <c r="DN48" i="23"/>
  <c r="DO48" i="23"/>
  <c r="DP48" i="23"/>
  <c r="DQ48" i="23"/>
  <c r="DR48" i="23"/>
  <c r="DS48" i="23"/>
  <c r="DT48" i="23"/>
  <c r="DU48" i="23"/>
  <c r="DV48" i="23"/>
  <c r="DW48" i="23"/>
  <c r="DX48" i="23"/>
  <c r="DY48" i="23"/>
  <c r="DZ48" i="23"/>
  <c r="EA48" i="23"/>
  <c r="EB48" i="23"/>
  <c r="EC48" i="23"/>
  <c r="ED48" i="23"/>
  <c r="EE48" i="23"/>
  <c r="EF48" i="23"/>
  <c r="EG48" i="23"/>
  <c r="EH48" i="23"/>
  <c r="EI48" i="23"/>
  <c r="EJ48" i="23"/>
  <c r="EK48" i="23"/>
  <c r="EL48" i="23"/>
  <c r="EM48" i="23"/>
  <c r="EN48" i="23"/>
  <c r="EO48" i="23"/>
  <c r="EP48" i="23"/>
  <c r="EQ48" i="23"/>
  <c r="ER48" i="23"/>
  <c r="ES48" i="23"/>
  <c r="ET48" i="23"/>
  <c r="EU48" i="23"/>
  <c r="EV48" i="23"/>
  <c r="EW48" i="23"/>
  <c r="EX48" i="23"/>
  <c r="EY48" i="23"/>
  <c r="EZ48" i="23"/>
  <c r="FA48" i="23"/>
  <c r="FB48" i="23"/>
  <c r="FC48" i="23"/>
  <c r="FD48" i="23"/>
  <c r="FE48" i="23"/>
  <c r="FF48" i="23"/>
  <c r="FG48" i="23"/>
  <c r="FH48" i="23"/>
  <c r="FI48" i="23"/>
  <c r="FJ48" i="23"/>
  <c r="FK48" i="23"/>
  <c r="FL48" i="23"/>
  <c r="FM48" i="23"/>
  <c r="FN48" i="23"/>
  <c r="FO48" i="23"/>
  <c r="FP48" i="23"/>
  <c r="FQ48" i="23"/>
  <c r="FR48" i="23"/>
  <c r="FS48" i="23"/>
  <c r="FT48" i="23"/>
  <c r="FU48" i="23"/>
  <c r="FV48" i="23"/>
  <c r="FW48" i="23"/>
  <c r="FX48" i="23"/>
  <c r="FY48" i="23"/>
  <c r="FZ48" i="23"/>
  <c r="GA48" i="23"/>
  <c r="GB48" i="23"/>
  <c r="GC48" i="23"/>
  <c r="GD48" i="23"/>
  <c r="GE48" i="23"/>
  <c r="GF48" i="23"/>
  <c r="GG48" i="23"/>
  <c r="GH48" i="23"/>
  <c r="GI48" i="23"/>
  <c r="GJ48" i="23"/>
  <c r="GK48" i="23"/>
  <c r="GL48" i="23"/>
  <c r="GM48" i="23"/>
  <c r="GN48" i="23"/>
  <c r="GO48" i="23"/>
  <c r="GP48" i="23"/>
  <c r="GQ48" i="23"/>
  <c r="GR48" i="23"/>
  <c r="GS48" i="23"/>
  <c r="GT48" i="23"/>
  <c r="GU48" i="23"/>
  <c r="GV48" i="23"/>
  <c r="GW48" i="23"/>
  <c r="GX48" i="23"/>
  <c r="GY48" i="23"/>
  <c r="GZ48" i="23"/>
  <c r="HA48" i="23"/>
  <c r="HB48" i="23"/>
  <c r="HC48" i="23"/>
  <c r="HD48" i="23"/>
  <c r="HE48" i="23"/>
  <c r="HF48" i="23"/>
  <c r="HG48" i="23"/>
  <c r="HH48" i="23"/>
  <c r="HI48" i="23"/>
  <c r="HJ48" i="23"/>
  <c r="HK48" i="23"/>
  <c r="HL48" i="23"/>
  <c r="HM48" i="23"/>
  <c r="HN48" i="23"/>
  <c r="HO48" i="23"/>
  <c r="HP48" i="23"/>
  <c r="HQ48" i="23"/>
  <c r="HR48" i="23"/>
  <c r="HS48" i="23"/>
  <c r="HT48" i="23"/>
  <c r="HU48" i="23"/>
  <c r="HV48" i="23"/>
  <c r="HW48" i="23"/>
  <c r="HX48" i="23"/>
  <c r="HY48" i="23"/>
  <c r="HZ48" i="23"/>
  <c r="IA48" i="23"/>
  <c r="IB48" i="23"/>
  <c r="IC48" i="23"/>
  <c r="ID48" i="23"/>
  <c r="IE48" i="23"/>
  <c r="IF48" i="23"/>
  <c r="IG48" i="23"/>
  <c r="IH48" i="23"/>
  <c r="II48" i="23"/>
  <c r="IJ48" i="23"/>
  <c r="IK48" i="23"/>
  <c r="IL48" i="23"/>
  <c r="IM48" i="23"/>
  <c r="IN48" i="23"/>
  <c r="IO48" i="23"/>
  <c r="IP48" i="23"/>
  <c r="IQ48" i="23"/>
  <c r="IR48" i="23"/>
  <c r="IS48" i="23"/>
  <c r="IT48" i="23"/>
  <c r="IU48" i="23"/>
  <c r="IV48" i="23"/>
  <c r="A47" i="23"/>
  <c r="B47" i="23"/>
  <c r="C47" i="23"/>
  <c r="D47" i="23"/>
  <c r="E47" i="23"/>
  <c r="F47" i="23"/>
  <c r="G47" i="23"/>
  <c r="H47" i="23"/>
  <c r="I47" i="23"/>
  <c r="J47" i="23"/>
  <c r="K47" i="23"/>
  <c r="L47" i="23"/>
  <c r="M47" i="23"/>
  <c r="N47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AF47" i="23"/>
  <c r="AG47" i="23"/>
  <c r="AH47" i="23"/>
  <c r="AI47" i="23"/>
  <c r="AJ47" i="23"/>
  <c r="AK47" i="23"/>
  <c r="AL47" i="23"/>
  <c r="AM47" i="23"/>
  <c r="AN47" i="23"/>
  <c r="AO47" i="23"/>
  <c r="AP47" i="23"/>
  <c r="AQ47" i="23"/>
  <c r="AR47" i="23"/>
  <c r="AS47" i="23"/>
  <c r="AT47" i="23"/>
  <c r="AU47" i="23"/>
  <c r="AV47" i="23"/>
  <c r="AW47" i="23"/>
  <c r="AX47" i="23"/>
  <c r="AY47" i="23"/>
  <c r="AZ47" i="23"/>
  <c r="BA47" i="23"/>
  <c r="BB47" i="23"/>
  <c r="BC47" i="23"/>
  <c r="BD47" i="23"/>
  <c r="BE47" i="23"/>
  <c r="BF47" i="23"/>
  <c r="BG47" i="23"/>
  <c r="BH47" i="23"/>
  <c r="BI47" i="23"/>
  <c r="BJ47" i="23"/>
  <c r="BK47" i="23"/>
  <c r="BL47" i="23"/>
  <c r="BM47" i="23"/>
  <c r="BN47" i="23"/>
  <c r="BO47" i="23"/>
  <c r="BP47" i="23"/>
  <c r="BQ47" i="23"/>
  <c r="BR47" i="23"/>
  <c r="BS47" i="23"/>
  <c r="BT47" i="23"/>
  <c r="BU47" i="23"/>
  <c r="BV47" i="23"/>
  <c r="BW47" i="23"/>
  <c r="BX47" i="23"/>
  <c r="BY47" i="23"/>
  <c r="BZ47" i="23"/>
  <c r="CA47" i="23"/>
  <c r="CB47" i="23"/>
  <c r="CC47" i="23"/>
  <c r="CD47" i="23"/>
  <c r="CE47" i="23"/>
  <c r="CF47" i="23"/>
  <c r="CG47" i="23"/>
  <c r="CH47" i="23"/>
  <c r="CI47" i="23"/>
  <c r="CJ47" i="23"/>
  <c r="CK47" i="23"/>
  <c r="CL47" i="23"/>
  <c r="CM47" i="23"/>
  <c r="CN47" i="23"/>
  <c r="CO47" i="23"/>
  <c r="CP47" i="23"/>
  <c r="CQ47" i="23"/>
  <c r="CR47" i="23"/>
  <c r="CS47" i="23"/>
  <c r="CT47" i="23"/>
  <c r="CU47" i="23"/>
  <c r="CV47" i="23"/>
  <c r="CW47" i="23"/>
  <c r="CX47" i="23"/>
  <c r="CY47" i="23"/>
  <c r="CZ47" i="23"/>
  <c r="DA47" i="23"/>
  <c r="DB47" i="23"/>
  <c r="DC47" i="23"/>
  <c r="DD47" i="23"/>
  <c r="DE47" i="23"/>
  <c r="DF47" i="23"/>
  <c r="DG47" i="23"/>
  <c r="DH47" i="23"/>
  <c r="DI47" i="23"/>
  <c r="DJ47" i="23"/>
  <c r="DK47" i="23"/>
  <c r="DL47" i="23"/>
  <c r="DM47" i="23"/>
  <c r="DN47" i="23"/>
  <c r="DO47" i="23"/>
  <c r="DP47" i="23"/>
  <c r="DQ47" i="23"/>
  <c r="DR47" i="23"/>
  <c r="DS47" i="23"/>
  <c r="DT47" i="23"/>
  <c r="DU47" i="23"/>
  <c r="DV47" i="23"/>
  <c r="DW47" i="23"/>
  <c r="DX47" i="23"/>
  <c r="DY47" i="23"/>
  <c r="DZ47" i="23"/>
  <c r="EA47" i="23"/>
  <c r="EB47" i="23"/>
  <c r="EC47" i="23"/>
  <c r="ED47" i="23"/>
  <c r="EE47" i="23"/>
  <c r="EF47" i="23"/>
  <c r="EG47" i="23"/>
  <c r="EH47" i="23"/>
  <c r="EI47" i="23"/>
  <c r="EJ47" i="23"/>
  <c r="EK47" i="23"/>
  <c r="EL47" i="23"/>
  <c r="EM47" i="23"/>
  <c r="EN47" i="23"/>
  <c r="EO47" i="23"/>
  <c r="EP47" i="23"/>
  <c r="EQ47" i="23"/>
  <c r="ER47" i="23"/>
  <c r="ES47" i="23"/>
  <c r="ET47" i="23"/>
  <c r="EU47" i="23"/>
  <c r="EV47" i="23"/>
  <c r="EW47" i="23"/>
  <c r="EX47" i="23"/>
  <c r="EY47" i="23"/>
  <c r="EZ47" i="23"/>
  <c r="FA47" i="23"/>
  <c r="FB47" i="23"/>
  <c r="FC47" i="23"/>
  <c r="FD47" i="23"/>
  <c r="FE47" i="23"/>
  <c r="FF47" i="23"/>
  <c r="FG47" i="23"/>
  <c r="FH47" i="23"/>
  <c r="FI47" i="23"/>
  <c r="FJ47" i="23"/>
  <c r="FK47" i="23"/>
  <c r="FL47" i="23"/>
  <c r="FM47" i="23"/>
  <c r="FN47" i="23"/>
  <c r="FO47" i="23"/>
  <c r="FP47" i="23"/>
  <c r="FQ47" i="23"/>
  <c r="FR47" i="23"/>
  <c r="FS47" i="23"/>
  <c r="FT47" i="23"/>
  <c r="FU47" i="23"/>
  <c r="FV47" i="23"/>
  <c r="FW47" i="23"/>
  <c r="FX47" i="23"/>
  <c r="FY47" i="23"/>
  <c r="FZ47" i="23"/>
  <c r="GA47" i="23"/>
  <c r="GB47" i="23"/>
  <c r="GC47" i="23"/>
  <c r="GD47" i="23"/>
  <c r="GE47" i="23"/>
  <c r="GF47" i="23"/>
  <c r="GG47" i="23"/>
  <c r="GH47" i="23"/>
  <c r="GI47" i="23"/>
  <c r="GJ47" i="23"/>
  <c r="GK47" i="23"/>
  <c r="GL47" i="23"/>
  <c r="GM47" i="23"/>
  <c r="GN47" i="23"/>
  <c r="GO47" i="23"/>
  <c r="GP47" i="23"/>
  <c r="GQ47" i="23"/>
  <c r="GR47" i="23"/>
  <c r="GS47" i="23"/>
  <c r="GT47" i="23"/>
  <c r="GU47" i="23"/>
  <c r="GV47" i="23"/>
  <c r="GW47" i="23"/>
  <c r="GX47" i="23"/>
  <c r="GY47" i="23"/>
  <c r="GZ47" i="23"/>
  <c r="HA47" i="23"/>
  <c r="HB47" i="23"/>
  <c r="HC47" i="23"/>
  <c r="HD47" i="23"/>
  <c r="HE47" i="23"/>
  <c r="HF47" i="23"/>
  <c r="HG47" i="23"/>
  <c r="HH47" i="23"/>
  <c r="HI47" i="23"/>
  <c r="HJ47" i="23"/>
  <c r="HK47" i="23"/>
  <c r="HL47" i="23"/>
  <c r="HM47" i="23"/>
  <c r="HN47" i="23"/>
  <c r="HO47" i="23"/>
  <c r="HP47" i="23"/>
  <c r="HQ47" i="23"/>
  <c r="HR47" i="23"/>
  <c r="HS47" i="23"/>
  <c r="HT47" i="23"/>
  <c r="HU47" i="23"/>
  <c r="HV47" i="23"/>
  <c r="HW47" i="23"/>
  <c r="HX47" i="23"/>
  <c r="HY47" i="23"/>
  <c r="HZ47" i="23"/>
  <c r="IA47" i="23"/>
  <c r="IB47" i="23"/>
  <c r="IC47" i="23"/>
  <c r="ID47" i="23"/>
  <c r="IE47" i="23"/>
  <c r="IF47" i="23"/>
  <c r="IG47" i="23"/>
  <c r="IH47" i="23"/>
  <c r="II47" i="23"/>
  <c r="IJ47" i="23"/>
  <c r="IK47" i="23"/>
  <c r="IL47" i="23"/>
  <c r="IM47" i="23"/>
  <c r="IN47" i="23"/>
  <c r="IO47" i="23"/>
  <c r="IP47" i="23"/>
  <c r="IQ47" i="23"/>
  <c r="IR47" i="23"/>
  <c r="IS47" i="23"/>
  <c r="IT47" i="23"/>
  <c r="IU47" i="23"/>
  <c r="IV47" i="23"/>
  <c r="A46" i="23"/>
  <c r="B46" i="23"/>
  <c r="C46" i="23"/>
  <c r="D46" i="23"/>
  <c r="E46" i="23"/>
  <c r="F46" i="23"/>
  <c r="G46" i="23"/>
  <c r="H46" i="23"/>
  <c r="I46" i="23"/>
  <c r="J46" i="23"/>
  <c r="K46" i="23"/>
  <c r="L46" i="23"/>
  <c r="N46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AE46" i="23"/>
  <c r="AF46" i="23"/>
  <c r="AG46" i="23"/>
  <c r="AH46" i="23"/>
  <c r="AI46" i="23"/>
  <c r="AJ46" i="23"/>
  <c r="AK46" i="23"/>
  <c r="AL46" i="23"/>
  <c r="AM46" i="23"/>
  <c r="AN46" i="23"/>
  <c r="AO46" i="23"/>
  <c r="AP46" i="23"/>
  <c r="AQ46" i="23"/>
  <c r="AR46" i="23"/>
  <c r="AS46" i="23"/>
  <c r="AT46" i="23"/>
  <c r="AU46" i="23"/>
  <c r="AV46" i="23"/>
  <c r="AW46" i="23"/>
  <c r="AX46" i="23"/>
  <c r="AY46" i="23"/>
  <c r="AZ46" i="23"/>
  <c r="BA46" i="23"/>
  <c r="BB46" i="23"/>
  <c r="BC46" i="23"/>
  <c r="BD46" i="23"/>
  <c r="BE46" i="23"/>
  <c r="BF46" i="23"/>
  <c r="BG46" i="23"/>
  <c r="BH46" i="23"/>
  <c r="BI46" i="23"/>
  <c r="BJ46" i="23"/>
  <c r="BK46" i="23"/>
  <c r="BL46" i="23"/>
  <c r="BM46" i="23"/>
  <c r="BN46" i="23"/>
  <c r="BO46" i="23"/>
  <c r="BP46" i="23"/>
  <c r="BQ46" i="23"/>
  <c r="BR46" i="23"/>
  <c r="BS46" i="23"/>
  <c r="BT46" i="23"/>
  <c r="BU46" i="23"/>
  <c r="BV46" i="23"/>
  <c r="BW46" i="23"/>
  <c r="BX46" i="23"/>
  <c r="BY46" i="23"/>
  <c r="BZ46" i="23"/>
  <c r="CA46" i="23"/>
  <c r="CB46" i="23"/>
  <c r="CC46" i="23"/>
  <c r="CD46" i="23"/>
  <c r="CE46" i="23"/>
  <c r="CF46" i="23"/>
  <c r="CG46" i="23"/>
  <c r="CH46" i="23"/>
  <c r="CI46" i="23"/>
  <c r="CJ46" i="23"/>
  <c r="CK46" i="23"/>
  <c r="CL46" i="23"/>
  <c r="CM46" i="23"/>
  <c r="CN46" i="23"/>
  <c r="CO46" i="23"/>
  <c r="CP46" i="23"/>
  <c r="CQ46" i="23"/>
  <c r="CR46" i="23"/>
  <c r="CS46" i="23"/>
  <c r="CT46" i="23"/>
  <c r="CU46" i="23"/>
  <c r="CV46" i="23"/>
  <c r="CW46" i="23"/>
  <c r="CX46" i="23"/>
  <c r="CY46" i="23"/>
  <c r="CZ46" i="23"/>
  <c r="DA46" i="23"/>
  <c r="DB46" i="23"/>
  <c r="DC46" i="23"/>
  <c r="DD46" i="23"/>
  <c r="DE46" i="23"/>
  <c r="DF46" i="23"/>
  <c r="DG46" i="23"/>
  <c r="DH46" i="23"/>
  <c r="DI46" i="23"/>
  <c r="DJ46" i="23"/>
  <c r="DK46" i="23"/>
  <c r="DL46" i="23"/>
  <c r="DM46" i="23"/>
  <c r="DN46" i="23"/>
  <c r="DO46" i="23"/>
  <c r="DP46" i="23"/>
  <c r="DQ46" i="23"/>
  <c r="DR46" i="23"/>
  <c r="DS46" i="23"/>
  <c r="DT46" i="23"/>
  <c r="DU46" i="23"/>
  <c r="DV46" i="23"/>
  <c r="DW46" i="23"/>
  <c r="DX46" i="23"/>
  <c r="DY46" i="23"/>
  <c r="DZ46" i="23"/>
  <c r="EA46" i="23"/>
  <c r="EB46" i="23"/>
  <c r="EC46" i="23"/>
  <c r="ED46" i="23"/>
  <c r="EE46" i="23"/>
  <c r="EF46" i="23"/>
  <c r="EG46" i="23"/>
  <c r="EH46" i="23"/>
  <c r="EI46" i="23"/>
  <c r="EJ46" i="23"/>
  <c r="EK46" i="23"/>
  <c r="EL46" i="23"/>
  <c r="EM46" i="23"/>
  <c r="EN46" i="23"/>
  <c r="EO46" i="23"/>
  <c r="EP46" i="23"/>
  <c r="EQ46" i="23"/>
  <c r="ER46" i="23"/>
  <c r="ES46" i="23"/>
  <c r="ET46" i="23"/>
  <c r="EU46" i="23"/>
  <c r="EV46" i="23"/>
  <c r="EW46" i="23"/>
  <c r="EX46" i="23"/>
  <c r="EY46" i="23"/>
  <c r="EZ46" i="23"/>
  <c r="FA46" i="23"/>
  <c r="FB46" i="23"/>
  <c r="FC46" i="23"/>
  <c r="FD46" i="23"/>
  <c r="FE46" i="23"/>
  <c r="FF46" i="23"/>
  <c r="FG46" i="23"/>
  <c r="FH46" i="23"/>
  <c r="FI46" i="23"/>
  <c r="FJ46" i="23"/>
  <c r="FK46" i="23"/>
  <c r="FL46" i="23"/>
  <c r="FM46" i="23"/>
  <c r="FN46" i="23"/>
  <c r="FO46" i="23"/>
  <c r="FP46" i="23"/>
  <c r="FQ46" i="23"/>
  <c r="FR46" i="23"/>
  <c r="FS46" i="23"/>
  <c r="FT46" i="23"/>
  <c r="FU46" i="23"/>
  <c r="FV46" i="23"/>
  <c r="FW46" i="23"/>
  <c r="FX46" i="23"/>
  <c r="FY46" i="23"/>
  <c r="FZ46" i="23"/>
  <c r="GA46" i="23"/>
  <c r="GB46" i="23"/>
  <c r="GC46" i="23"/>
  <c r="GD46" i="23"/>
  <c r="GE46" i="23"/>
  <c r="GF46" i="23"/>
  <c r="GG46" i="23"/>
  <c r="GH46" i="23"/>
  <c r="GI46" i="23"/>
  <c r="GJ46" i="23"/>
  <c r="GK46" i="23"/>
  <c r="GL46" i="23"/>
  <c r="GM46" i="23"/>
  <c r="GN46" i="23"/>
  <c r="GO46" i="23"/>
  <c r="GP46" i="23"/>
  <c r="GQ46" i="23"/>
  <c r="GR46" i="23"/>
  <c r="GS46" i="23"/>
  <c r="GT46" i="23"/>
  <c r="GU46" i="23"/>
  <c r="GV46" i="23"/>
  <c r="GW46" i="23"/>
  <c r="GX46" i="23"/>
  <c r="GY46" i="23"/>
  <c r="GZ46" i="23"/>
  <c r="HA46" i="23"/>
  <c r="HB46" i="23"/>
  <c r="HC46" i="23"/>
  <c r="HD46" i="23"/>
  <c r="HE46" i="23"/>
  <c r="HF46" i="23"/>
  <c r="HG46" i="23"/>
  <c r="HH46" i="23"/>
  <c r="HI46" i="23"/>
  <c r="HJ46" i="23"/>
  <c r="HK46" i="23"/>
  <c r="HL46" i="23"/>
  <c r="HM46" i="23"/>
  <c r="HN46" i="23"/>
  <c r="HO46" i="23"/>
  <c r="HP46" i="23"/>
  <c r="HQ46" i="23"/>
  <c r="HR46" i="23"/>
  <c r="HS46" i="23"/>
  <c r="HT46" i="23"/>
  <c r="HU46" i="23"/>
  <c r="HV46" i="23"/>
  <c r="HW46" i="23"/>
  <c r="HX46" i="23"/>
  <c r="HY46" i="23"/>
  <c r="HZ46" i="23"/>
  <c r="IA46" i="23"/>
  <c r="IB46" i="23"/>
  <c r="IC46" i="23"/>
  <c r="ID46" i="23"/>
  <c r="IE46" i="23"/>
  <c r="IF46" i="23"/>
  <c r="IG46" i="23"/>
  <c r="IH46" i="23"/>
  <c r="II46" i="23"/>
  <c r="IJ46" i="23"/>
  <c r="IK46" i="23"/>
  <c r="IL46" i="23"/>
  <c r="IM46" i="23"/>
  <c r="IN46" i="23"/>
  <c r="IO46" i="23"/>
  <c r="IP46" i="23"/>
  <c r="IQ46" i="23"/>
  <c r="IR46" i="23"/>
  <c r="IS46" i="23"/>
  <c r="IT46" i="23"/>
  <c r="IU46" i="23"/>
  <c r="IV46" i="23"/>
  <c r="A45" i="23"/>
  <c r="B45" i="23"/>
  <c r="C45" i="23"/>
  <c r="D45" i="23"/>
  <c r="E45" i="23"/>
  <c r="F45" i="23"/>
  <c r="G45" i="23"/>
  <c r="H45" i="23"/>
  <c r="I45" i="23"/>
  <c r="J45" i="23"/>
  <c r="K45" i="23"/>
  <c r="L45" i="23"/>
  <c r="M45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AE45" i="23"/>
  <c r="AF45" i="23"/>
  <c r="AG45" i="23"/>
  <c r="AH45" i="23"/>
  <c r="AI45" i="23"/>
  <c r="AJ45" i="23"/>
  <c r="AK45" i="23"/>
  <c r="AL45" i="23"/>
  <c r="AM45" i="23"/>
  <c r="AN45" i="23"/>
  <c r="AO45" i="23"/>
  <c r="AP45" i="23"/>
  <c r="AQ45" i="23"/>
  <c r="AR45" i="23"/>
  <c r="AS45" i="23"/>
  <c r="AT45" i="23"/>
  <c r="AU45" i="23"/>
  <c r="AV45" i="23"/>
  <c r="AW45" i="23"/>
  <c r="AX45" i="23"/>
  <c r="AY45" i="23"/>
  <c r="AZ45" i="23"/>
  <c r="BA45" i="23"/>
  <c r="BB45" i="23"/>
  <c r="BC45" i="23"/>
  <c r="BD45" i="23"/>
  <c r="BE45" i="23"/>
  <c r="BF45" i="23"/>
  <c r="BG45" i="23"/>
  <c r="BH45" i="23"/>
  <c r="BI45" i="23"/>
  <c r="BJ45" i="23"/>
  <c r="BK45" i="23"/>
  <c r="BL45" i="23"/>
  <c r="BM45" i="23"/>
  <c r="BN45" i="23"/>
  <c r="BO45" i="23"/>
  <c r="BP45" i="23"/>
  <c r="BQ45" i="23"/>
  <c r="BR45" i="23"/>
  <c r="BS45" i="23"/>
  <c r="BT45" i="23"/>
  <c r="BU45" i="23"/>
  <c r="BV45" i="23"/>
  <c r="BW45" i="23"/>
  <c r="BX45" i="23"/>
  <c r="BY45" i="23"/>
  <c r="BZ45" i="23"/>
  <c r="CA45" i="23"/>
  <c r="CB45" i="23"/>
  <c r="CC45" i="23"/>
  <c r="CD45" i="23"/>
  <c r="CE45" i="23"/>
  <c r="CF45" i="23"/>
  <c r="CG45" i="23"/>
  <c r="CH45" i="23"/>
  <c r="CI45" i="23"/>
  <c r="CJ45" i="23"/>
  <c r="CK45" i="23"/>
  <c r="CL45" i="23"/>
  <c r="CM45" i="23"/>
  <c r="CN45" i="23"/>
  <c r="CO45" i="23"/>
  <c r="CP45" i="23"/>
  <c r="CQ45" i="23"/>
  <c r="CR45" i="23"/>
  <c r="CS45" i="23"/>
  <c r="CT45" i="23"/>
  <c r="CU45" i="23"/>
  <c r="CV45" i="23"/>
  <c r="CW45" i="23"/>
  <c r="CX45" i="23"/>
  <c r="CY45" i="23"/>
  <c r="CZ45" i="23"/>
  <c r="DA45" i="23"/>
  <c r="DB45" i="23"/>
  <c r="DC45" i="23"/>
  <c r="DD45" i="23"/>
  <c r="DE45" i="23"/>
  <c r="DF45" i="23"/>
  <c r="DG45" i="23"/>
  <c r="DH45" i="23"/>
  <c r="DI45" i="23"/>
  <c r="DJ45" i="23"/>
  <c r="DK45" i="23"/>
  <c r="DL45" i="23"/>
  <c r="DM45" i="23"/>
  <c r="DN45" i="23"/>
  <c r="DO45" i="23"/>
  <c r="DP45" i="23"/>
  <c r="DQ45" i="23"/>
  <c r="DR45" i="23"/>
  <c r="DS45" i="23"/>
  <c r="DT45" i="23"/>
  <c r="DU45" i="23"/>
  <c r="DV45" i="23"/>
  <c r="DW45" i="23"/>
  <c r="DX45" i="23"/>
  <c r="DY45" i="23"/>
  <c r="DZ45" i="23"/>
  <c r="EA45" i="23"/>
  <c r="EB45" i="23"/>
  <c r="EC45" i="23"/>
  <c r="ED45" i="23"/>
  <c r="EE45" i="23"/>
  <c r="EF45" i="23"/>
  <c r="EG45" i="23"/>
  <c r="EH45" i="23"/>
  <c r="EI45" i="23"/>
  <c r="EJ45" i="23"/>
  <c r="EK45" i="23"/>
  <c r="EL45" i="23"/>
  <c r="EM45" i="23"/>
  <c r="EN45" i="23"/>
  <c r="EO45" i="23"/>
  <c r="EP45" i="23"/>
  <c r="EQ45" i="23"/>
  <c r="ER45" i="23"/>
  <c r="ES45" i="23"/>
  <c r="ET45" i="23"/>
  <c r="EU45" i="23"/>
  <c r="EV45" i="23"/>
  <c r="EW45" i="23"/>
  <c r="EX45" i="23"/>
  <c r="EY45" i="23"/>
  <c r="EZ45" i="23"/>
  <c r="FA45" i="23"/>
  <c r="FB45" i="23"/>
  <c r="FC45" i="23"/>
  <c r="FD45" i="23"/>
  <c r="FE45" i="23"/>
  <c r="FF45" i="23"/>
  <c r="FG45" i="23"/>
  <c r="FH45" i="23"/>
  <c r="FI45" i="23"/>
  <c r="FJ45" i="23"/>
  <c r="FK45" i="23"/>
  <c r="FL45" i="23"/>
  <c r="FM45" i="23"/>
  <c r="FN45" i="23"/>
  <c r="FO45" i="23"/>
  <c r="FP45" i="23"/>
  <c r="FQ45" i="23"/>
  <c r="FR45" i="23"/>
  <c r="FS45" i="23"/>
  <c r="FT45" i="23"/>
  <c r="FU45" i="23"/>
  <c r="FV45" i="23"/>
  <c r="FW45" i="23"/>
  <c r="FX45" i="23"/>
  <c r="FY45" i="23"/>
  <c r="FZ45" i="23"/>
  <c r="GA45" i="23"/>
  <c r="GB45" i="23"/>
  <c r="GC45" i="23"/>
  <c r="GD45" i="23"/>
  <c r="GE45" i="23"/>
  <c r="GF45" i="23"/>
  <c r="GG45" i="23"/>
  <c r="GH45" i="23"/>
  <c r="GI45" i="23"/>
  <c r="GJ45" i="23"/>
  <c r="GK45" i="23"/>
  <c r="GL45" i="23"/>
  <c r="GM45" i="23"/>
  <c r="GN45" i="23"/>
  <c r="GO45" i="23"/>
  <c r="GP45" i="23"/>
  <c r="GQ45" i="23"/>
  <c r="GR45" i="23"/>
  <c r="GS45" i="23"/>
  <c r="GT45" i="23"/>
  <c r="GU45" i="23"/>
  <c r="GV45" i="23"/>
  <c r="GW45" i="23"/>
  <c r="GX45" i="23"/>
  <c r="GY45" i="23"/>
  <c r="GZ45" i="23"/>
  <c r="HA45" i="23"/>
  <c r="HB45" i="23"/>
  <c r="HC45" i="23"/>
  <c r="HD45" i="23"/>
  <c r="HE45" i="23"/>
  <c r="HF45" i="23"/>
  <c r="HG45" i="23"/>
  <c r="HH45" i="23"/>
  <c r="HI45" i="23"/>
  <c r="HJ45" i="23"/>
  <c r="HK45" i="23"/>
  <c r="HL45" i="23"/>
  <c r="HM45" i="23"/>
  <c r="HN45" i="23"/>
  <c r="HO45" i="23"/>
  <c r="HP45" i="23"/>
  <c r="HQ45" i="23"/>
  <c r="HR45" i="23"/>
  <c r="HS45" i="23"/>
  <c r="HT45" i="23"/>
  <c r="HU45" i="23"/>
  <c r="HV45" i="23"/>
  <c r="HW45" i="23"/>
  <c r="HX45" i="23"/>
  <c r="HY45" i="23"/>
  <c r="HZ45" i="23"/>
  <c r="IA45" i="23"/>
  <c r="IB45" i="23"/>
  <c r="IC45" i="23"/>
  <c r="ID45" i="23"/>
  <c r="IE45" i="23"/>
  <c r="IF45" i="23"/>
  <c r="IG45" i="23"/>
  <c r="IH45" i="23"/>
  <c r="II45" i="23"/>
  <c r="IJ45" i="23"/>
  <c r="IK45" i="23"/>
  <c r="IL45" i="23"/>
  <c r="IM45" i="23"/>
  <c r="IN45" i="23"/>
  <c r="IO45" i="23"/>
  <c r="IP45" i="23"/>
  <c r="IQ45" i="23"/>
  <c r="IR45" i="23"/>
  <c r="IS45" i="23"/>
  <c r="IT45" i="23"/>
  <c r="IU45" i="23"/>
  <c r="IV45" i="23"/>
  <c r="A44" i="23"/>
  <c r="B44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AC44" i="23"/>
  <c r="AD44" i="23"/>
  <c r="AE44" i="23"/>
  <c r="AF44" i="23"/>
  <c r="AG44" i="23"/>
  <c r="AH44" i="23"/>
  <c r="AI44" i="23"/>
  <c r="AJ44" i="23"/>
  <c r="AK44" i="23"/>
  <c r="AL44" i="23"/>
  <c r="AM44" i="23"/>
  <c r="AN44" i="23"/>
  <c r="AO44" i="23"/>
  <c r="AP44" i="23"/>
  <c r="AQ44" i="23"/>
  <c r="AR44" i="23"/>
  <c r="AS44" i="23"/>
  <c r="AT44" i="23"/>
  <c r="AU44" i="23"/>
  <c r="AV44" i="23"/>
  <c r="AW44" i="23"/>
  <c r="AX44" i="23"/>
  <c r="AY44" i="23"/>
  <c r="AZ44" i="23"/>
  <c r="BA44" i="23"/>
  <c r="BB44" i="23"/>
  <c r="BC44" i="23"/>
  <c r="BD44" i="23"/>
  <c r="BE44" i="23"/>
  <c r="BF44" i="23"/>
  <c r="BG44" i="23"/>
  <c r="BH44" i="23"/>
  <c r="BI44" i="23"/>
  <c r="BJ44" i="23"/>
  <c r="BK44" i="23"/>
  <c r="BL44" i="23"/>
  <c r="BM44" i="23"/>
  <c r="BN44" i="23"/>
  <c r="BO44" i="23"/>
  <c r="BP44" i="23"/>
  <c r="BQ44" i="23"/>
  <c r="BR44" i="23"/>
  <c r="BS44" i="23"/>
  <c r="BT44" i="23"/>
  <c r="BU44" i="23"/>
  <c r="BV44" i="23"/>
  <c r="BW44" i="23"/>
  <c r="BX44" i="23"/>
  <c r="BY44" i="23"/>
  <c r="BZ44" i="23"/>
  <c r="CA44" i="23"/>
  <c r="CB44" i="23"/>
  <c r="CC44" i="23"/>
  <c r="CD44" i="23"/>
  <c r="CE44" i="23"/>
  <c r="CF44" i="23"/>
  <c r="CG44" i="23"/>
  <c r="CH44" i="23"/>
  <c r="CI44" i="23"/>
  <c r="CJ44" i="23"/>
  <c r="CK44" i="23"/>
  <c r="CL44" i="23"/>
  <c r="CM44" i="23"/>
  <c r="CN44" i="23"/>
  <c r="CO44" i="23"/>
  <c r="CP44" i="23"/>
  <c r="CQ44" i="23"/>
  <c r="CR44" i="23"/>
  <c r="CS44" i="23"/>
  <c r="CT44" i="23"/>
  <c r="CU44" i="23"/>
  <c r="CV44" i="23"/>
  <c r="CW44" i="23"/>
  <c r="CX44" i="23"/>
  <c r="CY44" i="23"/>
  <c r="CZ44" i="23"/>
  <c r="DA44" i="23"/>
  <c r="DB44" i="23"/>
  <c r="DC44" i="23"/>
  <c r="DD44" i="23"/>
  <c r="DE44" i="23"/>
  <c r="DF44" i="23"/>
  <c r="DG44" i="23"/>
  <c r="DH44" i="23"/>
  <c r="DI44" i="23"/>
  <c r="DJ44" i="23"/>
  <c r="DK44" i="23"/>
  <c r="DL44" i="23"/>
  <c r="DM44" i="23"/>
  <c r="DN44" i="23"/>
  <c r="DO44" i="23"/>
  <c r="DP44" i="23"/>
  <c r="DQ44" i="23"/>
  <c r="DR44" i="23"/>
  <c r="DS44" i="23"/>
  <c r="DT44" i="23"/>
  <c r="DU44" i="23"/>
  <c r="DV44" i="23"/>
  <c r="DW44" i="23"/>
  <c r="DX44" i="23"/>
  <c r="DY44" i="23"/>
  <c r="DZ44" i="23"/>
  <c r="EA44" i="23"/>
  <c r="EB44" i="23"/>
  <c r="EC44" i="23"/>
  <c r="ED44" i="23"/>
  <c r="EE44" i="23"/>
  <c r="EF44" i="23"/>
  <c r="EG44" i="23"/>
  <c r="EH44" i="23"/>
  <c r="EI44" i="23"/>
  <c r="EJ44" i="23"/>
  <c r="EK44" i="23"/>
  <c r="EL44" i="23"/>
  <c r="EM44" i="23"/>
  <c r="EN44" i="23"/>
  <c r="EO44" i="23"/>
  <c r="EP44" i="23"/>
  <c r="EQ44" i="23"/>
  <c r="ER44" i="23"/>
  <c r="ES44" i="23"/>
  <c r="ET44" i="23"/>
  <c r="EU44" i="23"/>
  <c r="EV44" i="23"/>
  <c r="EW44" i="23"/>
  <c r="EX44" i="23"/>
  <c r="EY44" i="23"/>
  <c r="EZ44" i="23"/>
  <c r="FA44" i="23"/>
  <c r="FB44" i="23"/>
  <c r="FC44" i="23"/>
  <c r="FD44" i="23"/>
  <c r="FE44" i="23"/>
  <c r="FF44" i="23"/>
  <c r="FG44" i="23"/>
  <c r="FH44" i="23"/>
  <c r="FI44" i="23"/>
  <c r="FJ44" i="23"/>
  <c r="FK44" i="23"/>
  <c r="FL44" i="23"/>
  <c r="FM44" i="23"/>
  <c r="FN44" i="23"/>
  <c r="FO44" i="23"/>
  <c r="FP44" i="23"/>
  <c r="FQ44" i="23"/>
  <c r="FR44" i="23"/>
  <c r="FS44" i="23"/>
  <c r="FT44" i="23"/>
  <c r="FU44" i="23"/>
  <c r="FV44" i="23"/>
  <c r="FW44" i="23"/>
  <c r="FX44" i="23"/>
  <c r="FY44" i="23"/>
  <c r="FZ44" i="23"/>
  <c r="GA44" i="23"/>
  <c r="GB44" i="23"/>
  <c r="GC44" i="23"/>
  <c r="GD44" i="23"/>
  <c r="GE44" i="23"/>
  <c r="GF44" i="23"/>
  <c r="GG44" i="23"/>
  <c r="GH44" i="23"/>
  <c r="GI44" i="23"/>
  <c r="GJ44" i="23"/>
  <c r="GK44" i="23"/>
  <c r="GL44" i="23"/>
  <c r="GM44" i="23"/>
  <c r="GN44" i="23"/>
  <c r="GO44" i="23"/>
  <c r="GP44" i="23"/>
  <c r="GQ44" i="23"/>
  <c r="GR44" i="23"/>
  <c r="GS44" i="23"/>
  <c r="GT44" i="23"/>
  <c r="GU44" i="23"/>
  <c r="GV44" i="23"/>
  <c r="GW44" i="23"/>
  <c r="GX44" i="23"/>
  <c r="GY44" i="23"/>
  <c r="GZ44" i="23"/>
  <c r="HA44" i="23"/>
  <c r="HB44" i="23"/>
  <c r="HC44" i="23"/>
  <c r="HD44" i="23"/>
  <c r="HE44" i="23"/>
  <c r="HF44" i="23"/>
  <c r="HG44" i="23"/>
  <c r="HH44" i="23"/>
  <c r="HI44" i="23"/>
  <c r="HJ44" i="23"/>
  <c r="HK44" i="23"/>
  <c r="HL44" i="23"/>
  <c r="HM44" i="23"/>
  <c r="HN44" i="23"/>
  <c r="HO44" i="23"/>
  <c r="HP44" i="23"/>
  <c r="HQ44" i="23"/>
  <c r="HR44" i="23"/>
  <c r="HS44" i="23"/>
  <c r="HT44" i="23"/>
  <c r="HU44" i="23"/>
  <c r="HV44" i="23"/>
  <c r="HW44" i="23"/>
  <c r="HX44" i="23"/>
  <c r="HY44" i="23"/>
  <c r="HZ44" i="23"/>
  <c r="IA44" i="23"/>
  <c r="IB44" i="23"/>
  <c r="IC44" i="23"/>
  <c r="ID44" i="23"/>
  <c r="IE44" i="23"/>
  <c r="IF44" i="23"/>
  <c r="IG44" i="23"/>
  <c r="IH44" i="23"/>
  <c r="II44" i="23"/>
  <c r="IJ44" i="23"/>
  <c r="IK44" i="23"/>
  <c r="IL44" i="23"/>
  <c r="IM44" i="23"/>
  <c r="IN44" i="23"/>
  <c r="IO44" i="23"/>
  <c r="IP44" i="23"/>
  <c r="IQ44" i="23"/>
  <c r="IR44" i="23"/>
  <c r="IS44" i="23"/>
  <c r="IT44" i="23"/>
  <c r="IU44" i="23"/>
  <c r="IV44" i="23"/>
  <c r="A43" i="23"/>
  <c r="B43" i="23"/>
  <c r="C43" i="23"/>
  <c r="D43" i="23"/>
  <c r="E43" i="23"/>
  <c r="F43" i="23"/>
  <c r="G43" i="23"/>
  <c r="H43" i="23"/>
  <c r="I43" i="23"/>
  <c r="J43" i="23"/>
  <c r="L43" i="23"/>
  <c r="M43" i="23"/>
  <c r="N43" i="23"/>
  <c r="O43" i="23"/>
  <c r="P43" i="23"/>
  <c r="Q43" i="23"/>
  <c r="R43" i="23"/>
  <c r="S43" i="23"/>
  <c r="T43" i="23"/>
  <c r="U43" i="23"/>
  <c r="V43" i="23"/>
  <c r="W43" i="23"/>
  <c r="X43" i="23"/>
  <c r="Y43" i="23"/>
  <c r="Z43" i="23"/>
  <c r="AA43" i="23"/>
  <c r="AB43" i="23"/>
  <c r="AC43" i="23"/>
  <c r="AD43" i="23"/>
  <c r="AE43" i="23"/>
  <c r="AF43" i="23"/>
  <c r="AG43" i="23"/>
  <c r="AH43" i="23"/>
  <c r="AI43" i="23"/>
  <c r="AJ43" i="23"/>
  <c r="AK43" i="23"/>
  <c r="AL43" i="23"/>
  <c r="AM43" i="23"/>
  <c r="AN43" i="23"/>
  <c r="AO43" i="23"/>
  <c r="AP43" i="23"/>
  <c r="AQ43" i="23"/>
  <c r="AR43" i="23"/>
  <c r="AS43" i="23"/>
  <c r="AT43" i="23"/>
  <c r="AU43" i="23"/>
  <c r="AV43" i="23"/>
  <c r="AW43" i="23"/>
  <c r="AX43" i="23"/>
  <c r="AY43" i="23"/>
  <c r="AZ43" i="23"/>
  <c r="BA43" i="23"/>
  <c r="BB43" i="23"/>
  <c r="BC43" i="23"/>
  <c r="BD43" i="23"/>
  <c r="BE43" i="23"/>
  <c r="BF43" i="23"/>
  <c r="BG43" i="23"/>
  <c r="BH43" i="23"/>
  <c r="BI43" i="23"/>
  <c r="BJ43" i="23"/>
  <c r="BK43" i="23"/>
  <c r="BL43" i="23"/>
  <c r="BM43" i="23"/>
  <c r="BN43" i="23"/>
  <c r="BO43" i="23"/>
  <c r="BP43" i="23"/>
  <c r="BQ43" i="23"/>
  <c r="BR43" i="23"/>
  <c r="BS43" i="23"/>
  <c r="BT43" i="23"/>
  <c r="BU43" i="23"/>
  <c r="BV43" i="23"/>
  <c r="BW43" i="23"/>
  <c r="BX43" i="23"/>
  <c r="BY43" i="23"/>
  <c r="BZ43" i="23"/>
  <c r="CA43" i="23"/>
  <c r="CB43" i="23"/>
  <c r="CC43" i="23"/>
  <c r="CD43" i="23"/>
  <c r="CE43" i="23"/>
  <c r="CF43" i="23"/>
  <c r="CG43" i="23"/>
  <c r="CH43" i="23"/>
  <c r="CI43" i="23"/>
  <c r="CJ43" i="23"/>
  <c r="CK43" i="23"/>
  <c r="CL43" i="23"/>
  <c r="CM43" i="23"/>
  <c r="CN43" i="23"/>
  <c r="CO43" i="23"/>
  <c r="CP43" i="23"/>
  <c r="CQ43" i="23"/>
  <c r="CR43" i="23"/>
  <c r="CS43" i="23"/>
  <c r="CT43" i="23"/>
  <c r="CU43" i="23"/>
  <c r="CV43" i="23"/>
  <c r="CW43" i="23"/>
  <c r="CX43" i="23"/>
  <c r="CY43" i="23"/>
  <c r="CZ43" i="23"/>
  <c r="DA43" i="23"/>
  <c r="DB43" i="23"/>
  <c r="DC43" i="23"/>
  <c r="DD43" i="23"/>
  <c r="DE43" i="23"/>
  <c r="DF43" i="23"/>
  <c r="DG43" i="23"/>
  <c r="DH43" i="23"/>
  <c r="DI43" i="23"/>
  <c r="DJ43" i="23"/>
  <c r="DK43" i="23"/>
  <c r="DL43" i="23"/>
  <c r="DM43" i="23"/>
  <c r="DN43" i="23"/>
  <c r="DO43" i="23"/>
  <c r="DP43" i="23"/>
  <c r="DQ43" i="23"/>
  <c r="DR43" i="23"/>
  <c r="DS43" i="23"/>
  <c r="DT43" i="23"/>
  <c r="DU43" i="23"/>
  <c r="DV43" i="23"/>
  <c r="DW43" i="23"/>
  <c r="DX43" i="23"/>
  <c r="DY43" i="23"/>
  <c r="DZ43" i="23"/>
  <c r="EA43" i="23"/>
  <c r="EB43" i="23"/>
  <c r="EC43" i="23"/>
  <c r="ED43" i="23"/>
  <c r="EE43" i="23"/>
  <c r="EF43" i="23"/>
  <c r="EG43" i="23"/>
  <c r="EH43" i="23"/>
  <c r="EI43" i="23"/>
  <c r="EJ43" i="23"/>
  <c r="EK43" i="23"/>
  <c r="EL43" i="23"/>
  <c r="EM43" i="23"/>
  <c r="EN43" i="23"/>
  <c r="EO43" i="23"/>
  <c r="EP43" i="23"/>
  <c r="EQ43" i="23"/>
  <c r="ER43" i="23"/>
  <c r="ES43" i="23"/>
  <c r="ET43" i="23"/>
  <c r="EU43" i="23"/>
  <c r="EV43" i="23"/>
  <c r="EW43" i="23"/>
  <c r="EX43" i="23"/>
  <c r="EY43" i="23"/>
  <c r="EZ43" i="23"/>
  <c r="FA43" i="23"/>
  <c r="FB43" i="23"/>
  <c r="FC43" i="23"/>
  <c r="FD43" i="23"/>
  <c r="FE43" i="23"/>
  <c r="FF43" i="23"/>
  <c r="FG43" i="23"/>
  <c r="FH43" i="23"/>
  <c r="FI43" i="23"/>
  <c r="FJ43" i="23"/>
  <c r="FK43" i="23"/>
  <c r="FL43" i="23"/>
  <c r="FM43" i="23"/>
  <c r="FN43" i="23"/>
  <c r="FO43" i="23"/>
  <c r="FP43" i="23"/>
  <c r="FQ43" i="23"/>
  <c r="FR43" i="23"/>
  <c r="FS43" i="23"/>
  <c r="FT43" i="23"/>
  <c r="FU43" i="23"/>
  <c r="FV43" i="23"/>
  <c r="FW43" i="23"/>
  <c r="FX43" i="23"/>
  <c r="FY43" i="23"/>
  <c r="FZ43" i="23"/>
  <c r="GA43" i="23"/>
  <c r="GB43" i="23"/>
  <c r="GC43" i="23"/>
  <c r="GD43" i="23"/>
  <c r="GE43" i="23"/>
  <c r="GF43" i="23"/>
  <c r="GG43" i="23"/>
  <c r="GH43" i="23"/>
  <c r="GI43" i="23"/>
  <c r="GJ43" i="23"/>
  <c r="GK43" i="23"/>
  <c r="GL43" i="23"/>
  <c r="GM43" i="23"/>
  <c r="GN43" i="23"/>
  <c r="GO43" i="23"/>
  <c r="GP43" i="23"/>
  <c r="GQ43" i="23"/>
  <c r="GR43" i="23"/>
  <c r="GS43" i="23"/>
  <c r="GT43" i="23"/>
  <c r="GU43" i="23"/>
  <c r="GV43" i="23"/>
  <c r="GW43" i="23"/>
  <c r="GX43" i="23"/>
  <c r="GY43" i="23"/>
  <c r="GZ43" i="23"/>
  <c r="HA43" i="23"/>
  <c r="HB43" i="23"/>
  <c r="HC43" i="23"/>
  <c r="HD43" i="23"/>
  <c r="HE43" i="23"/>
  <c r="HF43" i="23"/>
  <c r="HG43" i="23"/>
  <c r="HH43" i="23"/>
  <c r="HI43" i="23"/>
  <c r="HJ43" i="23"/>
  <c r="HK43" i="23"/>
  <c r="HL43" i="23"/>
  <c r="HM43" i="23"/>
  <c r="HN43" i="23"/>
  <c r="HO43" i="23"/>
  <c r="HP43" i="23"/>
  <c r="HQ43" i="23"/>
  <c r="HR43" i="23"/>
  <c r="HS43" i="23"/>
  <c r="HT43" i="23"/>
  <c r="HU43" i="23"/>
  <c r="HV43" i="23"/>
  <c r="HW43" i="23"/>
  <c r="HX43" i="23"/>
  <c r="HY43" i="23"/>
  <c r="HZ43" i="23"/>
  <c r="IA43" i="23"/>
  <c r="IB43" i="23"/>
  <c r="IC43" i="23"/>
  <c r="ID43" i="23"/>
  <c r="IE43" i="23"/>
  <c r="IF43" i="23"/>
  <c r="IG43" i="23"/>
  <c r="IH43" i="23"/>
  <c r="II43" i="23"/>
  <c r="IJ43" i="23"/>
  <c r="IK43" i="23"/>
  <c r="IL43" i="23"/>
  <c r="IM43" i="23"/>
  <c r="IN43" i="23"/>
  <c r="IO43" i="23"/>
  <c r="IP43" i="23"/>
  <c r="IQ43" i="23"/>
  <c r="IR43" i="23"/>
  <c r="IS43" i="23"/>
  <c r="IT43" i="23"/>
  <c r="IU43" i="23"/>
  <c r="IV43" i="23"/>
  <c r="A42" i="23"/>
  <c r="B42" i="23"/>
  <c r="C42" i="23"/>
  <c r="D42" i="23"/>
  <c r="E42" i="23"/>
  <c r="F42" i="23"/>
  <c r="G42" i="23"/>
  <c r="H42" i="23"/>
  <c r="I42" i="23"/>
  <c r="J42" i="23"/>
  <c r="K42" i="23"/>
  <c r="L42" i="23"/>
  <c r="M42" i="23"/>
  <c r="N42" i="23"/>
  <c r="O42" i="23"/>
  <c r="P42" i="23"/>
  <c r="Q42" i="23"/>
  <c r="R42" i="23"/>
  <c r="S42" i="23"/>
  <c r="T42" i="23"/>
  <c r="U42" i="23"/>
  <c r="V42" i="23"/>
  <c r="W42" i="23"/>
  <c r="X42" i="23"/>
  <c r="Y42" i="23"/>
  <c r="Z42" i="23"/>
  <c r="AA42" i="23"/>
  <c r="AB42" i="23"/>
  <c r="AC42" i="23"/>
  <c r="AD42" i="23"/>
  <c r="AE42" i="23"/>
  <c r="AF42" i="23"/>
  <c r="AG42" i="23"/>
  <c r="AH42" i="23"/>
  <c r="AI42" i="23"/>
  <c r="AJ42" i="23"/>
  <c r="AK42" i="23"/>
  <c r="AL42" i="23"/>
  <c r="AM42" i="23"/>
  <c r="AN42" i="23"/>
  <c r="AO42" i="23"/>
  <c r="AP42" i="23"/>
  <c r="AQ42" i="23"/>
  <c r="AR42" i="23"/>
  <c r="AS42" i="23"/>
  <c r="AT42" i="23"/>
  <c r="AU42" i="23"/>
  <c r="AV42" i="23"/>
  <c r="AW42" i="23"/>
  <c r="AX42" i="23"/>
  <c r="AY42" i="23"/>
  <c r="AZ42" i="23"/>
  <c r="BA42" i="23"/>
  <c r="BB42" i="23"/>
  <c r="BC42" i="23"/>
  <c r="BD42" i="23"/>
  <c r="BE42" i="23"/>
  <c r="BF42" i="23"/>
  <c r="BG42" i="23"/>
  <c r="BH42" i="23"/>
  <c r="BI42" i="23"/>
  <c r="BJ42" i="23"/>
  <c r="BK42" i="23"/>
  <c r="BL42" i="23"/>
  <c r="BM42" i="23"/>
  <c r="BN42" i="23"/>
  <c r="BO42" i="23"/>
  <c r="BP42" i="23"/>
  <c r="BQ42" i="23"/>
  <c r="BR42" i="23"/>
  <c r="BS42" i="23"/>
  <c r="BT42" i="23"/>
  <c r="BU42" i="23"/>
  <c r="BV42" i="23"/>
  <c r="BW42" i="23"/>
  <c r="BX42" i="23"/>
  <c r="BY42" i="23"/>
  <c r="BZ42" i="23"/>
  <c r="CA42" i="23"/>
  <c r="CB42" i="23"/>
  <c r="CC42" i="23"/>
  <c r="CD42" i="23"/>
  <c r="CE42" i="23"/>
  <c r="CF42" i="23"/>
  <c r="CG42" i="23"/>
  <c r="CH42" i="23"/>
  <c r="CI42" i="23"/>
  <c r="CJ42" i="23"/>
  <c r="CK42" i="23"/>
  <c r="CL42" i="23"/>
  <c r="CM42" i="23"/>
  <c r="CN42" i="23"/>
  <c r="CO42" i="23"/>
  <c r="CP42" i="23"/>
  <c r="CQ42" i="23"/>
  <c r="CR42" i="23"/>
  <c r="CS42" i="23"/>
  <c r="CT42" i="23"/>
  <c r="CU42" i="23"/>
  <c r="CV42" i="23"/>
  <c r="CW42" i="23"/>
  <c r="CX42" i="23"/>
  <c r="CY42" i="23"/>
  <c r="CZ42" i="23"/>
  <c r="DA42" i="23"/>
  <c r="DB42" i="23"/>
  <c r="DC42" i="23"/>
  <c r="DD42" i="23"/>
  <c r="DE42" i="23"/>
  <c r="DF42" i="23"/>
  <c r="DG42" i="23"/>
  <c r="DH42" i="23"/>
  <c r="DI42" i="23"/>
  <c r="DJ42" i="23"/>
  <c r="DK42" i="23"/>
  <c r="DL42" i="23"/>
  <c r="DM42" i="23"/>
  <c r="DN42" i="23"/>
  <c r="DO42" i="23"/>
  <c r="DP42" i="23"/>
  <c r="DQ42" i="23"/>
  <c r="DR42" i="23"/>
  <c r="DS42" i="23"/>
  <c r="DT42" i="23"/>
  <c r="DU42" i="23"/>
  <c r="DV42" i="23"/>
  <c r="DW42" i="23"/>
  <c r="DX42" i="23"/>
  <c r="DY42" i="23"/>
  <c r="DZ42" i="23"/>
  <c r="EA42" i="23"/>
  <c r="EB42" i="23"/>
  <c r="EC42" i="23"/>
  <c r="ED42" i="23"/>
  <c r="EE42" i="23"/>
  <c r="EF42" i="23"/>
  <c r="EG42" i="23"/>
  <c r="EH42" i="23"/>
  <c r="EI42" i="23"/>
  <c r="EJ42" i="23"/>
  <c r="EK42" i="23"/>
  <c r="EL42" i="23"/>
  <c r="EM42" i="23"/>
  <c r="EN42" i="23"/>
  <c r="EO42" i="23"/>
  <c r="EP42" i="23"/>
  <c r="EQ42" i="23"/>
  <c r="ER42" i="23"/>
  <c r="ES42" i="23"/>
  <c r="ET42" i="23"/>
  <c r="EU42" i="23"/>
  <c r="EV42" i="23"/>
  <c r="EW42" i="23"/>
  <c r="EX42" i="23"/>
  <c r="EY42" i="23"/>
  <c r="EZ42" i="23"/>
  <c r="FA42" i="23"/>
  <c r="FB42" i="23"/>
  <c r="FC42" i="23"/>
  <c r="FD42" i="23"/>
  <c r="FE42" i="23"/>
  <c r="FF42" i="23"/>
  <c r="FG42" i="23"/>
  <c r="FH42" i="23"/>
  <c r="FI42" i="23"/>
  <c r="FJ42" i="23"/>
  <c r="FK42" i="23"/>
  <c r="FL42" i="23"/>
  <c r="FM42" i="23"/>
  <c r="FN42" i="23"/>
  <c r="FO42" i="23"/>
  <c r="FP42" i="23"/>
  <c r="FQ42" i="23"/>
  <c r="FR42" i="23"/>
  <c r="FS42" i="23"/>
  <c r="FT42" i="23"/>
  <c r="FU42" i="23"/>
  <c r="FV42" i="23"/>
  <c r="FW42" i="23"/>
  <c r="FX42" i="23"/>
  <c r="FY42" i="23"/>
  <c r="FZ42" i="23"/>
  <c r="GA42" i="23"/>
  <c r="GB42" i="23"/>
  <c r="GC42" i="23"/>
  <c r="GD42" i="23"/>
  <c r="GE42" i="23"/>
  <c r="GF42" i="23"/>
  <c r="GG42" i="23"/>
  <c r="GH42" i="23"/>
  <c r="GI42" i="23"/>
  <c r="GJ42" i="23"/>
  <c r="GK42" i="23"/>
  <c r="GL42" i="23"/>
  <c r="GM42" i="23"/>
  <c r="GN42" i="23"/>
  <c r="GO42" i="23"/>
  <c r="GP42" i="23"/>
  <c r="GQ42" i="23"/>
  <c r="GR42" i="23"/>
  <c r="GS42" i="23"/>
  <c r="GT42" i="23"/>
  <c r="GU42" i="23"/>
  <c r="GV42" i="23"/>
  <c r="GW42" i="23"/>
  <c r="GX42" i="23"/>
  <c r="GY42" i="23"/>
  <c r="GZ42" i="23"/>
  <c r="HA42" i="23"/>
  <c r="HB42" i="23"/>
  <c r="HC42" i="23"/>
  <c r="HD42" i="23"/>
  <c r="HE42" i="23"/>
  <c r="HF42" i="23"/>
  <c r="HG42" i="23"/>
  <c r="HH42" i="23"/>
  <c r="HI42" i="23"/>
  <c r="HJ42" i="23"/>
  <c r="HK42" i="23"/>
  <c r="HL42" i="23"/>
  <c r="HM42" i="23"/>
  <c r="HN42" i="23"/>
  <c r="HO42" i="23"/>
  <c r="HP42" i="23"/>
  <c r="HQ42" i="23"/>
  <c r="HR42" i="23"/>
  <c r="HS42" i="23"/>
  <c r="HT42" i="23"/>
  <c r="HU42" i="23"/>
  <c r="HV42" i="23"/>
  <c r="HW42" i="23"/>
  <c r="HX42" i="23"/>
  <c r="HY42" i="23"/>
  <c r="HZ42" i="23"/>
  <c r="IA42" i="23"/>
  <c r="IB42" i="23"/>
  <c r="IC42" i="23"/>
  <c r="ID42" i="23"/>
  <c r="IE42" i="23"/>
  <c r="IF42" i="23"/>
  <c r="IG42" i="23"/>
  <c r="IH42" i="23"/>
  <c r="II42" i="23"/>
  <c r="IJ42" i="23"/>
  <c r="IK42" i="23"/>
  <c r="IL42" i="23"/>
  <c r="IM42" i="23"/>
  <c r="IN42" i="23"/>
  <c r="IO42" i="23"/>
  <c r="IP42" i="23"/>
  <c r="IQ42" i="23"/>
  <c r="IR42" i="23"/>
  <c r="IS42" i="23"/>
  <c r="IT42" i="23"/>
  <c r="IU42" i="23"/>
  <c r="IV42" i="23"/>
  <c r="A41" i="23"/>
  <c r="B41" i="23"/>
  <c r="C41" i="23"/>
  <c r="D41" i="23"/>
  <c r="E41" i="23"/>
  <c r="F41" i="23"/>
  <c r="G41" i="23"/>
  <c r="H41" i="23"/>
  <c r="I41" i="23"/>
  <c r="J41" i="23"/>
  <c r="K41" i="23"/>
  <c r="L41" i="23"/>
  <c r="M41" i="23"/>
  <c r="N41" i="23"/>
  <c r="O41" i="23"/>
  <c r="P41" i="23"/>
  <c r="Q41" i="23"/>
  <c r="R41" i="23"/>
  <c r="S41" i="23"/>
  <c r="T41" i="23"/>
  <c r="U41" i="23"/>
  <c r="V41" i="23"/>
  <c r="W41" i="23"/>
  <c r="X41" i="23"/>
  <c r="Y41" i="23"/>
  <c r="Z41" i="23"/>
  <c r="AA41" i="23"/>
  <c r="AB41" i="23"/>
  <c r="AC41" i="23"/>
  <c r="AD41" i="23"/>
  <c r="AE41" i="23"/>
  <c r="AF41" i="23"/>
  <c r="AG41" i="23"/>
  <c r="AH41" i="23"/>
  <c r="AI41" i="23"/>
  <c r="AJ41" i="23"/>
  <c r="AK41" i="23"/>
  <c r="AL41" i="23"/>
  <c r="AM41" i="23"/>
  <c r="AN41" i="23"/>
  <c r="AO41" i="23"/>
  <c r="AP41" i="23"/>
  <c r="AQ41" i="23"/>
  <c r="AR41" i="23"/>
  <c r="AS41" i="23"/>
  <c r="AT41" i="23"/>
  <c r="AU41" i="23"/>
  <c r="AV41" i="23"/>
  <c r="AW41" i="23"/>
  <c r="AX41" i="23"/>
  <c r="AY41" i="23"/>
  <c r="AZ41" i="23"/>
  <c r="BA41" i="23"/>
  <c r="BB41" i="23"/>
  <c r="BC41" i="23"/>
  <c r="BD41" i="23"/>
  <c r="BE41" i="23"/>
  <c r="BF41" i="23"/>
  <c r="BG41" i="23"/>
  <c r="BH41" i="23"/>
  <c r="BI41" i="23"/>
  <c r="BJ41" i="23"/>
  <c r="BK41" i="23"/>
  <c r="BL41" i="23"/>
  <c r="BM41" i="23"/>
  <c r="BN41" i="23"/>
  <c r="BO41" i="23"/>
  <c r="BP41" i="23"/>
  <c r="BQ41" i="23"/>
  <c r="BR41" i="23"/>
  <c r="BS41" i="23"/>
  <c r="BT41" i="23"/>
  <c r="BU41" i="23"/>
  <c r="BV41" i="23"/>
  <c r="BW41" i="23"/>
  <c r="BX41" i="23"/>
  <c r="BY41" i="23"/>
  <c r="BZ41" i="23"/>
  <c r="CA41" i="23"/>
  <c r="CB41" i="23"/>
  <c r="CC41" i="23"/>
  <c r="CD41" i="23"/>
  <c r="CE41" i="23"/>
  <c r="CF41" i="23"/>
  <c r="CG41" i="23"/>
  <c r="CH41" i="23"/>
  <c r="CI41" i="23"/>
  <c r="CJ41" i="23"/>
  <c r="CK41" i="23"/>
  <c r="CL41" i="23"/>
  <c r="CM41" i="23"/>
  <c r="CN41" i="23"/>
  <c r="CO41" i="23"/>
  <c r="CP41" i="23"/>
  <c r="CQ41" i="23"/>
  <c r="CR41" i="23"/>
  <c r="CS41" i="23"/>
  <c r="CT41" i="23"/>
  <c r="CU41" i="23"/>
  <c r="CV41" i="23"/>
  <c r="CW41" i="23"/>
  <c r="CX41" i="23"/>
  <c r="CY41" i="23"/>
  <c r="CZ41" i="23"/>
  <c r="DA41" i="23"/>
  <c r="DB41" i="23"/>
  <c r="DC41" i="23"/>
  <c r="DD41" i="23"/>
  <c r="DE41" i="23"/>
  <c r="DF41" i="23"/>
  <c r="DG41" i="23"/>
  <c r="DH41" i="23"/>
  <c r="DI41" i="23"/>
  <c r="DJ41" i="23"/>
  <c r="DK41" i="23"/>
  <c r="DL41" i="23"/>
  <c r="DM41" i="23"/>
  <c r="DN41" i="23"/>
  <c r="DO41" i="23"/>
  <c r="DP41" i="23"/>
  <c r="DQ41" i="23"/>
  <c r="DR41" i="23"/>
  <c r="DS41" i="23"/>
  <c r="DT41" i="23"/>
  <c r="DU41" i="23"/>
  <c r="DV41" i="23"/>
  <c r="DW41" i="23"/>
  <c r="DX41" i="23"/>
  <c r="DY41" i="23"/>
  <c r="DZ41" i="23"/>
  <c r="EA41" i="23"/>
  <c r="EB41" i="23"/>
  <c r="EC41" i="23"/>
  <c r="ED41" i="23"/>
  <c r="EE41" i="23"/>
  <c r="EF41" i="23"/>
  <c r="EG41" i="23"/>
  <c r="EH41" i="23"/>
  <c r="EI41" i="23"/>
  <c r="EJ41" i="23"/>
  <c r="EK41" i="23"/>
  <c r="EL41" i="23"/>
  <c r="EM41" i="23"/>
  <c r="EN41" i="23"/>
  <c r="EO41" i="23"/>
  <c r="EP41" i="23"/>
  <c r="EQ41" i="23"/>
  <c r="ER41" i="23"/>
  <c r="ES41" i="23"/>
  <c r="ET41" i="23"/>
  <c r="EU41" i="23"/>
  <c r="EV41" i="23"/>
  <c r="EW41" i="23"/>
  <c r="EX41" i="23"/>
  <c r="EY41" i="23"/>
  <c r="EZ41" i="23"/>
  <c r="FA41" i="23"/>
  <c r="FB41" i="23"/>
  <c r="FC41" i="23"/>
  <c r="FD41" i="23"/>
  <c r="FE41" i="23"/>
  <c r="FF41" i="23"/>
  <c r="FG41" i="23"/>
  <c r="FH41" i="23"/>
  <c r="FI41" i="23"/>
  <c r="FJ41" i="23"/>
  <c r="FK41" i="23"/>
  <c r="FL41" i="23"/>
  <c r="FM41" i="23"/>
  <c r="FN41" i="23"/>
  <c r="FO41" i="23"/>
  <c r="FP41" i="23"/>
  <c r="FQ41" i="23"/>
  <c r="FR41" i="23"/>
  <c r="FS41" i="23"/>
  <c r="FT41" i="23"/>
  <c r="FU41" i="23"/>
  <c r="FV41" i="23"/>
  <c r="FW41" i="23"/>
  <c r="FX41" i="23"/>
  <c r="FY41" i="23"/>
  <c r="FZ41" i="23"/>
  <c r="GA41" i="23"/>
  <c r="GB41" i="23"/>
  <c r="GC41" i="23"/>
  <c r="GD41" i="23"/>
  <c r="GE41" i="23"/>
  <c r="GF41" i="23"/>
  <c r="GG41" i="23"/>
  <c r="GH41" i="23"/>
  <c r="GI41" i="23"/>
  <c r="GJ41" i="23"/>
  <c r="GK41" i="23"/>
  <c r="GL41" i="23"/>
  <c r="GM41" i="23"/>
  <c r="GN41" i="23"/>
  <c r="GO41" i="23"/>
  <c r="GP41" i="23"/>
  <c r="GQ41" i="23"/>
  <c r="GR41" i="23"/>
  <c r="GS41" i="23"/>
  <c r="GT41" i="23"/>
  <c r="GU41" i="23"/>
  <c r="GV41" i="23"/>
  <c r="GW41" i="23"/>
  <c r="GX41" i="23"/>
  <c r="GY41" i="23"/>
  <c r="GZ41" i="23"/>
  <c r="HA41" i="23"/>
  <c r="HB41" i="23"/>
  <c r="HC41" i="23"/>
  <c r="HD41" i="23"/>
  <c r="HE41" i="23"/>
  <c r="HF41" i="23"/>
  <c r="HG41" i="23"/>
  <c r="HH41" i="23"/>
  <c r="HI41" i="23"/>
  <c r="HJ41" i="23"/>
  <c r="HK41" i="23"/>
  <c r="HL41" i="23"/>
  <c r="HM41" i="23"/>
  <c r="HN41" i="23"/>
  <c r="HO41" i="23"/>
  <c r="HP41" i="23"/>
  <c r="HQ41" i="23"/>
  <c r="HR41" i="23"/>
  <c r="HS41" i="23"/>
  <c r="HT41" i="23"/>
  <c r="HU41" i="23"/>
  <c r="HV41" i="23"/>
  <c r="HW41" i="23"/>
  <c r="HX41" i="23"/>
  <c r="HY41" i="23"/>
  <c r="HZ41" i="23"/>
  <c r="IA41" i="23"/>
  <c r="IB41" i="23"/>
  <c r="IC41" i="23"/>
  <c r="ID41" i="23"/>
  <c r="IE41" i="23"/>
  <c r="IF41" i="23"/>
  <c r="IG41" i="23"/>
  <c r="IH41" i="23"/>
  <c r="II41" i="23"/>
  <c r="IJ41" i="23"/>
  <c r="IK41" i="23"/>
  <c r="IL41" i="23"/>
  <c r="IM41" i="23"/>
  <c r="IN41" i="23"/>
  <c r="IO41" i="23"/>
  <c r="IP41" i="23"/>
  <c r="IQ41" i="23"/>
  <c r="IR41" i="23"/>
  <c r="IS41" i="23"/>
  <c r="IT41" i="23"/>
  <c r="IU41" i="23"/>
  <c r="IV41" i="23"/>
  <c r="A40" i="23"/>
  <c r="B40" i="23"/>
  <c r="C40" i="23"/>
  <c r="D40" i="23"/>
  <c r="E40" i="23"/>
  <c r="F40" i="23"/>
  <c r="G40" i="23"/>
  <c r="H40" i="23"/>
  <c r="I40" i="23"/>
  <c r="J40" i="23"/>
  <c r="K40" i="23"/>
  <c r="L40" i="23"/>
  <c r="M40" i="23"/>
  <c r="N40" i="23"/>
  <c r="O40" i="23"/>
  <c r="P40" i="23"/>
  <c r="Q40" i="23"/>
  <c r="R40" i="23"/>
  <c r="S40" i="23"/>
  <c r="T40" i="23"/>
  <c r="U40" i="23"/>
  <c r="V40" i="23"/>
  <c r="W40" i="23"/>
  <c r="X40" i="23"/>
  <c r="Y40" i="23"/>
  <c r="Z40" i="23"/>
  <c r="AA40" i="23"/>
  <c r="AB40" i="23"/>
  <c r="AC40" i="23"/>
  <c r="AD40" i="23"/>
  <c r="AE40" i="23"/>
  <c r="AF40" i="23"/>
  <c r="AG40" i="23"/>
  <c r="AH40" i="23"/>
  <c r="AI40" i="23"/>
  <c r="AJ40" i="23"/>
  <c r="AK40" i="23"/>
  <c r="AL40" i="23"/>
  <c r="AM40" i="23"/>
  <c r="AN40" i="23"/>
  <c r="AO40" i="23"/>
  <c r="AP40" i="23"/>
  <c r="AQ40" i="23"/>
  <c r="AR40" i="23"/>
  <c r="AS40" i="23"/>
  <c r="AT40" i="23"/>
  <c r="AU40" i="23"/>
  <c r="AV40" i="23"/>
  <c r="AW40" i="23"/>
  <c r="AX40" i="23"/>
  <c r="AY40" i="23"/>
  <c r="AZ40" i="23"/>
  <c r="BA40" i="23"/>
  <c r="BB40" i="23"/>
  <c r="BC40" i="23"/>
  <c r="BD40" i="23"/>
  <c r="BE40" i="23"/>
  <c r="BF40" i="23"/>
  <c r="BG40" i="23"/>
  <c r="BH40" i="23"/>
  <c r="BI40" i="23"/>
  <c r="BJ40" i="23"/>
  <c r="BK40" i="23"/>
  <c r="BL40" i="23"/>
  <c r="BM40" i="23"/>
  <c r="BN40" i="23"/>
  <c r="BO40" i="23"/>
  <c r="BP40" i="23"/>
  <c r="BQ40" i="23"/>
  <c r="BR40" i="23"/>
  <c r="BS40" i="23"/>
  <c r="BT40" i="23"/>
  <c r="BU40" i="23"/>
  <c r="BV40" i="23"/>
  <c r="BW40" i="23"/>
  <c r="BX40" i="23"/>
  <c r="BY40" i="23"/>
  <c r="BZ40" i="23"/>
  <c r="CA40" i="23"/>
  <c r="CB40" i="23"/>
  <c r="CC40" i="23"/>
  <c r="CD40" i="23"/>
  <c r="CE40" i="23"/>
  <c r="CF40" i="23"/>
  <c r="CG40" i="23"/>
  <c r="CH40" i="23"/>
  <c r="CI40" i="23"/>
  <c r="CJ40" i="23"/>
  <c r="CK40" i="23"/>
  <c r="CL40" i="23"/>
  <c r="CM40" i="23"/>
  <c r="CN40" i="23"/>
  <c r="CO40" i="23"/>
  <c r="CP40" i="23"/>
  <c r="CQ40" i="23"/>
  <c r="CR40" i="23"/>
  <c r="CS40" i="23"/>
  <c r="CT40" i="23"/>
  <c r="CU40" i="23"/>
  <c r="CV40" i="23"/>
  <c r="CW40" i="23"/>
  <c r="CX40" i="23"/>
  <c r="CY40" i="23"/>
  <c r="CZ40" i="23"/>
  <c r="DA40" i="23"/>
  <c r="DB40" i="23"/>
  <c r="DC40" i="23"/>
  <c r="DD40" i="23"/>
  <c r="DE40" i="23"/>
  <c r="DF40" i="23"/>
  <c r="DG40" i="23"/>
  <c r="DH40" i="23"/>
  <c r="DI40" i="23"/>
  <c r="DJ40" i="23"/>
  <c r="DK40" i="23"/>
  <c r="DL40" i="23"/>
  <c r="DM40" i="23"/>
  <c r="DN40" i="23"/>
  <c r="DO40" i="23"/>
  <c r="DP40" i="23"/>
  <c r="DQ40" i="23"/>
  <c r="DR40" i="23"/>
  <c r="DS40" i="23"/>
  <c r="DT40" i="23"/>
  <c r="DU40" i="23"/>
  <c r="DV40" i="23"/>
  <c r="DW40" i="23"/>
  <c r="DX40" i="23"/>
  <c r="DY40" i="23"/>
  <c r="DZ40" i="23"/>
  <c r="EA40" i="23"/>
  <c r="EB40" i="23"/>
  <c r="EC40" i="23"/>
  <c r="ED40" i="23"/>
  <c r="EE40" i="23"/>
  <c r="EF40" i="23"/>
  <c r="EG40" i="23"/>
  <c r="EH40" i="23"/>
  <c r="EI40" i="23"/>
  <c r="EJ40" i="23"/>
  <c r="EK40" i="23"/>
  <c r="EL40" i="23"/>
  <c r="EM40" i="23"/>
  <c r="EN40" i="23"/>
  <c r="EO40" i="23"/>
  <c r="EP40" i="23"/>
  <c r="EQ40" i="23"/>
  <c r="ER40" i="23"/>
  <c r="ES40" i="23"/>
  <c r="ET40" i="23"/>
  <c r="EU40" i="23"/>
  <c r="EV40" i="23"/>
  <c r="EW40" i="23"/>
  <c r="EX40" i="23"/>
  <c r="EY40" i="23"/>
  <c r="EZ40" i="23"/>
  <c r="FA40" i="23"/>
  <c r="FB40" i="23"/>
  <c r="FC40" i="23"/>
  <c r="FD40" i="23"/>
  <c r="FE40" i="23"/>
  <c r="FF40" i="23"/>
  <c r="FG40" i="23"/>
  <c r="FH40" i="23"/>
  <c r="FI40" i="23"/>
  <c r="FJ40" i="23"/>
  <c r="FK40" i="23"/>
  <c r="FL40" i="23"/>
  <c r="FM40" i="23"/>
  <c r="FN40" i="23"/>
  <c r="FO40" i="23"/>
  <c r="FP40" i="23"/>
  <c r="FQ40" i="23"/>
  <c r="FR40" i="23"/>
  <c r="FS40" i="23"/>
  <c r="FT40" i="23"/>
  <c r="FU40" i="23"/>
  <c r="FV40" i="23"/>
  <c r="FW40" i="23"/>
  <c r="FX40" i="23"/>
  <c r="FY40" i="23"/>
  <c r="FZ40" i="23"/>
  <c r="GA40" i="23"/>
  <c r="GB40" i="23"/>
  <c r="GC40" i="23"/>
  <c r="GD40" i="23"/>
  <c r="GE40" i="23"/>
  <c r="GF40" i="23"/>
  <c r="GG40" i="23"/>
  <c r="GH40" i="23"/>
  <c r="GI40" i="23"/>
  <c r="GJ40" i="23"/>
  <c r="GK40" i="23"/>
  <c r="GL40" i="23"/>
  <c r="GM40" i="23"/>
  <c r="GN40" i="23"/>
  <c r="GO40" i="23"/>
  <c r="GP40" i="23"/>
  <c r="GQ40" i="23"/>
  <c r="GR40" i="23"/>
  <c r="GS40" i="23"/>
  <c r="GT40" i="23"/>
  <c r="GU40" i="23"/>
  <c r="GV40" i="23"/>
  <c r="GW40" i="23"/>
  <c r="GX40" i="23"/>
  <c r="GY40" i="23"/>
  <c r="GZ40" i="23"/>
  <c r="HA40" i="23"/>
  <c r="HB40" i="23"/>
  <c r="HC40" i="23"/>
  <c r="HD40" i="23"/>
  <c r="HE40" i="23"/>
  <c r="HF40" i="23"/>
  <c r="HG40" i="23"/>
  <c r="HH40" i="23"/>
  <c r="HI40" i="23"/>
  <c r="HJ40" i="23"/>
  <c r="HK40" i="23"/>
  <c r="HL40" i="23"/>
  <c r="HM40" i="23"/>
  <c r="HN40" i="23"/>
  <c r="HO40" i="23"/>
  <c r="HP40" i="23"/>
  <c r="HQ40" i="23"/>
  <c r="HR40" i="23"/>
  <c r="HS40" i="23"/>
  <c r="HT40" i="23"/>
  <c r="HU40" i="23"/>
  <c r="HV40" i="23"/>
  <c r="HW40" i="23"/>
  <c r="HX40" i="23"/>
  <c r="HY40" i="23"/>
  <c r="HZ40" i="23"/>
  <c r="IA40" i="23"/>
  <c r="IB40" i="23"/>
  <c r="IC40" i="23"/>
  <c r="ID40" i="23"/>
  <c r="IE40" i="23"/>
  <c r="IF40" i="23"/>
  <c r="IG40" i="23"/>
  <c r="IH40" i="23"/>
  <c r="II40" i="23"/>
  <c r="IJ40" i="23"/>
  <c r="IK40" i="23"/>
  <c r="IL40" i="23"/>
  <c r="IM40" i="23"/>
  <c r="IN40" i="23"/>
  <c r="IO40" i="23"/>
  <c r="IP40" i="23"/>
  <c r="IQ40" i="23"/>
  <c r="IR40" i="23"/>
  <c r="IS40" i="23"/>
  <c r="IT40" i="23"/>
  <c r="IU40" i="23"/>
  <c r="IV40" i="23"/>
  <c r="A39" i="23"/>
  <c r="B39" i="23"/>
  <c r="C39" i="23"/>
  <c r="D39" i="23"/>
  <c r="E39" i="23"/>
  <c r="F39" i="23"/>
  <c r="G39" i="23"/>
  <c r="H39" i="23"/>
  <c r="I39" i="23"/>
  <c r="J39" i="23"/>
  <c r="K39" i="23"/>
  <c r="L39" i="23"/>
  <c r="M39" i="23"/>
  <c r="N39" i="23"/>
  <c r="O39" i="23"/>
  <c r="P39" i="23"/>
  <c r="Q39" i="23"/>
  <c r="R39" i="23"/>
  <c r="S39" i="23"/>
  <c r="T39" i="23"/>
  <c r="U39" i="23"/>
  <c r="V39" i="23"/>
  <c r="W39" i="23"/>
  <c r="X39" i="23"/>
  <c r="Y39" i="23"/>
  <c r="Z39" i="23"/>
  <c r="AA39" i="23"/>
  <c r="AB39" i="23"/>
  <c r="AC39" i="23"/>
  <c r="AD39" i="23"/>
  <c r="AE39" i="23"/>
  <c r="AF39" i="23"/>
  <c r="AG39" i="23"/>
  <c r="AH39" i="23"/>
  <c r="AI39" i="23"/>
  <c r="AJ39" i="23"/>
  <c r="AK39" i="23"/>
  <c r="AL39" i="23"/>
  <c r="AM39" i="23"/>
  <c r="AN39" i="23"/>
  <c r="AO39" i="23"/>
  <c r="AP39" i="23"/>
  <c r="AQ39" i="23"/>
  <c r="AR39" i="23"/>
  <c r="AS39" i="23"/>
  <c r="AT39" i="23"/>
  <c r="AU39" i="23"/>
  <c r="AV39" i="23"/>
  <c r="AW39" i="23"/>
  <c r="AX39" i="23"/>
  <c r="AY39" i="23"/>
  <c r="AZ39" i="23"/>
  <c r="BA39" i="23"/>
  <c r="BB39" i="23"/>
  <c r="BC39" i="23"/>
  <c r="BD39" i="23"/>
  <c r="BE39" i="23"/>
  <c r="BF39" i="23"/>
  <c r="BG39" i="23"/>
  <c r="BH39" i="23"/>
  <c r="BI39" i="23"/>
  <c r="BJ39" i="23"/>
  <c r="BK39" i="23"/>
  <c r="BL39" i="23"/>
  <c r="BM39" i="23"/>
  <c r="BN39" i="23"/>
  <c r="BO39" i="23"/>
  <c r="BP39" i="23"/>
  <c r="BQ39" i="23"/>
  <c r="BR39" i="23"/>
  <c r="BS39" i="23"/>
  <c r="BT39" i="23"/>
  <c r="BU39" i="23"/>
  <c r="BV39" i="23"/>
  <c r="BW39" i="23"/>
  <c r="BX39" i="23"/>
  <c r="BY39" i="23"/>
  <c r="BZ39" i="23"/>
  <c r="CA39" i="23"/>
  <c r="CB39" i="23"/>
  <c r="CC39" i="23"/>
  <c r="CD39" i="23"/>
  <c r="CE39" i="23"/>
  <c r="CF39" i="23"/>
  <c r="CG39" i="23"/>
  <c r="CH39" i="23"/>
  <c r="CI39" i="23"/>
  <c r="CJ39" i="23"/>
  <c r="CK39" i="23"/>
  <c r="CL39" i="23"/>
  <c r="CM39" i="23"/>
  <c r="CN39" i="23"/>
  <c r="CO39" i="23"/>
  <c r="CP39" i="23"/>
  <c r="CQ39" i="23"/>
  <c r="CR39" i="23"/>
  <c r="CS39" i="23"/>
  <c r="CT39" i="23"/>
  <c r="CU39" i="23"/>
  <c r="CV39" i="23"/>
  <c r="CW39" i="23"/>
  <c r="CX39" i="23"/>
  <c r="CY39" i="23"/>
  <c r="CZ39" i="23"/>
  <c r="DA39" i="23"/>
  <c r="DB39" i="23"/>
  <c r="DC39" i="23"/>
  <c r="DD39" i="23"/>
  <c r="DE39" i="23"/>
  <c r="DF39" i="23"/>
  <c r="DG39" i="23"/>
  <c r="DH39" i="23"/>
  <c r="DI39" i="23"/>
  <c r="DJ39" i="23"/>
  <c r="DK39" i="23"/>
  <c r="DL39" i="23"/>
  <c r="DM39" i="23"/>
  <c r="DN39" i="23"/>
  <c r="DO39" i="23"/>
  <c r="DP39" i="23"/>
  <c r="DQ39" i="23"/>
  <c r="DR39" i="23"/>
  <c r="DS39" i="23"/>
  <c r="DT39" i="23"/>
  <c r="DU39" i="23"/>
  <c r="DV39" i="23"/>
  <c r="DW39" i="23"/>
  <c r="DX39" i="23"/>
  <c r="DY39" i="23"/>
  <c r="DZ39" i="23"/>
  <c r="EA39" i="23"/>
  <c r="EB39" i="23"/>
  <c r="EC39" i="23"/>
  <c r="ED39" i="23"/>
  <c r="EE39" i="23"/>
  <c r="EF39" i="23"/>
  <c r="EG39" i="23"/>
  <c r="EH39" i="23"/>
  <c r="EI39" i="23"/>
  <c r="EJ39" i="23"/>
  <c r="EK39" i="23"/>
  <c r="EL39" i="23"/>
  <c r="EM39" i="23"/>
  <c r="EN39" i="23"/>
  <c r="EO39" i="23"/>
  <c r="EP39" i="23"/>
  <c r="EQ39" i="23"/>
  <c r="ER39" i="23"/>
  <c r="ES39" i="23"/>
  <c r="ET39" i="23"/>
  <c r="EU39" i="23"/>
  <c r="EV39" i="23"/>
  <c r="EW39" i="23"/>
  <c r="EX39" i="23"/>
  <c r="EY39" i="23"/>
  <c r="EZ39" i="23"/>
  <c r="FA39" i="23"/>
  <c r="FB39" i="23"/>
  <c r="FC39" i="23"/>
  <c r="FD39" i="23"/>
  <c r="FE39" i="23"/>
  <c r="FF39" i="23"/>
  <c r="FG39" i="23"/>
  <c r="FH39" i="23"/>
  <c r="FI39" i="23"/>
  <c r="FJ39" i="23"/>
  <c r="FK39" i="23"/>
  <c r="FL39" i="23"/>
  <c r="FM39" i="23"/>
  <c r="FN39" i="23"/>
  <c r="FO39" i="23"/>
  <c r="FP39" i="23"/>
  <c r="FQ39" i="23"/>
  <c r="FR39" i="23"/>
  <c r="FS39" i="23"/>
  <c r="FT39" i="23"/>
  <c r="FU39" i="23"/>
  <c r="FV39" i="23"/>
  <c r="FW39" i="23"/>
  <c r="FX39" i="23"/>
  <c r="FY39" i="23"/>
  <c r="FZ39" i="23"/>
  <c r="GA39" i="23"/>
  <c r="GB39" i="23"/>
  <c r="GC39" i="23"/>
  <c r="GD39" i="23"/>
  <c r="GE39" i="23"/>
  <c r="GF39" i="23"/>
  <c r="GG39" i="23"/>
  <c r="GH39" i="23"/>
  <c r="GI39" i="23"/>
  <c r="GJ39" i="23"/>
  <c r="GK39" i="23"/>
  <c r="GL39" i="23"/>
  <c r="GM39" i="23"/>
  <c r="GN39" i="23"/>
  <c r="GO39" i="23"/>
  <c r="GP39" i="23"/>
  <c r="GQ39" i="23"/>
  <c r="GR39" i="23"/>
  <c r="GS39" i="23"/>
  <c r="GT39" i="23"/>
  <c r="GU39" i="23"/>
  <c r="GV39" i="23"/>
  <c r="GW39" i="23"/>
  <c r="GX39" i="23"/>
  <c r="GY39" i="23"/>
  <c r="GZ39" i="23"/>
  <c r="HA39" i="23"/>
  <c r="HB39" i="23"/>
  <c r="HC39" i="23"/>
  <c r="HD39" i="23"/>
  <c r="HE39" i="23"/>
  <c r="HF39" i="23"/>
  <c r="HG39" i="23"/>
  <c r="HH39" i="23"/>
  <c r="HI39" i="23"/>
  <c r="HJ39" i="23"/>
  <c r="HK39" i="23"/>
  <c r="HL39" i="23"/>
  <c r="HM39" i="23"/>
  <c r="HN39" i="23"/>
  <c r="HO39" i="23"/>
  <c r="HP39" i="23"/>
  <c r="HQ39" i="23"/>
  <c r="HR39" i="23"/>
  <c r="HS39" i="23"/>
  <c r="HT39" i="23"/>
  <c r="HU39" i="23"/>
  <c r="HV39" i="23"/>
  <c r="HW39" i="23"/>
  <c r="HX39" i="23"/>
  <c r="HY39" i="23"/>
  <c r="HZ39" i="23"/>
  <c r="IA39" i="23"/>
  <c r="IB39" i="23"/>
  <c r="IC39" i="23"/>
  <c r="ID39" i="23"/>
  <c r="IE39" i="23"/>
  <c r="IF39" i="23"/>
  <c r="IG39" i="23"/>
  <c r="IH39" i="23"/>
  <c r="II39" i="23"/>
  <c r="IJ39" i="23"/>
  <c r="IK39" i="23"/>
  <c r="IL39" i="23"/>
  <c r="IM39" i="23"/>
  <c r="IN39" i="23"/>
  <c r="IO39" i="23"/>
  <c r="IP39" i="23"/>
  <c r="IQ39" i="23"/>
  <c r="IR39" i="23"/>
  <c r="IS39" i="23"/>
  <c r="IT39" i="23"/>
  <c r="IU39" i="23"/>
  <c r="IV39" i="23"/>
  <c r="A38" i="23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AR38" i="23"/>
  <c r="AS38" i="23"/>
  <c r="AT38" i="23"/>
  <c r="AU38" i="23"/>
  <c r="AV38" i="23"/>
  <c r="AW38" i="23"/>
  <c r="AX38" i="23"/>
  <c r="AY38" i="23"/>
  <c r="AZ38" i="23"/>
  <c r="BA38" i="23"/>
  <c r="BB38" i="23"/>
  <c r="BC38" i="23"/>
  <c r="BD38" i="23"/>
  <c r="BE38" i="23"/>
  <c r="BF38" i="23"/>
  <c r="BG38" i="23"/>
  <c r="BH38" i="23"/>
  <c r="BI38" i="23"/>
  <c r="BJ38" i="23"/>
  <c r="BK38" i="23"/>
  <c r="BL38" i="23"/>
  <c r="BM38" i="23"/>
  <c r="BN38" i="23"/>
  <c r="BO38" i="23"/>
  <c r="BP38" i="23"/>
  <c r="BQ38" i="23"/>
  <c r="BR38" i="23"/>
  <c r="BS38" i="23"/>
  <c r="BT38" i="23"/>
  <c r="BU38" i="23"/>
  <c r="BV38" i="23"/>
  <c r="BW38" i="23"/>
  <c r="BX38" i="23"/>
  <c r="BY38" i="23"/>
  <c r="BZ38" i="23"/>
  <c r="CA38" i="23"/>
  <c r="CB38" i="23"/>
  <c r="CC38" i="23"/>
  <c r="CD38" i="23"/>
  <c r="CE38" i="23"/>
  <c r="CF38" i="23"/>
  <c r="CG38" i="23"/>
  <c r="CH38" i="23"/>
  <c r="CI38" i="23"/>
  <c r="CJ38" i="23"/>
  <c r="CK38" i="23"/>
  <c r="CL38" i="23"/>
  <c r="CM38" i="23"/>
  <c r="CN38" i="23"/>
  <c r="CO38" i="23"/>
  <c r="CP38" i="23"/>
  <c r="CQ38" i="23"/>
  <c r="CR38" i="23"/>
  <c r="CS38" i="23"/>
  <c r="CT38" i="23"/>
  <c r="CU38" i="23"/>
  <c r="CV38" i="23"/>
  <c r="CW38" i="23"/>
  <c r="CX38" i="23"/>
  <c r="CY38" i="23"/>
  <c r="CZ38" i="23"/>
  <c r="DA38" i="23"/>
  <c r="DB38" i="23"/>
  <c r="DC38" i="23"/>
  <c r="DD38" i="23"/>
  <c r="DE38" i="23"/>
  <c r="DF38" i="23"/>
  <c r="DG38" i="23"/>
  <c r="DH38" i="23"/>
  <c r="DI38" i="23"/>
  <c r="DJ38" i="23"/>
  <c r="DK38" i="23"/>
  <c r="DL38" i="23"/>
  <c r="DM38" i="23"/>
  <c r="DN38" i="23"/>
  <c r="DO38" i="23"/>
  <c r="DP38" i="23"/>
  <c r="DQ38" i="23"/>
  <c r="DR38" i="23"/>
  <c r="DS38" i="23"/>
  <c r="DT38" i="23"/>
  <c r="DU38" i="23"/>
  <c r="DV38" i="23"/>
  <c r="DW38" i="23"/>
  <c r="DX38" i="23"/>
  <c r="DY38" i="23"/>
  <c r="DZ38" i="23"/>
  <c r="EA38" i="23"/>
  <c r="EB38" i="23"/>
  <c r="EC38" i="23"/>
  <c r="ED38" i="23"/>
  <c r="EE38" i="23"/>
  <c r="EF38" i="23"/>
  <c r="EG38" i="23"/>
  <c r="EH38" i="23"/>
  <c r="EI38" i="23"/>
  <c r="EJ38" i="23"/>
  <c r="EK38" i="23"/>
  <c r="EL38" i="23"/>
  <c r="EM38" i="23"/>
  <c r="EN38" i="23"/>
  <c r="EO38" i="23"/>
  <c r="EP38" i="23"/>
  <c r="EQ38" i="23"/>
  <c r="ER38" i="23"/>
  <c r="ES38" i="23"/>
  <c r="ET38" i="23"/>
  <c r="EU38" i="23"/>
  <c r="EV38" i="23"/>
  <c r="EW38" i="23"/>
  <c r="EX38" i="23"/>
  <c r="EY38" i="23"/>
  <c r="EZ38" i="23"/>
  <c r="FA38" i="23"/>
  <c r="FB38" i="23"/>
  <c r="FC38" i="23"/>
  <c r="FD38" i="23"/>
  <c r="FE38" i="23"/>
  <c r="FF38" i="23"/>
  <c r="FG38" i="23"/>
  <c r="FH38" i="23"/>
  <c r="FI38" i="23"/>
  <c r="FJ38" i="23"/>
  <c r="FK38" i="23"/>
  <c r="FL38" i="23"/>
  <c r="FM38" i="23"/>
  <c r="FN38" i="23"/>
  <c r="FO38" i="23"/>
  <c r="FP38" i="23"/>
  <c r="FQ38" i="23"/>
  <c r="FR38" i="23"/>
  <c r="FS38" i="23"/>
  <c r="FT38" i="23"/>
  <c r="FU38" i="23"/>
  <c r="FV38" i="23"/>
  <c r="FW38" i="23"/>
  <c r="FX38" i="23"/>
  <c r="FY38" i="23"/>
  <c r="FZ38" i="23"/>
  <c r="GA38" i="23"/>
  <c r="GB38" i="23"/>
  <c r="GC38" i="23"/>
  <c r="GD38" i="23"/>
  <c r="GE38" i="23"/>
  <c r="GF38" i="23"/>
  <c r="GG38" i="23"/>
  <c r="GH38" i="23"/>
  <c r="GI38" i="23"/>
  <c r="GJ38" i="23"/>
  <c r="GK38" i="23"/>
  <c r="GL38" i="23"/>
  <c r="GM38" i="23"/>
  <c r="GN38" i="23"/>
  <c r="GO38" i="23"/>
  <c r="GP38" i="23"/>
  <c r="GQ38" i="23"/>
  <c r="GR38" i="23"/>
  <c r="GS38" i="23"/>
  <c r="GT38" i="23"/>
  <c r="GU38" i="23"/>
  <c r="GV38" i="23"/>
  <c r="GW38" i="23"/>
  <c r="GX38" i="23"/>
  <c r="GY38" i="23"/>
  <c r="GZ38" i="23"/>
  <c r="HA38" i="23"/>
  <c r="HB38" i="23"/>
  <c r="HC38" i="23"/>
  <c r="HD38" i="23"/>
  <c r="HE38" i="23"/>
  <c r="HF38" i="23"/>
  <c r="HG38" i="23"/>
  <c r="HH38" i="23"/>
  <c r="HI38" i="23"/>
  <c r="HJ38" i="23"/>
  <c r="HK38" i="23"/>
  <c r="HL38" i="23"/>
  <c r="HM38" i="23"/>
  <c r="HN38" i="23"/>
  <c r="HO38" i="23"/>
  <c r="HP38" i="23"/>
  <c r="HQ38" i="23"/>
  <c r="HR38" i="23"/>
  <c r="HS38" i="23"/>
  <c r="HT38" i="23"/>
  <c r="HU38" i="23"/>
  <c r="HV38" i="23"/>
  <c r="HW38" i="23"/>
  <c r="HX38" i="23"/>
  <c r="HY38" i="23"/>
  <c r="HZ38" i="23"/>
  <c r="IA38" i="23"/>
  <c r="IB38" i="23"/>
  <c r="IC38" i="23"/>
  <c r="ID38" i="23"/>
  <c r="IE38" i="23"/>
  <c r="IF38" i="23"/>
  <c r="IG38" i="23"/>
  <c r="IH38" i="23"/>
  <c r="II38" i="23"/>
  <c r="IJ38" i="23"/>
  <c r="IK38" i="23"/>
  <c r="IL38" i="23"/>
  <c r="IM38" i="23"/>
  <c r="IN38" i="23"/>
  <c r="IO38" i="23"/>
  <c r="IP38" i="23"/>
  <c r="IQ38" i="23"/>
  <c r="IR38" i="23"/>
  <c r="IS38" i="23"/>
  <c r="IT38" i="23"/>
  <c r="IU38" i="23"/>
  <c r="IV38" i="23"/>
  <c r="A37" i="23"/>
  <c r="B37" i="23"/>
  <c r="C37" i="23"/>
  <c r="D37" i="23"/>
  <c r="E37" i="23"/>
  <c r="F37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T37" i="23"/>
  <c r="U37" i="23"/>
  <c r="V37" i="23"/>
  <c r="W37" i="23"/>
  <c r="X37" i="23"/>
  <c r="Y37" i="23"/>
  <c r="Z37" i="23"/>
  <c r="AA37" i="23"/>
  <c r="AB37" i="23"/>
  <c r="AC37" i="23"/>
  <c r="AD37" i="23"/>
  <c r="AE37" i="23"/>
  <c r="AF37" i="23"/>
  <c r="AG37" i="23"/>
  <c r="AH37" i="23"/>
  <c r="AI37" i="23"/>
  <c r="AJ37" i="23"/>
  <c r="AK37" i="23"/>
  <c r="AL37" i="23"/>
  <c r="AM37" i="23"/>
  <c r="AN37" i="23"/>
  <c r="AO37" i="23"/>
  <c r="AP37" i="23"/>
  <c r="AQ37" i="23"/>
  <c r="AR37" i="23"/>
  <c r="AS37" i="23"/>
  <c r="AT37" i="23"/>
  <c r="AU37" i="23"/>
  <c r="AV37" i="23"/>
  <c r="AW37" i="23"/>
  <c r="AX37" i="23"/>
  <c r="AY37" i="23"/>
  <c r="AZ37" i="23"/>
  <c r="BA37" i="23"/>
  <c r="BB37" i="23"/>
  <c r="BC37" i="23"/>
  <c r="BD37" i="23"/>
  <c r="BE37" i="23"/>
  <c r="BF37" i="23"/>
  <c r="BG37" i="23"/>
  <c r="BH37" i="23"/>
  <c r="BI37" i="23"/>
  <c r="BJ37" i="23"/>
  <c r="BK37" i="23"/>
  <c r="BL37" i="23"/>
  <c r="BM37" i="23"/>
  <c r="BN37" i="23"/>
  <c r="BO37" i="23"/>
  <c r="BP37" i="23"/>
  <c r="BQ37" i="23"/>
  <c r="BR37" i="23"/>
  <c r="BS37" i="23"/>
  <c r="BT37" i="23"/>
  <c r="BU37" i="23"/>
  <c r="BV37" i="23"/>
  <c r="BW37" i="23"/>
  <c r="BX37" i="23"/>
  <c r="BY37" i="23"/>
  <c r="BZ37" i="23"/>
  <c r="CA37" i="23"/>
  <c r="CB37" i="23"/>
  <c r="CC37" i="23"/>
  <c r="CD37" i="23"/>
  <c r="CE37" i="23"/>
  <c r="CF37" i="23"/>
  <c r="CG37" i="23"/>
  <c r="CH37" i="23"/>
  <c r="CI37" i="23"/>
  <c r="CJ37" i="23"/>
  <c r="CK37" i="23"/>
  <c r="CL37" i="23"/>
  <c r="CM37" i="23"/>
  <c r="CN37" i="23"/>
  <c r="CO37" i="23"/>
  <c r="CP37" i="23"/>
  <c r="CQ37" i="23"/>
  <c r="CR37" i="23"/>
  <c r="CS37" i="23"/>
  <c r="CT37" i="23"/>
  <c r="CU37" i="23"/>
  <c r="CV37" i="23"/>
  <c r="CW37" i="23"/>
  <c r="CX37" i="23"/>
  <c r="CY37" i="23"/>
  <c r="CZ37" i="23"/>
  <c r="DA37" i="23"/>
  <c r="DB37" i="23"/>
  <c r="DC37" i="23"/>
  <c r="DD37" i="23"/>
  <c r="DE37" i="23"/>
  <c r="DF37" i="23"/>
  <c r="DG37" i="23"/>
  <c r="DH37" i="23"/>
  <c r="DI37" i="23"/>
  <c r="DJ37" i="23"/>
  <c r="DK37" i="23"/>
  <c r="DL37" i="23"/>
  <c r="DM37" i="23"/>
  <c r="DN37" i="23"/>
  <c r="DO37" i="23"/>
  <c r="DP37" i="23"/>
  <c r="DQ37" i="23"/>
  <c r="DR37" i="23"/>
  <c r="DS37" i="23"/>
  <c r="DT37" i="23"/>
  <c r="DU37" i="23"/>
  <c r="DV37" i="23"/>
  <c r="DW37" i="23"/>
  <c r="DX37" i="23"/>
  <c r="DY37" i="23"/>
  <c r="DZ37" i="23"/>
  <c r="EA37" i="23"/>
  <c r="EB37" i="23"/>
  <c r="EC37" i="23"/>
  <c r="ED37" i="23"/>
  <c r="EE37" i="23"/>
  <c r="EF37" i="23"/>
  <c r="EG37" i="23"/>
  <c r="EH37" i="23"/>
  <c r="EI37" i="23"/>
  <c r="EJ37" i="23"/>
  <c r="EK37" i="23"/>
  <c r="EL37" i="23"/>
  <c r="EM37" i="23"/>
  <c r="EN37" i="23"/>
  <c r="EO37" i="23"/>
  <c r="EP37" i="23"/>
  <c r="EQ37" i="23"/>
  <c r="ER37" i="23"/>
  <c r="ES37" i="23"/>
  <c r="ET37" i="23"/>
  <c r="EU37" i="23"/>
  <c r="EV37" i="23"/>
  <c r="EW37" i="23"/>
  <c r="EX37" i="23"/>
  <c r="EY37" i="23"/>
  <c r="EZ37" i="23"/>
  <c r="FA37" i="23"/>
  <c r="FB37" i="23"/>
  <c r="FC37" i="23"/>
  <c r="FD37" i="23"/>
  <c r="FE37" i="23"/>
  <c r="FF37" i="23"/>
  <c r="FG37" i="23"/>
  <c r="FH37" i="23"/>
  <c r="FI37" i="23"/>
  <c r="FJ37" i="23"/>
  <c r="FK37" i="23"/>
  <c r="FL37" i="23"/>
  <c r="FM37" i="23"/>
  <c r="FN37" i="23"/>
  <c r="FO37" i="23"/>
  <c r="FP37" i="23"/>
  <c r="FQ37" i="23"/>
  <c r="FR37" i="23"/>
  <c r="FS37" i="23"/>
  <c r="FT37" i="23"/>
  <c r="FU37" i="23"/>
  <c r="FV37" i="23"/>
  <c r="FW37" i="23"/>
  <c r="FX37" i="23"/>
  <c r="FY37" i="23"/>
  <c r="FZ37" i="23"/>
  <c r="GA37" i="23"/>
  <c r="GB37" i="23"/>
  <c r="GC37" i="23"/>
  <c r="GD37" i="23"/>
  <c r="GE37" i="23"/>
  <c r="GF37" i="23"/>
  <c r="GG37" i="23"/>
  <c r="GH37" i="23"/>
  <c r="GI37" i="23"/>
  <c r="GJ37" i="23"/>
  <c r="GK37" i="23"/>
  <c r="GL37" i="23"/>
  <c r="GM37" i="23"/>
  <c r="GN37" i="23"/>
  <c r="GO37" i="23"/>
  <c r="GP37" i="23"/>
  <c r="GQ37" i="23"/>
  <c r="GR37" i="23"/>
  <c r="GS37" i="23"/>
  <c r="GT37" i="23"/>
  <c r="GU37" i="23"/>
  <c r="GV37" i="23"/>
  <c r="GW37" i="23"/>
  <c r="GX37" i="23"/>
  <c r="GY37" i="23"/>
  <c r="GZ37" i="23"/>
  <c r="HA37" i="23"/>
  <c r="HB37" i="23"/>
  <c r="HC37" i="23"/>
  <c r="HD37" i="23"/>
  <c r="HE37" i="23"/>
  <c r="HF37" i="23"/>
  <c r="HG37" i="23"/>
  <c r="HH37" i="23"/>
  <c r="HI37" i="23"/>
  <c r="HJ37" i="23"/>
  <c r="HK37" i="23"/>
  <c r="HL37" i="23"/>
  <c r="HM37" i="23"/>
  <c r="HN37" i="23"/>
  <c r="HO37" i="23"/>
  <c r="HP37" i="23"/>
  <c r="HQ37" i="23"/>
  <c r="HR37" i="23"/>
  <c r="HS37" i="23"/>
  <c r="HT37" i="23"/>
  <c r="HU37" i="23"/>
  <c r="HV37" i="23"/>
  <c r="HW37" i="23"/>
  <c r="HX37" i="23"/>
  <c r="HY37" i="23"/>
  <c r="HZ37" i="23"/>
  <c r="IA37" i="23"/>
  <c r="IB37" i="23"/>
  <c r="IC37" i="23"/>
  <c r="ID37" i="23"/>
  <c r="IE37" i="23"/>
  <c r="IF37" i="23"/>
  <c r="IG37" i="23"/>
  <c r="IH37" i="23"/>
  <c r="II37" i="23"/>
  <c r="IJ37" i="23"/>
  <c r="IK37" i="23"/>
  <c r="IL37" i="23"/>
  <c r="IM37" i="23"/>
  <c r="IN37" i="23"/>
  <c r="IO37" i="23"/>
  <c r="IP37" i="23"/>
  <c r="IQ37" i="23"/>
  <c r="IR37" i="23"/>
  <c r="IS37" i="23"/>
  <c r="IT37" i="23"/>
  <c r="IU37" i="23"/>
  <c r="IV37" i="23"/>
  <c r="A36" i="23"/>
  <c r="B36" i="23"/>
  <c r="C36" i="23"/>
  <c r="D36" i="23"/>
  <c r="E36" i="23"/>
  <c r="F36" i="23"/>
  <c r="G36" i="23"/>
  <c r="H36" i="23"/>
  <c r="I36" i="23"/>
  <c r="J36" i="23"/>
  <c r="K36" i="23"/>
  <c r="L36" i="23"/>
  <c r="M36" i="23"/>
  <c r="N36" i="23"/>
  <c r="O36" i="23"/>
  <c r="P36" i="23"/>
  <c r="Q36" i="23"/>
  <c r="R36" i="23"/>
  <c r="S36" i="23"/>
  <c r="T36" i="23"/>
  <c r="U36" i="23"/>
  <c r="V36" i="23"/>
  <c r="W36" i="23"/>
  <c r="X36" i="23"/>
  <c r="Y36" i="23"/>
  <c r="Z36" i="23"/>
  <c r="AA36" i="23"/>
  <c r="AB36" i="23"/>
  <c r="AC36" i="23"/>
  <c r="AD36" i="23"/>
  <c r="AE36" i="23"/>
  <c r="AF36" i="23"/>
  <c r="AG36" i="23"/>
  <c r="AH36" i="23"/>
  <c r="AI36" i="23"/>
  <c r="AJ36" i="23"/>
  <c r="AK36" i="23"/>
  <c r="AL36" i="23"/>
  <c r="AM36" i="23"/>
  <c r="AN36" i="23"/>
  <c r="AO36" i="23"/>
  <c r="AP36" i="23"/>
  <c r="AQ36" i="23"/>
  <c r="AR36" i="23"/>
  <c r="AS36" i="23"/>
  <c r="AT36" i="23"/>
  <c r="AU36" i="23"/>
  <c r="AV36" i="23"/>
  <c r="AW36" i="23"/>
  <c r="AX36" i="23"/>
  <c r="AY36" i="23"/>
  <c r="AZ36" i="23"/>
  <c r="BA36" i="23"/>
  <c r="BB36" i="23"/>
  <c r="BC36" i="23"/>
  <c r="BD36" i="23"/>
  <c r="BE36" i="23"/>
  <c r="BF36" i="23"/>
  <c r="BG36" i="23"/>
  <c r="BH36" i="23"/>
  <c r="BI36" i="23"/>
  <c r="BJ36" i="23"/>
  <c r="BK36" i="23"/>
  <c r="BL36" i="23"/>
  <c r="BM36" i="23"/>
  <c r="BN36" i="23"/>
  <c r="BO36" i="23"/>
  <c r="BP36" i="23"/>
  <c r="BQ36" i="23"/>
  <c r="BR36" i="23"/>
  <c r="BS36" i="23"/>
  <c r="BT36" i="23"/>
  <c r="BU36" i="23"/>
  <c r="BV36" i="23"/>
  <c r="BW36" i="23"/>
  <c r="BX36" i="23"/>
  <c r="BY36" i="23"/>
  <c r="BZ36" i="23"/>
  <c r="CA36" i="23"/>
  <c r="CB36" i="23"/>
  <c r="CC36" i="23"/>
  <c r="CD36" i="23"/>
  <c r="CE36" i="23"/>
  <c r="CF36" i="23"/>
  <c r="CG36" i="23"/>
  <c r="CH36" i="23"/>
  <c r="CI36" i="23"/>
  <c r="CJ36" i="23"/>
  <c r="CK36" i="23"/>
  <c r="CL36" i="23"/>
  <c r="CM36" i="23"/>
  <c r="CN36" i="23"/>
  <c r="CO36" i="23"/>
  <c r="CP36" i="23"/>
  <c r="CQ36" i="23"/>
  <c r="CR36" i="23"/>
  <c r="CS36" i="23"/>
  <c r="CT36" i="23"/>
  <c r="CU36" i="23"/>
  <c r="CV36" i="23"/>
  <c r="CW36" i="23"/>
  <c r="CX36" i="23"/>
  <c r="CY36" i="23"/>
  <c r="CZ36" i="23"/>
  <c r="DA36" i="23"/>
  <c r="DB36" i="23"/>
  <c r="DC36" i="23"/>
  <c r="DD36" i="23"/>
  <c r="DE36" i="23"/>
  <c r="DF36" i="23"/>
  <c r="DG36" i="23"/>
  <c r="DH36" i="23"/>
  <c r="DI36" i="23"/>
  <c r="DJ36" i="23"/>
  <c r="DK36" i="23"/>
  <c r="DL36" i="23"/>
  <c r="DM36" i="23"/>
  <c r="DN36" i="23"/>
  <c r="DO36" i="23"/>
  <c r="DP36" i="23"/>
  <c r="DQ36" i="23"/>
  <c r="DR36" i="23"/>
  <c r="DS36" i="23"/>
  <c r="DT36" i="23"/>
  <c r="DU36" i="23"/>
  <c r="DV36" i="23"/>
  <c r="DW36" i="23"/>
  <c r="DX36" i="23"/>
  <c r="DY36" i="23"/>
  <c r="DZ36" i="23"/>
  <c r="EA36" i="23"/>
  <c r="EB36" i="23"/>
  <c r="EC36" i="23"/>
  <c r="ED36" i="23"/>
  <c r="EE36" i="23"/>
  <c r="EF36" i="23"/>
  <c r="EG36" i="23"/>
  <c r="EH36" i="23"/>
  <c r="EI36" i="23"/>
  <c r="EJ36" i="23"/>
  <c r="EK36" i="23"/>
  <c r="EL36" i="23"/>
  <c r="EM36" i="23"/>
  <c r="EN36" i="23"/>
  <c r="EO36" i="23"/>
  <c r="EP36" i="23"/>
  <c r="EQ36" i="23"/>
  <c r="ER36" i="23"/>
  <c r="ES36" i="23"/>
  <c r="ET36" i="23"/>
  <c r="EU36" i="23"/>
  <c r="EV36" i="23"/>
  <c r="EW36" i="23"/>
  <c r="EX36" i="23"/>
  <c r="EY36" i="23"/>
  <c r="EZ36" i="23"/>
  <c r="FA36" i="23"/>
  <c r="FB36" i="23"/>
  <c r="FC36" i="23"/>
  <c r="FD36" i="23"/>
  <c r="FE36" i="23"/>
  <c r="FF36" i="23"/>
  <c r="FG36" i="23"/>
  <c r="FH36" i="23"/>
  <c r="FI36" i="23"/>
  <c r="FJ36" i="23"/>
  <c r="FK36" i="23"/>
  <c r="FL36" i="23"/>
  <c r="FM36" i="23"/>
  <c r="FN36" i="23"/>
  <c r="FO36" i="23"/>
  <c r="FP36" i="23"/>
  <c r="FQ36" i="23"/>
  <c r="FR36" i="23"/>
  <c r="FS36" i="23"/>
  <c r="FT36" i="23"/>
  <c r="FU36" i="23"/>
  <c r="FV36" i="23"/>
  <c r="FW36" i="23"/>
  <c r="FX36" i="23"/>
  <c r="FY36" i="23"/>
  <c r="FZ36" i="23"/>
  <c r="GA36" i="23"/>
  <c r="GB36" i="23"/>
  <c r="GC36" i="23"/>
  <c r="GD36" i="23"/>
  <c r="GE36" i="23"/>
  <c r="GF36" i="23"/>
  <c r="GG36" i="23"/>
  <c r="GH36" i="23"/>
  <c r="GI36" i="23"/>
  <c r="GJ36" i="23"/>
  <c r="GK36" i="23"/>
  <c r="GL36" i="23"/>
  <c r="GM36" i="23"/>
  <c r="GN36" i="23"/>
  <c r="GO36" i="23"/>
  <c r="GP36" i="23"/>
  <c r="GQ36" i="23"/>
  <c r="GR36" i="23"/>
  <c r="GS36" i="23"/>
  <c r="GT36" i="23"/>
  <c r="GU36" i="23"/>
  <c r="GV36" i="23"/>
  <c r="GW36" i="23"/>
  <c r="GX36" i="23"/>
  <c r="GY36" i="23"/>
  <c r="GZ36" i="23"/>
  <c r="HA36" i="23"/>
  <c r="HB36" i="23"/>
  <c r="HC36" i="23"/>
  <c r="HD36" i="23"/>
  <c r="HE36" i="23"/>
  <c r="HF36" i="23"/>
  <c r="HG36" i="23"/>
  <c r="HH36" i="23"/>
  <c r="HI36" i="23"/>
  <c r="HJ36" i="23"/>
  <c r="HK36" i="23"/>
  <c r="HL36" i="23"/>
  <c r="HM36" i="23"/>
  <c r="HN36" i="23"/>
  <c r="HO36" i="23"/>
  <c r="HP36" i="23"/>
  <c r="HQ36" i="23"/>
  <c r="HR36" i="23"/>
  <c r="HS36" i="23"/>
  <c r="HT36" i="23"/>
  <c r="HU36" i="23"/>
  <c r="HV36" i="23"/>
  <c r="HW36" i="23"/>
  <c r="HX36" i="23"/>
  <c r="HY36" i="23"/>
  <c r="HZ36" i="23"/>
  <c r="IA36" i="23"/>
  <c r="IB36" i="23"/>
  <c r="IC36" i="23"/>
  <c r="ID36" i="23"/>
  <c r="IE36" i="23"/>
  <c r="IF36" i="23"/>
  <c r="IG36" i="23"/>
  <c r="IH36" i="23"/>
  <c r="II36" i="23"/>
  <c r="IJ36" i="23"/>
  <c r="IK36" i="23"/>
  <c r="IL36" i="23"/>
  <c r="IM36" i="23"/>
  <c r="IN36" i="23"/>
  <c r="IO36" i="23"/>
  <c r="IP36" i="23"/>
  <c r="IQ36" i="23"/>
  <c r="IR36" i="23"/>
  <c r="IS36" i="23"/>
  <c r="IT36" i="23"/>
  <c r="IU36" i="23"/>
  <c r="IV36" i="23"/>
  <c r="A35" i="23"/>
  <c r="B35" i="23"/>
  <c r="C35" i="23"/>
  <c r="D35" i="23"/>
  <c r="E35" i="23"/>
  <c r="F35" i="23"/>
  <c r="G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T35" i="23"/>
  <c r="U35" i="23"/>
  <c r="V35" i="23"/>
  <c r="W35" i="23"/>
  <c r="X35" i="23"/>
  <c r="Y35" i="23"/>
  <c r="Z35" i="23"/>
  <c r="AA35" i="23"/>
  <c r="AB35" i="23"/>
  <c r="AC35" i="23"/>
  <c r="AD35" i="23"/>
  <c r="AE35" i="23"/>
  <c r="AF35" i="23"/>
  <c r="AG35" i="23"/>
  <c r="AH35" i="23"/>
  <c r="AI35" i="23"/>
  <c r="AJ35" i="23"/>
  <c r="AK35" i="23"/>
  <c r="AL35" i="23"/>
  <c r="AM35" i="23"/>
  <c r="AN35" i="23"/>
  <c r="AO35" i="23"/>
  <c r="AP35" i="23"/>
  <c r="AQ35" i="23"/>
  <c r="AR35" i="23"/>
  <c r="AS35" i="23"/>
  <c r="AT35" i="23"/>
  <c r="AU35" i="23"/>
  <c r="AV35" i="23"/>
  <c r="AW35" i="23"/>
  <c r="AX35" i="23"/>
  <c r="AY35" i="23"/>
  <c r="AZ35" i="23"/>
  <c r="BA35" i="23"/>
  <c r="BB35" i="23"/>
  <c r="BC35" i="23"/>
  <c r="BD35" i="23"/>
  <c r="BE35" i="23"/>
  <c r="BF35" i="23"/>
  <c r="BG35" i="23"/>
  <c r="BH35" i="23"/>
  <c r="BI35" i="23"/>
  <c r="BJ35" i="23"/>
  <c r="BK35" i="23"/>
  <c r="BL35" i="23"/>
  <c r="BM35" i="23"/>
  <c r="BN35" i="23"/>
  <c r="BO35" i="23"/>
  <c r="BP35" i="23"/>
  <c r="BQ35" i="23"/>
  <c r="BR35" i="23"/>
  <c r="BS35" i="23"/>
  <c r="BT35" i="23"/>
  <c r="BU35" i="23"/>
  <c r="BV35" i="23"/>
  <c r="BW35" i="23"/>
  <c r="BX35" i="23"/>
  <c r="BY35" i="23"/>
  <c r="BZ35" i="23"/>
  <c r="CA35" i="23"/>
  <c r="CB35" i="23"/>
  <c r="CC35" i="23"/>
  <c r="CD35" i="23"/>
  <c r="CE35" i="23"/>
  <c r="CF35" i="23"/>
  <c r="CG35" i="23"/>
  <c r="CH35" i="23"/>
  <c r="CI35" i="23"/>
  <c r="CJ35" i="23"/>
  <c r="CK35" i="23"/>
  <c r="CL35" i="23"/>
  <c r="CM35" i="23"/>
  <c r="CN35" i="23"/>
  <c r="CO35" i="23"/>
  <c r="CP35" i="23"/>
  <c r="CQ35" i="23"/>
  <c r="CR35" i="23"/>
  <c r="CS35" i="23"/>
  <c r="CT35" i="23"/>
  <c r="CU35" i="23"/>
  <c r="CV35" i="23"/>
  <c r="CW35" i="23"/>
  <c r="CX35" i="23"/>
  <c r="CY35" i="23"/>
  <c r="CZ35" i="23"/>
  <c r="DA35" i="23"/>
  <c r="DB35" i="23"/>
  <c r="DC35" i="23"/>
  <c r="DD35" i="23"/>
  <c r="DE35" i="23"/>
  <c r="DF35" i="23"/>
  <c r="DG35" i="23"/>
  <c r="DH35" i="23"/>
  <c r="DI35" i="23"/>
  <c r="DJ35" i="23"/>
  <c r="DK35" i="23"/>
  <c r="DL35" i="23"/>
  <c r="DM35" i="23"/>
  <c r="DN35" i="23"/>
  <c r="DO35" i="23"/>
  <c r="DP35" i="23"/>
  <c r="DQ35" i="23"/>
  <c r="DR35" i="23"/>
  <c r="DS35" i="23"/>
  <c r="DT35" i="23"/>
  <c r="DU35" i="23"/>
  <c r="DV35" i="23"/>
  <c r="DW35" i="23"/>
  <c r="DX35" i="23"/>
  <c r="DY35" i="23"/>
  <c r="DZ35" i="23"/>
  <c r="EA35" i="23"/>
  <c r="EB35" i="23"/>
  <c r="EC35" i="23"/>
  <c r="ED35" i="23"/>
  <c r="EE35" i="23"/>
  <c r="EF35" i="23"/>
  <c r="EG35" i="23"/>
  <c r="EH35" i="23"/>
  <c r="EI35" i="23"/>
  <c r="EJ35" i="23"/>
  <c r="EK35" i="23"/>
  <c r="EL35" i="23"/>
  <c r="EM35" i="23"/>
  <c r="EN35" i="23"/>
  <c r="EO35" i="23"/>
  <c r="EP35" i="23"/>
  <c r="EQ35" i="23"/>
  <c r="ER35" i="23"/>
  <c r="ES35" i="23"/>
  <c r="ET35" i="23"/>
  <c r="EU35" i="23"/>
  <c r="EV35" i="23"/>
  <c r="EW35" i="23"/>
  <c r="EX35" i="23"/>
  <c r="EY35" i="23"/>
  <c r="EZ35" i="23"/>
  <c r="FA35" i="23"/>
  <c r="FB35" i="23"/>
  <c r="FC35" i="23"/>
  <c r="FD35" i="23"/>
  <c r="FE35" i="23"/>
  <c r="FF35" i="23"/>
  <c r="FG35" i="23"/>
  <c r="FH35" i="23"/>
  <c r="FI35" i="23"/>
  <c r="FJ35" i="23"/>
  <c r="FK35" i="23"/>
  <c r="FL35" i="23"/>
  <c r="FM35" i="23"/>
  <c r="FN35" i="23"/>
  <c r="FO35" i="23"/>
  <c r="FP35" i="23"/>
  <c r="FQ35" i="23"/>
  <c r="FR35" i="23"/>
  <c r="FS35" i="23"/>
  <c r="FT35" i="23"/>
  <c r="FU35" i="23"/>
  <c r="FV35" i="23"/>
  <c r="FW35" i="23"/>
  <c r="FX35" i="23"/>
  <c r="FY35" i="23"/>
  <c r="FZ35" i="23"/>
  <c r="GA35" i="23"/>
  <c r="GB35" i="23"/>
  <c r="GC35" i="23"/>
  <c r="GD35" i="23"/>
  <c r="GE35" i="23"/>
  <c r="GF35" i="23"/>
  <c r="GG35" i="23"/>
  <c r="GH35" i="23"/>
  <c r="GI35" i="23"/>
  <c r="GJ35" i="23"/>
  <c r="GK35" i="23"/>
  <c r="GL35" i="23"/>
  <c r="GM35" i="23"/>
  <c r="GN35" i="23"/>
  <c r="GO35" i="23"/>
  <c r="GP35" i="23"/>
  <c r="GQ35" i="23"/>
  <c r="GR35" i="23"/>
  <c r="GS35" i="23"/>
  <c r="GT35" i="23"/>
  <c r="GU35" i="23"/>
  <c r="GV35" i="23"/>
  <c r="GW35" i="23"/>
  <c r="GX35" i="23"/>
  <c r="GY35" i="23"/>
  <c r="GZ35" i="23"/>
  <c r="HA35" i="23"/>
  <c r="HB35" i="23"/>
  <c r="HC35" i="23"/>
  <c r="HD35" i="23"/>
  <c r="HE35" i="23"/>
  <c r="HF35" i="23"/>
  <c r="HG35" i="23"/>
  <c r="HH35" i="23"/>
  <c r="HI35" i="23"/>
  <c r="HJ35" i="23"/>
  <c r="HK35" i="23"/>
  <c r="HL35" i="23"/>
  <c r="HM35" i="23"/>
  <c r="HN35" i="23"/>
  <c r="HO35" i="23"/>
  <c r="HP35" i="23"/>
  <c r="HQ35" i="23"/>
  <c r="HR35" i="23"/>
  <c r="HS35" i="23"/>
  <c r="HT35" i="23"/>
  <c r="HU35" i="23"/>
  <c r="HV35" i="23"/>
  <c r="HW35" i="23"/>
  <c r="HX35" i="23"/>
  <c r="HY35" i="23"/>
  <c r="HZ35" i="23"/>
  <c r="IA35" i="23"/>
  <c r="IB35" i="23"/>
  <c r="IC35" i="23"/>
  <c r="ID35" i="23"/>
  <c r="IE35" i="23"/>
  <c r="IF35" i="23"/>
  <c r="IG35" i="23"/>
  <c r="IH35" i="23"/>
  <c r="II35" i="23"/>
  <c r="IJ35" i="23"/>
  <c r="IK35" i="23"/>
  <c r="IL35" i="23"/>
  <c r="IM35" i="23"/>
  <c r="IN35" i="23"/>
  <c r="IO35" i="23"/>
  <c r="IP35" i="23"/>
  <c r="IQ35" i="23"/>
  <c r="IR35" i="23"/>
  <c r="IS35" i="23"/>
  <c r="IT35" i="23"/>
  <c r="IU35" i="23"/>
  <c r="IV35" i="23"/>
  <c r="A34" i="23"/>
  <c r="B34" i="23"/>
  <c r="C34" i="23"/>
  <c r="D34" i="23"/>
  <c r="E34" i="23"/>
  <c r="F34" i="23"/>
  <c r="G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AE34" i="23"/>
  <c r="AF34" i="23"/>
  <c r="AG34" i="23"/>
  <c r="AH34" i="23"/>
  <c r="AI34" i="23"/>
  <c r="AJ34" i="23"/>
  <c r="AK34" i="23"/>
  <c r="AL34" i="23"/>
  <c r="AM34" i="23"/>
  <c r="AN34" i="23"/>
  <c r="AO34" i="23"/>
  <c r="AP34" i="23"/>
  <c r="AQ34" i="23"/>
  <c r="AR34" i="23"/>
  <c r="AS34" i="23"/>
  <c r="AT34" i="23"/>
  <c r="AU34" i="23"/>
  <c r="AV34" i="23"/>
  <c r="AW34" i="23"/>
  <c r="AX34" i="23"/>
  <c r="AY34" i="23"/>
  <c r="AZ34" i="23"/>
  <c r="BA34" i="23"/>
  <c r="BB34" i="23"/>
  <c r="BC34" i="23"/>
  <c r="BD34" i="23"/>
  <c r="BE34" i="23"/>
  <c r="BF34" i="23"/>
  <c r="BG34" i="23"/>
  <c r="BH34" i="23"/>
  <c r="BI34" i="23"/>
  <c r="BJ34" i="23"/>
  <c r="BK34" i="23"/>
  <c r="BL34" i="23"/>
  <c r="BM34" i="23"/>
  <c r="BN34" i="23"/>
  <c r="BO34" i="23"/>
  <c r="BP34" i="23"/>
  <c r="BQ34" i="23"/>
  <c r="BR34" i="23"/>
  <c r="BS34" i="23"/>
  <c r="BT34" i="23"/>
  <c r="BU34" i="23"/>
  <c r="BV34" i="23"/>
  <c r="BW34" i="23"/>
  <c r="BX34" i="23"/>
  <c r="BY34" i="23"/>
  <c r="BZ34" i="23"/>
  <c r="CA34" i="23"/>
  <c r="CB34" i="23"/>
  <c r="CC34" i="23"/>
  <c r="CD34" i="23"/>
  <c r="CE34" i="23"/>
  <c r="CF34" i="23"/>
  <c r="CG34" i="23"/>
  <c r="CH34" i="23"/>
  <c r="CI34" i="23"/>
  <c r="CJ34" i="23"/>
  <c r="CK34" i="23"/>
  <c r="CL34" i="23"/>
  <c r="CM34" i="23"/>
  <c r="CN34" i="23"/>
  <c r="CO34" i="23"/>
  <c r="CP34" i="23"/>
  <c r="CQ34" i="23"/>
  <c r="CR34" i="23"/>
  <c r="CS34" i="23"/>
  <c r="CT34" i="23"/>
  <c r="CU34" i="23"/>
  <c r="CV34" i="23"/>
  <c r="CW34" i="23"/>
  <c r="CX34" i="23"/>
  <c r="CY34" i="23"/>
  <c r="CZ34" i="23"/>
  <c r="DA34" i="23"/>
  <c r="DB34" i="23"/>
  <c r="DC34" i="23"/>
  <c r="DD34" i="23"/>
  <c r="DE34" i="23"/>
  <c r="DF34" i="23"/>
  <c r="DG34" i="23"/>
  <c r="DH34" i="23"/>
  <c r="DI34" i="23"/>
  <c r="DJ34" i="23"/>
  <c r="DK34" i="23"/>
  <c r="DL34" i="23"/>
  <c r="DM34" i="23"/>
  <c r="DN34" i="23"/>
  <c r="DO34" i="23"/>
  <c r="DP34" i="23"/>
  <c r="DQ34" i="23"/>
  <c r="DR34" i="23"/>
  <c r="DS34" i="23"/>
  <c r="DT34" i="23"/>
  <c r="DU34" i="23"/>
  <c r="DV34" i="23"/>
  <c r="DW34" i="23"/>
  <c r="DX34" i="23"/>
  <c r="DY34" i="23"/>
  <c r="DZ34" i="23"/>
  <c r="EA34" i="23"/>
  <c r="EB34" i="23"/>
  <c r="EC34" i="23"/>
  <c r="ED34" i="23"/>
  <c r="EE34" i="23"/>
  <c r="EF34" i="23"/>
  <c r="EG34" i="23"/>
  <c r="EH34" i="23"/>
  <c r="EI34" i="23"/>
  <c r="EJ34" i="23"/>
  <c r="EK34" i="23"/>
  <c r="EL34" i="23"/>
  <c r="EM34" i="23"/>
  <c r="EN34" i="23"/>
  <c r="EO34" i="23"/>
  <c r="EP34" i="23"/>
  <c r="EQ34" i="23"/>
  <c r="ER34" i="23"/>
  <c r="ES34" i="23"/>
  <c r="ET34" i="23"/>
  <c r="EU34" i="23"/>
  <c r="EV34" i="23"/>
  <c r="EW34" i="23"/>
  <c r="EX34" i="23"/>
  <c r="EY34" i="23"/>
  <c r="EZ34" i="23"/>
  <c r="FA34" i="23"/>
  <c r="FB34" i="23"/>
  <c r="FC34" i="23"/>
  <c r="FD34" i="23"/>
  <c r="FE34" i="23"/>
  <c r="FF34" i="23"/>
  <c r="FG34" i="23"/>
  <c r="FH34" i="23"/>
  <c r="FI34" i="23"/>
  <c r="FJ34" i="23"/>
  <c r="FK34" i="23"/>
  <c r="FL34" i="23"/>
  <c r="FM34" i="23"/>
  <c r="FN34" i="23"/>
  <c r="FO34" i="23"/>
  <c r="FP34" i="23"/>
  <c r="FQ34" i="23"/>
  <c r="FR34" i="23"/>
  <c r="FS34" i="23"/>
  <c r="FT34" i="23"/>
  <c r="FU34" i="23"/>
  <c r="FV34" i="23"/>
  <c r="FW34" i="23"/>
  <c r="FX34" i="23"/>
  <c r="FY34" i="23"/>
  <c r="FZ34" i="23"/>
  <c r="GA34" i="23"/>
  <c r="GB34" i="23"/>
  <c r="GC34" i="23"/>
  <c r="GD34" i="23"/>
  <c r="GE34" i="23"/>
  <c r="GF34" i="23"/>
  <c r="GG34" i="23"/>
  <c r="GH34" i="23"/>
  <c r="GI34" i="23"/>
  <c r="GJ34" i="23"/>
  <c r="GK34" i="23"/>
  <c r="GL34" i="23"/>
  <c r="GM34" i="23"/>
  <c r="GN34" i="23"/>
  <c r="GO34" i="23"/>
  <c r="GP34" i="23"/>
  <c r="GQ34" i="23"/>
  <c r="GR34" i="23"/>
  <c r="GS34" i="23"/>
  <c r="GT34" i="23"/>
  <c r="GU34" i="23"/>
  <c r="GV34" i="23"/>
  <c r="GW34" i="23"/>
  <c r="GX34" i="23"/>
  <c r="GY34" i="23"/>
  <c r="GZ34" i="23"/>
  <c r="HA34" i="23"/>
  <c r="HB34" i="23"/>
  <c r="HC34" i="23"/>
  <c r="HD34" i="23"/>
  <c r="HE34" i="23"/>
  <c r="HF34" i="23"/>
  <c r="HG34" i="23"/>
  <c r="HH34" i="23"/>
  <c r="HI34" i="23"/>
  <c r="HJ34" i="23"/>
  <c r="HK34" i="23"/>
  <c r="HL34" i="23"/>
  <c r="HM34" i="23"/>
  <c r="HN34" i="23"/>
  <c r="HO34" i="23"/>
  <c r="HP34" i="23"/>
  <c r="HQ34" i="23"/>
  <c r="HR34" i="23"/>
  <c r="HS34" i="23"/>
  <c r="HT34" i="23"/>
  <c r="HU34" i="23"/>
  <c r="HV34" i="23"/>
  <c r="HW34" i="23"/>
  <c r="HX34" i="23"/>
  <c r="HY34" i="23"/>
  <c r="HZ34" i="23"/>
  <c r="IA34" i="23"/>
  <c r="IB34" i="23"/>
  <c r="IC34" i="23"/>
  <c r="ID34" i="23"/>
  <c r="IE34" i="23"/>
  <c r="IF34" i="23"/>
  <c r="IG34" i="23"/>
  <c r="IH34" i="23"/>
  <c r="II34" i="23"/>
  <c r="IJ34" i="23"/>
  <c r="IK34" i="23"/>
  <c r="IL34" i="23"/>
  <c r="IM34" i="23"/>
  <c r="IN34" i="23"/>
  <c r="IO34" i="23"/>
  <c r="IP34" i="23"/>
  <c r="IQ34" i="23"/>
  <c r="IR34" i="23"/>
  <c r="IS34" i="23"/>
  <c r="IT34" i="23"/>
  <c r="IU34" i="23"/>
  <c r="IV34" i="23"/>
  <c r="A33" i="23"/>
  <c r="B33" i="23"/>
  <c r="C33" i="23"/>
  <c r="D33" i="23"/>
  <c r="E33" i="23"/>
  <c r="F33" i="23"/>
  <c r="G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T33" i="23"/>
  <c r="U33" i="23"/>
  <c r="V33" i="23"/>
  <c r="W33" i="23"/>
  <c r="X33" i="23"/>
  <c r="Y33" i="23"/>
  <c r="Z33" i="23"/>
  <c r="AA33" i="23"/>
  <c r="AB33" i="23"/>
  <c r="AC33" i="23"/>
  <c r="AD33" i="23"/>
  <c r="AE33" i="23"/>
  <c r="AF33" i="23"/>
  <c r="AG33" i="23"/>
  <c r="AH33" i="23"/>
  <c r="AI33" i="23"/>
  <c r="AJ33" i="23"/>
  <c r="AK33" i="23"/>
  <c r="AL33" i="23"/>
  <c r="AM33" i="23"/>
  <c r="AN33" i="23"/>
  <c r="AO33" i="23"/>
  <c r="AP33" i="23"/>
  <c r="AQ33" i="23"/>
  <c r="AR33" i="23"/>
  <c r="AS33" i="23"/>
  <c r="AT33" i="23"/>
  <c r="AU33" i="23"/>
  <c r="AV33" i="23"/>
  <c r="AW33" i="23"/>
  <c r="AX33" i="23"/>
  <c r="AY33" i="23"/>
  <c r="AZ33" i="23"/>
  <c r="BA33" i="23"/>
  <c r="BB33" i="23"/>
  <c r="BC33" i="23"/>
  <c r="BD33" i="23"/>
  <c r="BE33" i="23"/>
  <c r="BF33" i="23"/>
  <c r="BG33" i="23"/>
  <c r="BH33" i="23"/>
  <c r="BI33" i="23"/>
  <c r="BJ33" i="23"/>
  <c r="BK33" i="23"/>
  <c r="BL33" i="23"/>
  <c r="BM33" i="23"/>
  <c r="BN33" i="23"/>
  <c r="BO33" i="23"/>
  <c r="BP33" i="23"/>
  <c r="BQ33" i="23"/>
  <c r="BR33" i="23"/>
  <c r="BS33" i="23"/>
  <c r="BT33" i="23"/>
  <c r="BU33" i="23"/>
  <c r="BV33" i="23"/>
  <c r="BW33" i="23"/>
  <c r="BX33" i="23"/>
  <c r="BY33" i="23"/>
  <c r="BZ33" i="23"/>
  <c r="CA33" i="23"/>
  <c r="CB33" i="23"/>
  <c r="CC33" i="23"/>
  <c r="CD33" i="23"/>
  <c r="CE33" i="23"/>
  <c r="CF33" i="23"/>
  <c r="CG33" i="23"/>
  <c r="CH33" i="23"/>
  <c r="CI33" i="23"/>
  <c r="CJ33" i="23"/>
  <c r="CK33" i="23"/>
  <c r="CL33" i="23"/>
  <c r="CM33" i="23"/>
  <c r="CN33" i="23"/>
  <c r="CO33" i="23"/>
  <c r="CP33" i="23"/>
  <c r="CQ33" i="23"/>
  <c r="CR33" i="23"/>
  <c r="CS33" i="23"/>
  <c r="CT33" i="23"/>
  <c r="CU33" i="23"/>
  <c r="CV33" i="23"/>
  <c r="CW33" i="23"/>
  <c r="CX33" i="23"/>
  <c r="CY33" i="23"/>
  <c r="CZ33" i="23"/>
  <c r="DA33" i="23"/>
  <c r="DB33" i="23"/>
  <c r="DC33" i="23"/>
  <c r="DD33" i="23"/>
  <c r="DE33" i="23"/>
  <c r="DF33" i="23"/>
  <c r="DG33" i="23"/>
  <c r="DH33" i="23"/>
  <c r="DI33" i="23"/>
  <c r="DJ33" i="23"/>
  <c r="DK33" i="23"/>
  <c r="DL33" i="23"/>
  <c r="DM33" i="23"/>
  <c r="DN33" i="23"/>
  <c r="DO33" i="23"/>
  <c r="DP33" i="23"/>
  <c r="DQ33" i="23"/>
  <c r="DR33" i="23"/>
  <c r="DS33" i="23"/>
  <c r="DT33" i="23"/>
  <c r="DU33" i="23"/>
  <c r="DV33" i="23"/>
  <c r="DW33" i="23"/>
  <c r="DX33" i="23"/>
  <c r="DY33" i="23"/>
  <c r="DZ33" i="23"/>
  <c r="EA33" i="23"/>
  <c r="EB33" i="23"/>
  <c r="EC33" i="23"/>
  <c r="ED33" i="23"/>
  <c r="EE33" i="23"/>
  <c r="EF33" i="23"/>
  <c r="EG33" i="23"/>
  <c r="EH33" i="23"/>
  <c r="EI33" i="23"/>
  <c r="EJ33" i="23"/>
  <c r="EK33" i="23"/>
  <c r="EL33" i="23"/>
  <c r="EM33" i="23"/>
  <c r="EN33" i="23"/>
  <c r="EO33" i="23"/>
  <c r="EP33" i="23"/>
  <c r="EQ33" i="23"/>
  <c r="ER33" i="23"/>
  <c r="ES33" i="23"/>
  <c r="ET33" i="23"/>
  <c r="EU33" i="23"/>
  <c r="EV33" i="23"/>
  <c r="EW33" i="23"/>
  <c r="EX33" i="23"/>
  <c r="EY33" i="23"/>
  <c r="EZ33" i="23"/>
  <c r="FA33" i="23"/>
  <c r="FB33" i="23"/>
  <c r="FC33" i="23"/>
  <c r="FD33" i="23"/>
  <c r="FE33" i="23"/>
  <c r="FF33" i="23"/>
  <c r="FG33" i="23"/>
  <c r="FH33" i="23"/>
  <c r="FI33" i="23"/>
  <c r="FJ33" i="23"/>
  <c r="FK33" i="23"/>
  <c r="FL33" i="23"/>
  <c r="FM33" i="23"/>
  <c r="FN33" i="23"/>
  <c r="FO33" i="23"/>
  <c r="FP33" i="23"/>
  <c r="FQ33" i="23"/>
  <c r="FR33" i="23"/>
  <c r="FS33" i="23"/>
  <c r="FT33" i="23"/>
  <c r="FU33" i="23"/>
  <c r="FV33" i="23"/>
  <c r="FW33" i="23"/>
  <c r="FX33" i="23"/>
  <c r="FY33" i="23"/>
  <c r="FZ33" i="23"/>
  <c r="GA33" i="23"/>
  <c r="GB33" i="23"/>
  <c r="GC33" i="23"/>
  <c r="GD33" i="23"/>
  <c r="GE33" i="23"/>
  <c r="GF33" i="23"/>
  <c r="GG33" i="23"/>
  <c r="GH33" i="23"/>
  <c r="GI33" i="23"/>
  <c r="GJ33" i="23"/>
  <c r="GK33" i="23"/>
  <c r="GL33" i="23"/>
  <c r="GM33" i="23"/>
  <c r="GN33" i="23"/>
  <c r="GO33" i="23"/>
  <c r="GP33" i="23"/>
  <c r="GQ33" i="23"/>
  <c r="GR33" i="23"/>
  <c r="GS33" i="23"/>
  <c r="GT33" i="23"/>
  <c r="GU33" i="23"/>
  <c r="GV33" i="23"/>
  <c r="GW33" i="23"/>
  <c r="GX33" i="23"/>
  <c r="GY33" i="23"/>
  <c r="GZ33" i="23"/>
  <c r="HA33" i="23"/>
  <c r="HB33" i="23"/>
  <c r="HC33" i="23"/>
  <c r="HD33" i="23"/>
  <c r="HE33" i="23"/>
  <c r="HF33" i="23"/>
  <c r="HG33" i="23"/>
  <c r="HH33" i="23"/>
  <c r="HI33" i="23"/>
  <c r="HJ33" i="23"/>
  <c r="HK33" i="23"/>
  <c r="HL33" i="23"/>
  <c r="HM33" i="23"/>
  <c r="HN33" i="23"/>
  <c r="HO33" i="23"/>
  <c r="HP33" i="23"/>
  <c r="HQ33" i="23"/>
  <c r="HR33" i="23"/>
  <c r="HS33" i="23"/>
  <c r="HT33" i="23"/>
  <c r="HU33" i="23"/>
  <c r="HV33" i="23"/>
  <c r="HW33" i="23"/>
  <c r="HX33" i="23"/>
  <c r="HY33" i="23"/>
  <c r="HZ33" i="23"/>
  <c r="IA33" i="23"/>
  <c r="IB33" i="23"/>
  <c r="IC33" i="23"/>
  <c r="ID33" i="23"/>
  <c r="IE33" i="23"/>
  <c r="IF33" i="23"/>
  <c r="IG33" i="23"/>
  <c r="IH33" i="23"/>
  <c r="II33" i="23"/>
  <c r="IJ33" i="23"/>
  <c r="IK33" i="23"/>
  <c r="IL33" i="23"/>
  <c r="IM33" i="23"/>
  <c r="IN33" i="23"/>
  <c r="IO33" i="23"/>
  <c r="IP33" i="23"/>
  <c r="IQ33" i="23"/>
  <c r="IR33" i="23"/>
  <c r="IS33" i="23"/>
  <c r="IT33" i="23"/>
  <c r="IU33" i="23"/>
  <c r="IV33" i="23"/>
  <c r="A32" i="23"/>
  <c r="B32" i="23"/>
  <c r="C32" i="23"/>
  <c r="D32" i="23"/>
  <c r="E32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T32" i="23"/>
  <c r="U32" i="23"/>
  <c r="V32" i="23"/>
  <c r="W32" i="23"/>
  <c r="X32" i="23"/>
  <c r="Y32" i="23"/>
  <c r="Z32" i="23"/>
  <c r="AA32" i="23"/>
  <c r="AB32" i="23"/>
  <c r="AC32" i="23"/>
  <c r="AD32" i="23"/>
  <c r="AE32" i="23"/>
  <c r="AF32" i="23"/>
  <c r="AG32" i="23"/>
  <c r="AH32" i="23"/>
  <c r="AI32" i="23"/>
  <c r="AJ32" i="23"/>
  <c r="AK32" i="23"/>
  <c r="AL32" i="23"/>
  <c r="AM32" i="23"/>
  <c r="AN32" i="23"/>
  <c r="AO32" i="23"/>
  <c r="AP32" i="23"/>
  <c r="AQ32" i="23"/>
  <c r="AR32" i="23"/>
  <c r="AS32" i="23"/>
  <c r="AT32" i="23"/>
  <c r="AU32" i="23"/>
  <c r="AV32" i="23"/>
  <c r="AW32" i="23"/>
  <c r="AX32" i="23"/>
  <c r="AY32" i="23"/>
  <c r="AZ32" i="23"/>
  <c r="BA32" i="23"/>
  <c r="BB32" i="23"/>
  <c r="BC32" i="23"/>
  <c r="BD32" i="23"/>
  <c r="BE32" i="23"/>
  <c r="BF32" i="23"/>
  <c r="BG32" i="23"/>
  <c r="BH32" i="23"/>
  <c r="BI32" i="23"/>
  <c r="BJ32" i="23"/>
  <c r="BK32" i="23"/>
  <c r="BL32" i="23"/>
  <c r="BM32" i="23"/>
  <c r="BN32" i="23"/>
  <c r="BO32" i="23"/>
  <c r="BP32" i="23"/>
  <c r="BQ32" i="23"/>
  <c r="BR32" i="23"/>
  <c r="BS32" i="23"/>
  <c r="BT32" i="23"/>
  <c r="BU32" i="23"/>
  <c r="BV32" i="23"/>
  <c r="BW32" i="23"/>
  <c r="BX32" i="23"/>
  <c r="BY32" i="23"/>
  <c r="BZ32" i="23"/>
  <c r="CA32" i="23"/>
  <c r="CB32" i="23"/>
  <c r="CC32" i="23"/>
  <c r="CD32" i="23"/>
  <c r="CE32" i="23"/>
  <c r="CF32" i="23"/>
  <c r="CG32" i="23"/>
  <c r="CH32" i="23"/>
  <c r="CI32" i="23"/>
  <c r="CJ32" i="23"/>
  <c r="CK32" i="23"/>
  <c r="CL32" i="23"/>
  <c r="CM32" i="23"/>
  <c r="CN32" i="23"/>
  <c r="CO32" i="23"/>
  <c r="CP32" i="23"/>
  <c r="CQ32" i="23"/>
  <c r="CR32" i="23"/>
  <c r="CS32" i="23"/>
  <c r="CT32" i="23"/>
  <c r="CU32" i="23"/>
  <c r="CV32" i="23"/>
  <c r="CW32" i="23"/>
  <c r="CX32" i="23"/>
  <c r="CY32" i="23"/>
  <c r="CZ32" i="23"/>
  <c r="DA32" i="23"/>
  <c r="DB32" i="23"/>
  <c r="DC32" i="23"/>
  <c r="DD32" i="23"/>
  <c r="DE32" i="23"/>
  <c r="DF32" i="23"/>
  <c r="DG32" i="23"/>
  <c r="DH32" i="23"/>
  <c r="DI32" i="23"/>
  <c r="DJ32" i="23"/>
  <c r="DK32" i="23"/>
  <c r="DL32" i="23"/>
  <c r="DM32" i="23"/>
  <c r="DN32" i="23"/>
  <c r="DO32" i="23"/>
  <c r="DP32" i="23"/>
  <c r="DQ32" i="23"/>
  <c r="DR32" i="23"/>
  <c r="DS32" i="23"/>
  <c r="DT32" i="23"/>
  <c r="DU32" i="23"/>
  <c r="DV32" i="23"/>
  <c r="DW32" i="23"/>
  <c r="DX32" i="23"/>
  <c r="DY32" i="23"/>
  <c r="DZ32" i="23"/>
  <c r="EA32" i="23"/>
  <c r="EB32" i="23"/>
  <c r="EC32" i="23"/>
  <c r="ED32" i="23"/>
  <c r="EE32" i="23"/>
  <c r="EF32" i="23"/>
  <c r="EG32" i="23"/>
  <c r="EH32" i="23"/>
  <c r="EI32" i="23"/>
  <c r="EJ32" i="23"/>
  <c r="EK32" i="23"/>
  <c r="EL32" i="23"/>
  <c r="EM32" i="23"/>
  <c r="EN32" i="23"/>
  <c r="EO32" i="23"/>
  <c r="EP32" i="23"/>
  <c r="EQ32" i="23"/>
  <c r="ER32" i="23"/>
  <c r="ES32" i="23"/>
  <c r="ET32" i="23"/>
  <c r="EU32" i="23"/>
  <c r="EV32" i="23"/>
  <c r="EW32" i="23"/>
  <c r="EX32" i="23"/>
  <c r="EY32" i="23"/>
  <c r="EZ32" i="23"/>
  <c r="FA32" i="23"/>
  <c r="FB32" i="23"/>
  <c r="FC32" i="23"/>
  <c r="FD32" i="23"/>
  <c r="FE32" i="23"/>
  <c r="FF32" i="23"/>
  <c r="FG32" i="23"/>
  <c r="FH32" i="23"/>
  <c r="FI32" i="23"/>
  <c r="FJ32" i="23"/>
  <c r="FK32" i="23"/>
  <c r="FL32" i="23"/>
  <c r="FM32" i="23"/>
  <c r="FN32" i="23"/>
  <c r="FO32" i="23"/>
  <c r="FP32" i="23"/>
  <c r="FQ32" i="23"/>
  <c r="FR32" i="23"/>
  <c r="FS32" i="23"/>
  <c r="FT32" i="23"/>
  <c r="FU32" i="23"/>
  <c r="FV32" i="23"/>
  <c r="FW32" i="23"/>
  <c r="FX32" i="23"/>
  <c r="FY32" i="23"/>
  <c r="FZ32" i="23"/>
  <c r="GA32" i="23"/>
  <c r="GB32" i="23"/>
  <c r="GC32" i="23"/>
  <c r="GD32" i="23"/>
  <c r="GE32" i="23"/>
  <c r="GF32" i="23"/>
  <c r="GG32" i="23"/>
  <c r="GH32" i="23"/>
  <c r="GI32" i="23"/>
  <c r="GJ32" i="23"/>
  <c r="GK32" i="23"/>
  <c r="GL32" i="23"/>
  <c r="GM32" i="23"/>
  <c r="GN32" i="23"/>
  <c r="GO32" i="23"/>
  <c r="GP32" i="23"/>
  <c r="GQ32" i="23"/>
  <c r="GR32" i="23"/>
  <c r="GS32" i="23"/>
  <c r="GT32" i="23"/>
  <c r="GU32" i="23"/>
  <c r="GV32" i="23"/>
  <c r="GW32" i="23"/>
  <c r="GX32" i="23"/>
  <c r="GY32" i="23"/>
  <c r="GZ32" i="23"/>
  <c r="HA32" i="23"/>
  <c r="HB32" i="23"/>
  <c r="HC32" i="23"/>
  <c r="HD32" i="23"/>
  <c r="HE32" i="23"/>
  <c r="HF32" i="23"/>
  <c r="HG32" i="23"/>
  <c r="HH32" i="23"/>
  <c r="HI32" i="23"/>
  <c r="HJ32" i="23"/>
  <c r="HK32" i="23"/>
  <c r="HL32" i="23"/>
  <c r="HM32" i="23"/>
  <c r="HN32" i="23"/>
  <c r="HO32" i="23"/>
  <c r="HP32" i="23"/>
  <c r="HQ32" i="23"/>
  <c r="HR32" i="23"/>
  <c r="HS32" i="23"/>
  <c r="HT32" i="23"/>
  <c r="HU32" i="23"/>
  <c r="HV32" i="23"/>
  <c r="HW32" i="23"/>
  <c r="HX32" i="23"/>
  <c r="HY32" i="23"/>
  <c r="HZ32" i="23"/>
  <c r="IA32" i="23"/>
  <c r="IB32" i="23"/>
  <c r="IC32" i="23"/>
  <c r="ID32" i="23"/>
  <c r="IE32" i="23"/>
  <c r="IF32" i="23"/>
  <c r="IG32" i="23"/>
  <c r="IH32" i="23"/>
  <c r="II32" i="23"/>
  <c r="IJ32" i="23"/>
  <c r="IK32" i="23"/>
  <c r="IL32" i="23"/>
  <c r="IM32" i="23"/>
  <c r="IN32" i="23"/>
  <c r="IO32" i="23"/>
  <c r="IP32" i="23"/>
  <c r="IQ32" i="23"/>
  <c r="IR32" i="23"/>
  <c r="IS32" i="23"/>
  <c r="IT32" i="23"/>
  <c r="IU32" i="23"/>
  <c r="IV32" i="23"/>
  <c r="A31" i="23"/>
  <c r="B31" i="23"/>
  <c r="C31" i="23"/>
  <c r="D31" i="23"/>
  <c r="E31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W31" i="23"/>
  <c r="X31" i="23"/>
  <c r="Y31" i="23"/>
  <c r="Z31" i="23"/>
  <c r="AA31" i="23"/>
  <c r="AB31" i="23"/>
  <c r="AC31" i="23"/>
  <c r="AD31" i="23"/>
  <c r="AE31" i="23"/>
  <c r="AF31" i="23"/>
  <c r="AG31" i="23"/>
  <c r="AH31" i="23"/>
  <c r="AI31" i="23"/>
  <c r="AJ31" i="23"/>
  <c r="AK31" i="23"/>
  <c r="AL31" i="23"/>
  <c r="AM31" i="23"/>
  <c r="AN31" i="23"/>
  <c r="AO31" i="23"/>
  <c r="AP31" i="23"/>
  <c r="AQ31" i="23"/>
  <c r="AR31" i="23"/>
  <c r="AS31" i="23"/>
  <c r="AT31" i="23"/>
  <c r="AU31" i="23"/>
  <c r="AV31" i="23"/>
  <c r="AW31" i="23"/>
  <c r="AX31" i="23"/>
  <c r="AY31" i="23"/>
  <c r="AZ31" i="23"/>
  <c r="BA31" i="23"/>
  <c r="BB31" i="23"/>
  <c r="BC31" i="23"/>
  <c r="BD31" i="23"/>
  <c r="BE31" i="23"/>
  <c r="BF31" i="23"/>
  <c r="BG31" i="23"/>
  <c r="BH31" i="23"/>
  <c r="BI31" i="23"/>
  <c r="BJ31" i="23"/>
  <c r="BK31" i="23"/>
  <c r="BL31" i="23"/>
  <c r="BM31" i="23"/>
  <c r="BN31" i="23"/>
  <c r="BO31" i="23"/>
  <c r="BP31" i="23"/>
  <c r="BQ31" i="23"/>
  <c r="BR31" i="23"/>
  <c r="BS31" i="23"/>
  <c r="BT31" i="23"/>
  <c r="BU31" i="23"/>
  <c r="BV31" i="23"/>
  <c r="BW31" i="23"/>
  <c r="BX31" i="23"/>
  <c r="BY31" i="23"/>
  <c r="BZ31" i="23"/>
  <c r="CA31" i="23"/>
  <c r="CB31" i="23"/>
  <c r="CC31" i="23"/>
  <c r="CD31" i="23"/>
  <c r="CE31" i="23"/>
  <c r="CF31" i="23"/>
  <c r="CG31" i="23"/>
  <c r="CH31" i="23"/>
  <c r="CI31" i="23"/>
  <c r="CJ31" i="23"/>
  <c r="CK31" i="23"/>
  <c r="CL31" i="23"/>
  <c r="CM31" i="23"/>
  <c r="CN31" i="23"/>
  <c r="CO31" i="23"/>
  <c r="CP31" i="23"/>
  <c r="CQ31" i="23"/>
  <c r="CR31" i="23"/>
  <c r="CS31" i="23"/>
  <c r="CT31" i="23"/>
  <c r="CU31" i="23"/>
  <c r="CV31" i="23"/>
  <c r="CW31" i="23"/>
  <c r="CX31" i="23"/>
  <c r="CY31" i="23"/>
  <c r="CZ31" i="23"/>
  <c r="DA31" i="23"/>
  <c r="DB31" i="23"/>
  <c r="DC31" i="23"/>
  <c r="DD31" i="23"/>
  <c r="DE31" i="23"/>
  <c r="DF31" i="23"/>
  <c r="DG31" i="23"/>
  <c r="DH31" i="23"/>
  <c r="DI31" i="23"/>
  <c r="DJ31" i="23"/>
  <c r="DK31" i="23"/>
  <c r="DL31" i="23"/>
  <c r="DM31" i="23"/>
  <c r="DN31" i="23"/>
  <c r="DO31" i="23"/>
  <c r="DP31" i="23"/>
  <c r="DQ31" i="23"/>
  <c r="DR31" i="23"/>
  <c r="DS31" i="23"/>
  <c r="DT31" i="23"/>
  <c r="DU31" i="23"/>
  <c r="DV31" i="23"/>
  <c r="DW31" i="23"/>
  <c r="DX31" i="23"/>
  <c r="DY31" i="23"/>
  <c r="DZ31" i="23"/>
  <c r="EA31" i="23"/>
  <c r="EB31" i="23"/>
  <c r="EC31" i="23"/>
  <c r="ED31" i="23"/>
  <c r="EE31" i="23"/>
  <c r="EF31" i="23"/>
  <c r="EG31" i="23"/>
  <c r="EH31" i="23"/>
  <c r="EI31" i="23"/>
  <c r="EJ31" i="23"/>
  <c r="EK31" i="23"/>
  <c r="EL31" i="23"/>
  <c r="EM31" i="23"/>
  <c r="EN31" i="23"/>
  <c r="EO31" i="23"/>
  <c r="EP31" i="23"/>
  <c r="EQ31" i="23"/>
  <c r="ER31" i="23"/>
  <c r="ES31" i="23"/>
  <c r="ET31" i="23"/>
  <c r="EU31" i="23"/>
  <c r="EV31" i="23"/>
  <c r="EW31" i="23"/>
  <c r="EX31" i="23"/>
  <c r="EY31" i="23"/>
  <c r="EZ31" i="23"/>
  <c r="FA31" i="23"/>
  <c r="FB31" i="23"/>
  <c r="FC31" i="23"/>
  <c r="FD31" i="23"/>
  <c r="FE31" i="23"/>
  <c r="FF31" i="23"/>
  <c r="FG31" i="23"/>
  <c r="FH31" i="23"/>
  <c r="FI31" i="23"/>
  <c r="FJ31" i="23"/>
  <c r="FK31" i="23"/>
  <c r="FL31" i="23"/>
  <c r="FM31" i="23"/>
  <c r="FN31" i="23"/>
  <c r="FO31" i="23"/>
  <c r="FP31" i="23"/>
  <c r="FQ31" i="23"/>
  <c r="FR31" i="23"/>
  <c r="FS31" i="23"/>
  <c r="FT31" i="23"/>
  <c r="FU31" i="23"/>
  <c r="FV31" i="23"/>
  <c r="FW31" i="23"/>
  <c r="FX31" i="23"/>
  <c r="FY31" i="23"/>
  <c r="FZ31" i="23"/>
  <c r="GA31" i="23"/>
  <c r="GB31" i="23"/>
  <c r="GC31" i="23"/>
  <c r="GD31" i="23"/>
  <c r="GE31" i="23"/>
  <c r="GF31" i="23"/>
  <c r="GG31" i="23"/>
  <c r="GH31" i="23"/>
  <c r="GI31" i="23"/>
  <c r="GJ31" i="23"/>
  <c r="GK31" i="23"/>
  <c r="GL31" i="23"/>
  <c r="GM31" i="23"/>
  <c r="GN31" i="23"/>
  <c r="GO31" i="23"/>
  <c r="GP31" i="23"/>
  <c r="GQ31" i="23"/>
  <c r="GR31" i="23"/>
  <c r="GS31" i="23"/>
  <c r="GT31" i="23"/>
  <c r="GU31" i="23"/>
  <c r="GV31" i="23"/>
  <c r="GW31" i="23"/>
  <c r="GX31" i="23"/>
  <c r="GY31" i="23"/>
  <c r="GZ31" i="23"/>
  <c r="HA31" i="23"/>
  <c r="HB31" i="23"/>
  <c r="HC31" i="23"/>
  <c r="HD31" i="23"/>
  <c r="HE31" i="23"/>
  <c r="HF31" i="23"/>
  <c r="HG31" i="23"/>
  <c r="HH31" i="23"/>
  <c r="HI31" i="23"/>
  <c r="HJ31" i="23"/>
  <c r="HK31" i="23"/>
  <c r="HL31" i="23"/>
  <c r="HM31" i="23"/>
  <c r="HN31" i="23"/>
  <c r="HO31" i="23"/>
  <c r="HP31" i="23"/>
  <c r="HQ31" i="23"/>
  <c r="HR31" i="23"/>
  <c r="HS31" i="23"/>
  <c r="HT31" i="23"/>
  <c r="HU31" i="23"/>
  <c r="HV31" i="23"/>
  <c r="HW31" i="23"/>
  <c r="HX31" i="23"/>
  <c r="HY31" i="23"/>
  <c r="HZ31" i="23"/>
  <c r="IA31" i="23"/>
  <c r="IB31" i="23"/>
  <c r="IC31" i="23"/>
  <c r="ID31" i="23"/>
  <c r="IE31" i="23"/>
  <c r="IF31" i="23"/>
  <c r="IG31" i="23"/>
  <c r="IH31" i="23"/>
  <c r="II31" i="23"/>
  <c r="IJ31" i="23"/>
  <c r="IK31" i="23"/>
  <c r="IL31" i="23"/>
  <c r="IM31" i="23"/>
  <c r="IN31" i="23"/>
  <c r="IO31" i="23"/>
  <c r="IP31" i="23"/>
  <c r="IQ31" i="23"/>
  <c r="IR31" i="23"/>
  <c r="IS31" i="23"/>
  <c r="IT31" i="23"/>
  <c r="IU31" i="23"/>
  <c r="IV31" i="23"/>
  <c r="A30" i="23"/>
  <c r="B30" i="23"/>
  <c r="C30" i="23"/>
  <c r="D30" i="23"/>
  <c r="E30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T30" i="23"/>
  <c r="U30" i="23"/>
  <c r="V30" i="23"/>
  <c r="W30" i="23"/>
  <c r="X30" i="23"/>
  <c r="Y30" i="23"/>
  <c r="Z30" i="23"/>
  <c r="AA30" i="23"/>
  <c r="AB30" i="23"/>
  <c r="AC30" i="23"/>
  <c r="AD30" i="23"/>
  <c r="AE30" i="23"/>
  <c r="AF30" i="23"/>
  <c r="AG30" i="23"/>
  <c r="AH30" i="23"/>
  <c r="AI30" i="23"/>
  <c r="AJ30" i="23"/>
  <c r="AK30" i="23"/>
  <c r="AL30" i="23"/>
  <c r="AM30" i="23"/>
  <c r="AN30" i="23"/>
  <c r="AO30" i="23"/>
  <c r="AP30" i="23"/>
  <c r="AQ30" i="23"/>
  <c r="AR30" i="23"/>
  <c r="AS30" i="23"/>
  <c r="AT30" i="23"/>
  <c r="AU30" i="23"/>
  <c r="AV30" i="23"/>
  <c r="AW30" i="23"/>
  <c r="AX30" i="23"/>
  <c r="AY30" i="23"/>
  <c r="AZ30" i="23"/>
  <c r="BA30" i="23"/>
  <c r="BB30" i="23"/>
  <c r="BC30" i="23"/>
  <c r="BD30" i="23"/>
  <c r="BE30" i="23"/>
  <c r="BF30" i="23"/>
  <c r="BG30" i="23"/>
  <c r="BH30" i="23"/>
  <c r="BI30" i="23"/>
  <c r="BJ30" i="23"/>
  <c r="BK30" i="23"/>
  <c r="BL30" i="23"/>
  <c r="BM30" i="23"/>
  <c r="BN30" i="23"/>
  <c r="BO30" i="23"/>
  <c r="BP30" i="23"/>
  <c r="BQ30" i="23"/>
  <c r="BR30" i="23"/>
  <c r="BS30" i="23"/>
  <c r="BT30" i="23"/>
  <c r="BU30" i="23"/>
  <c r="BV30" i="23"/>
  <c r="BW30" i="23"/>
  <c r="BX30" i="23"/>
  <c r="BY30" i="23"/>
  <c r="BZ30" i="23"/>
  <c r="CA30" i="23"/>
  <c r="CB30" i="23"/>
  <c r="CC30" i="23"/>
  <c r="CD30" i="23"/>
  <c r="CE30" i="23"/>
  <c r="CF30" i="23"/>
  <c r="CG30" i="23"/>
  <c r="CH30" i="23"/>
  <c r="CI30" i="23"/>
  <c r="CJ30" i="23"/>
  <c r="CK30" i="23"/>
  <c r="CL30" i="23"/>
  <c r="CM30" i="23"/>
  <c r="CN30" i="23"/>
  <c r="CO30" i="23"/>
  <c r="CP30" i="23"/>
  <c r="CQ30" i="23"/>
  <c r="CR30" i="23"/>
  <c r="CS30" i="23"/>
  <c r="CT30" i="23"/>
  <c r="CU30" i="23"/>
  <c r="CV30" i="23"/>
  <c r="CW30" i="23"/>
  <c r="CX30" i="23"/>
  <c r="CY30" i="23"/>
  <c r="CZ30" i="23"/>
  <c r="DA30" i="23"/>
  <c r="DB30" i="23"/>
  <c r="DC30" i="23"/>
  <c r="DD30" i="23"/>
  <c r="DE30" i="23"/>
  <c r="DF30" i="23"/>
  <c r="DG30" i="23"/>
  <c r="DH30" i="23"/>
  <c r="DI30" i="23"/>
  <c r="DJ30" i="23"/>
  <c r="DK30" i="23"/>
  <c r="DL30" i="23"/>
  <c r="DM30" i="23"/>
  <c r="DN30" i="23"/>
  <c r="DO30" i="23"/>
  <c r="DP30" i="23"/>
  <c r="DQ30" i="23"/>
  <c r="DR30" i="23"/>
  <c r="DS30" i="23"/>
  <c r="DT30" i="23"/>
  <c r="DU30" i="23"/>
  <c r="DV30" i="23"/>
  <c r="DW30" i="23"/>
  <c r="DX30" i="23"/>
  <c r="DY30" i="23"/>
  <c r="DZ30" i="23"/>
  <c r="EA30" i="23"/>
  <c r="EB30" i="23"/>
  <c r="EC30" i="23"/>
  <c r="ED30" i="23"/>
  <c r="EE30" i="23"/>
  <c r="EF30" i="23"/>
  <c r="EG30" i="23"/>
  <c r="EH30" i="23"/>
  <c r="EI30" i="23"/>
  <c r="EJ30" i="23"/>
  <c r="EK30" i="23"/>
  <c r="EL30" i="23"/>
  <c r="EM30" i="23"/>
  <c r="EN30" i="23"/>
  <c r="EO30" i="23"/>
  <c r="EP30" i="23"/>
  <c r="EQ30" i="23"/>
  <c r="ER30" i="23"/>
  <c r="ES30" i="23"/>
  <c r="ET30" i="23"/>
  <c r="EU30" i="23"/>
  <c r="EV30" i="23"/>
  <c r="EW30" i="23"/>
  <c r="EX30" i="23"/>
  <c r="EY30" i="23"/>
  <c r="EZ30" i="23"/>
  <c r="FA30" i="23"/>
  <c r="FB30" i="23"/>
  <c r="FC30" i="23"/>
  <c r="FD30" i="23"/>
  <c r="FE30" i="23"/>
  <c r="FF30" i="23"/>
  <c r="FG30" i="23"/>
  <c r="FH30" i="23"/>
  <c r="FI30" i="23"/>
  <c r="FJ30" i="23"/>
  <c r="FK30" i="23"/>
  <c r="FL30" i="23"/>
  <c r="FM30" i="23"/>
  <c r="FN30" i="23"/>
  <c r="FO30" i="23"/>
  <c r="FP30" i="23"/>
  <c r="FQ30" i="23"/>
  <c r="FR30" i="23"/>
  <c r="FS30" i="23"/>
  <c r="FT30" i="23"/>
  <c r="FU30" i="23"/>
  <c r="FV30" i="23"/>
  <c r="FW30" i="23"/>
  <c r="FX30" i="23"/>
  <c r="FY30" i="23"/>
  <c r="FZ30" i="23"/>
  <c r="GA30" i="23"/>
  <c r="GB30" i="23"/>
  <c r="GC30" i="23"/>
  <c r="GD30" i="23"/>
  <c r="GE30" i="23"/>
  <c r="GF30" i="23"/>
  <c r="GG30" i="23"/>
  <c r="GH30" i="23"/>
  <c r="GI30" i="23"/>
  <c r="GJ30" i="23"/>
  <c r="GK30" i="23"/>
  <c r="GL30" i="23"/>
  <c r="GM30" i="23"/>
  <c r="GN30" i="23"/>
  <c r="GO30" i="23"/>
  <c r="GP30" i="23"/>
  <c r="GQ30" i="23"/>
  <c r="GR30" i="23"/>
  <c r="GS30" i="23"/>
  <c r="GT30" i="23"/>
  <c r="GU30" i="23"/>
  <c r="GV30" i="23"/>
  <c r="GW30" i="23"/>
  <c r="GX30" i="23"/>
  <c r="GY30" i="23"/>
  <c r="GZ30" i="23"/>
  <c r="HA30" i="23"/>
  <c r="HB30" i="23"/>
  <c r="HC30" i="23"/>
  <c r="HD30" i="23"/>
  <c r="HE30" i="23"/>
  <c r="HF30" i="23"/>
  <c r="HG30" i="23"/>
  <c r="HH30" i="23"/>
  <c r="HI30" i="23"/>
  <c r="HJ30" i="23"/>
  <c r="HK30" i="23"/>
  <c r="HL30" i="23"/>
  <c r="HM30" i="23"/>
  <c r="HN30" i="23"/>
  <c r="HO30" i="23"/>
  <c r="HP30" i="23"/>
  <c r="HQ30" i="23"/>
  <c r="HR30" i="23"/>
  <c r="HS30" i="23"/>
  <c r="HT30" i="23"/>
  <c r="HU30" i="23"/>
  <c r="HV30" i="23"/>
  <c r="HW30" i="23"/>
  <c r="HX30" i="23"/>
  <c r="HY30" i="23"/>
  <c r="HZ30" i="23"/>
  <c r="IA30" i="23"/>
  <c r="IB30" i="23"/>
  <c r="IC30" i="23"/>
  <c r="ID30" i="23"/>
  <c r="IE30" i="23"/>
  <c r="IF30" i="23"/>
  <c r="IG30" i="23"/>
  <c r="IH30" i="23"/>
  <c r="II30" i="23"/>
  <c r="IJ30" i="23"/>
  <c r="IK30" i="23"/>
  <c r="IL30" i="23"/>
  <c r="IM30" i="23"/>
  <c r="IN30" i="23"/>
  <c r="IO30" i="23"/>
  <c r="IP30" i="23"/>
  <c r="IQ30" i="23"/>
  <c r="IR30" i="23"/>
  <c r="IS30" i="23"/>
  <c r="IT30" i="23"/>
  <c r="IU30" i="23"/>
  <c r="IV30" i="23"/>
  <c r="A29" i="23"/>
  <c r="B29" i="23"/>
  <c r="C29" i="23"/>
  <c r="D29" i="23"/>
  <c r="E29" i="23"/>
  <c r="F29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T29" i="23"/>
  <c r="U29" i="23"/>
  <c r="V29" i="23"/>
  <c r="W29" i="23"/>
  <c r="X29" i="23"/>
  <c r="Y29" i="23"/>
  <c r="Z29" i="23"/>
  <c r="AA29" i="23"/>
  <c r="AB29" i="23"/>
  <c r="AC29" i="23"/>
  <c r="AD29" i="23"/>
  <c r="AE29" i="23"/>
  <c r="AF29" i="23"/>
  <c r="AG29" i="23"/>
  <c r="AH29" i="23"/>
  <c r="AI29" i="23"/>
  <c r="AJ29" i="23"/>
  <c r="AK29" i="23"/>
  <c r="AL29" i="23"/>
  <c r="AM29" i="23"/>
  <c r="AN29" i="23"/>
  <c r="AO29" i="23"/>
  <c r="AP29" i="23"/>
  <c r="AQ29" i="23"/>
  <c r="AR29" i="23"/>
  <c r="AS29" i="23"/>
  <c r="AT29" i="23"/>
  <c r="AU29" i="23"/>
  <c r="AV29" i="23"/>
  <c r="AW29" i="23"/>
  <c r="AX29" i="23"/>
  <c r="AY29" i="23"/>
  <c r="AZ29" i="23"/>
  <c r="BA29" i="23"/>
  <c r="BB29" i="23"/>
  <c r="BC29" i="23"/>
  <c r="BD29" i="23"/>
  <c r="BE29" i="23"/>
  <c r="BF29" i="23"/>
  <c r="BG29" i="23"/>
  <c r="BH29" i="23"/>
  <c r="BI29" i="23"/>
  <c r="BJ29" i="23"/>
  <c r="BK29" i="23"/>
  <c r="BL29" i="23"/>
  <c r="BM29" i="23"/>
  <c r="BN29" i="23"/>
  <c r="BO29" i="23"/>
  <c r="BP29" i="23"/>
  <c r="BQ29" i="23"/>
  <c r="BR29" i="23"/>
  <c r="BS29" i="23"/>
  <c r="BT29" i="23"/>
  <c r="BU29" i="23"/>
  <c r="BV29" i="23"/>
  <c r="BW29" i="23"/>
  <c r="BX29" i="23"/>
  <c r="BY29" i="23"/>
  <c r="BZ29" i="23"/>
  <c r="CA29" i="23"/>
  <c r="CB29" i="23"/>
  <c r="CC29" i="23"/>
  <c r="CD29" i="23"/>
  <c r="CE29" i="23"/>
  <c r="CF29" i="23"/>
  <c r="CG29" i="23"/>
  <c r="CH29" i="23"/>
  <c r="CI29" i="23"/>
  <c r="CJ29" i="23"/>
  <c r="CK29" i="23"/>
  <c r="CL29" i="23"/>
  <c r="CM29" i="23"/>
  <c r="CN29" i="23"/>
  <c r="CO29" i="23"/>
  <c r="CP29" i="23"/>
  <c r="CQ29" i="23"/>
  <c r="CR29" i="23"/>
  <c r="CS29" i="23"/>
  <c r="CT29" i="23"/>
  <c r="CU29" i="23"/>
  <c r="CV29" i="23"/>
  <c r="CW29" i="23"/>
  <c r="CX29" i="23"/>
  <c r="CY29" i="23"/>
  <c r="CZ29" i="23"/>
  <c r="DA29" i="23"/>
  <c r="DB29" i="23"/>
  <c r="DC29" i="23"/>
  <c r="DD29" i="23"/>
  <c r="DE29" i="23"/>
  <c r="DF29" i="23"/>
  <c r="DG29" i="23"/>
  <c r="DH29" i="23"/>
  <c r="DI29" i="23"/>
  <c r="DJ29" i="23"/>
  <c r="DK29" i="23"/>
  <c r="DL29" i="23"/>
  <c r="DM29" i="23"/>
  <c r="DN29" i="23"/>
  <c r="DO29" i="23"/>
  <c r="DP29" i="23"/>
  <c r="DQ29" i="23"/>
  <c r="DR29" i="23"/>
  <c r="DS29" i="23"/>
  <c r="DT29" i="23"/>
  <c r="DU29" i="23"/>
  <c r="DV29" i="23"/>
  <c r="DW29" i="23"/>
  <c r="DX29" i="23"/>
  <c r="DY29" i="23"/>
  <c r="DZ29" i="23"/>
  <c r="EA29" i="23"/>
  <c r="EB29" i="23"/>
  <c r="EC29" i="23"/>
  <c r="ED29" i="23"/>
  <c r="EE29" i="23"/>
  <c r="EF29" i="23"/>
  <c r="EG29" i="23"/>
  <c r="EH29" i="23"/>
  <c r="EI29" i="23"/>
  <c r="EJ29" i="23"/>
  <c r="EK29" i="23"/>
  <c r="EL29" i="23"/>
  <c r="EM29" i="23"/>
  <c r="EN29" i="23"/>
  <c r="EO29" i="23"/>
  <c r="EP29" i="23"/>
  <c r="EQ29" i="23"/>
  <c r="ER29" i="23"/>
  <c r="ES29" i="23"/>
  <c r="ET29" i="23"/>
  <c r="EU29" i="23"/>
  <c r="EV29" i="23"/>
  <c r="EW29" i="23"/>
  <c r="EX29" i="23"/>
  <c r="EY29" i="23"/>
  <c r="EZ29" i="23"/>
  <c r="FA29" i="23"/>
  <c r="FB29" i="23"/>
  <c r="FC29" i="23"/>
  <c r="FD29" i="23"/>
  <c r="FE29" i="23"/>
  <c r="FF29" i="23"/>
  <c r="FG29" i="23"/>
  <c r="FH29" i="23"/>
  <c r="FI29" i="23"/>
  <c r="FJ29" i="23"/>
  <c r="FK29" i="23"/>
  <c r="FL29" i="23"/>
  <c r="FM29" i="23"/>
  <c r="FN29" i="23"/>
  <c r="FO29" i="23"/>
  <c r="FP29" i="23"/>
  <c r="FQ29" i="23"/>
  <c r="FR29" i="23"/>
  <c r="FS29" i="23"/>
  <c r="FT29" i="23"/>
  <c r="FU29" i="23"/>
  <c r="FV29" i="23"/>
  <c r="FW29" i="23"/>
  <c r="FX29" i="23"/>
  <c r="FY29" i="23"/>
  <c r="FZ29" i="23"/>
  <c r="GA29" i="23"/>
  <c r="GB29" i="23"/>
  <c r="GC29" i="23"/>
  <c r="GD29" i="23"/>
  <c r="GE29" i="23"/>
  <c r="GF29" i="23"/>
  <c r="GG29" i="23"/>
  <c r="GH29" i="23"/>
  <c r="GI29" i="23"/>
  <c r="GJ29" i="23"/>
  <c r="GK29" i="23"/>
  <c r="GL29" i="23"/>
  <c r="GM29" i="23"/>
  <c r="GN29" i="23"/>
  <c r="GO29" i="23"/>
  <c r="GP29" i="23"/>
  <c r="GQ29" i="23"/>
  <c r="GR29" i="23"/>
  <c r="GS29" i="23"/>
  <c r="GT29" i="23"/>
  <c r="GU29" i="23"/>
  <c r="GV29" i="23"/>
  <c r="GW29" i="23"/>
  <c r="GX29" i="23"/>
  <c r="GY29" i="23"/>
  <c r="GZ29" i="23"/>
  <c r="HA29" i="23"/>
  <c r="HB29" i="23"/>
  <c r="HC29" i="23"/>
  <c r="HD29" i="23"/>
  <c r="HE29" i="23"/>
  <c r="HF29" i="23"/>
  <c r="HG29" i="23"/>
  <c r="HH29" i="23"/>
  <c r="HI29" i="23"/>
  <c r="HJ29" i="23"/>
  <c r="HK29" i="23"/>
  <c r="HL29" i="23"/>
  <c r="HM29" i="23"/>
  <c r="HN29" i="23"/>
  <c r="HO29" i="23"/>
  <c r="HP29" i="23"/>
  <c r="HQ29" i="23"/>
  <c r="HR29" i="23"/>
  <c r="HS29" i="23"/>
  <c r="HT29" i="23"/>
  <c r="HU29" i="23"/>
  <c r="HV29" i="23"/>
  <c r="HW29" i="23"/>
  <c r="HX29" i="23"/>
  <c r="HY29" i="23"/>
  <c r="HZ29" i="23"/>
  <c r="IA29" i="23"/>
  <c r="IB29" i="23"/>
  <c r="IC29" i="23"/>
  <c r="ID29" i="23"/>
  <c r="IE29" i="23"/>
  <c r="IF29" i="23"/>
  <c r="IG29" i="23"/>
  <c r="IH29" i="23"/>
  <c r="II29" i="23"/>
  <c r="IJ29" i="23"/>
  <c r="IK29" i="23"/>
  <c r="IL29" i="23"/>
  <c r="IM29" i="23"/>
  <c r="IN29" i="23"/>
  <c r="IO29" i="23"/>
  <c r="IP29" i="23"/>
  <c r="IQ29" i="23"/>
  <c r="IR29" i="23"/>
  <c r="IS29" i="23"/>
  <c r="IT29" i="23"/>
  <c r="IU29" i="23"/>
  <c r="IV29" i="23"/>
  <c r="A28" i="23"/>
  <c r="B28" i="23"/>
  <c r="C28" i="23"/>
  <c r="D28" i="23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E28" i="23"/>
  <c r="AF28" i="23"/>
  <c r="AG28" i="23"/>
  <c r="AH28" i="23"/>
  <c r="AI28" i="23"/>
  <c r="AJ28" i="23"/>
  <c r="AK28" i="23"/>
  <c r="AL28" i="23"/>
  <c r="AM28" i="23"/>
  <c r="AN28" i="23"/>
  <c r="AO28" i="23"/>
  <c r="AP28" i="23"/>
  <c r="AQ28" i="23"/>
  <c r="AR28" i="23"/>
  <c r="AS28" i="23"/>
  <c r="AT28" i="23"/>
  <c r="AU28" i="23"/>
  <c r="AV28" i="23"/>
  <c r="AW28" i="23"/>
  <c r="AX28" i="23"/>
  <c r="AY28" i="23"/>
  <c r="AZ28" i="23"/>
  <c r="BA28" i="23"/>
  <c r="BB28" i="23"/>
  <c r="BC28" i="23"/>
  <c r="BD28" i="23"/>
  <c r="BE28" i="23"/>
  <c r="BF28" i="23"/>
  <c r="BG28" i="23"/>
  <c r="BH28" i="23"/>
  <c r="BI28" i="23"/>
  <c r="BJ28" i="23"/>
  <c r="BK28" i="23"/>
  <c r="BL28" i="23"/>
  <c r="BM28" i="23"/>
  <c r="BN28" i="23"/>
  <c r="BO28" i="23"/>
  <c r="BP28" i="23"/>
  <c r="BQ28" i="23"/>
  <c r="BR28" i="23"/>
  <c r="BS28" i="23"/>
  <c r="BT28" i="23"/>
  <c r="BU28" i="23"/>
  <c r="BV28" i="23"/>
  <c r="BW28" i="23"/>
  <c r="BX28" i="23"/>
  <c r="BY28" i="23"/>
  <c r="BZ28" i="23"/>
  <c r="CA28" i="23"/>
  <c r="CB28" i="23"/>
  <c r="CC28" i="23"/>
  <c r="CD28" i="23"/>
  <c r="CE28" i="23"/>
  <c r="CF28" i="23"/>
  <c r="CG28" i="23"/>
  <c r="CH28" i="23"/>
  <c r="CI28" i="23"/>
  <c r="CJ28" i="23"/>
  <c r="CK28" i="23"/>
  <c r="CL28" i="23"/>
  <c r="CM28" i="23"/>
  <c r="CN28" i="23"/>
  <c r="CO28" i="23"/>
  <c r="CP28" i="23"/>
  <c r="CQ28" i="23"/>
  <c r="CR28" i="23"/>
  <c r="CS28" i="23"/>
  <c r="CT28" i="23"/>
  <c r="CU28" i="23"/>
  <c r="CV28" i="23"/>
  <c r="CW28" i="23"/>
  <c r="CX28" i="23"/>
  <c r="CY28" i="23"/>
  <c r="CZ28" i="23"/>
  <c r="DA28" i="23"/>
  <c r="DB28" i="23"/>
  <c r="DC28" i="23"/>
  <c r="DD28" i="23"/>
  <c r="DE28" i="23"/>
  <c r="DF28" i="23"/>
  <c r="DG28" i="23"/>
  <c r="DH28" i="23"/>
  <c r="DI28" i="23"/>
  <c r="DJ28" i="23"/>
  <c r="DK28" i="23"/>
  <c r="DL28" i="23"/>
  <c r="DM28" i="23"/>
  <c r="DN28" i="23"/>
  <c r="DO28" i="23"/>
  <c r="DP28" i="23"/>
  <c r="DQ28" i="23"/>
  <c r="DR28" i="23"/>
  <c r="DS28" i="23"/>
  <c r="DT28" i="23"/>
  <c r="DU28" i="23"/>
  <c r="DV28" i="23"/>
  <c r="DW28" i="23"/>
  <c r="DX28" i="23"/>
  <c r="DY28" i="23"/>
  <c r="DZ28" i="23"/>
  <c r="EA28" i="23"/>
  <c r="EB28" i="23"/>
  <c r="EC28" i="23"/>
  <c r="ED28" i="23"/>
  <c r="EE28" i="23"/>
  <c r="EF28" i="23"/>
  <c r="EG28" i="23"/>
  <c r="EH28" i="23"/>
  <c r="EI28" i="23"/>
  <c r="EJ28" i="23"/>
  <c r="EK28" i="23"/>
  <c r="EL28" i="23"/>
  <c r="EM28" i="23"/>
  <c r="EN28" i="23"/>
  <c r="EO28" i="23"/>
  <c r="EP28" i="23"/>
  <c r="EQ28" i="23"/>
  <c r="ER28" i="23"/>
  <c r="ES28" i="23"/>
  <c r="ET28" i="23"/>
  <c r="EU28" i="23"/>
  <c r="EV28" i="23"/>
  <c r="EW28" i="23"/>
  <c r="EX28" i="23"/>
  <c r="EY28" i="23"/>
  <c r="EZ28" i="23"/>
  <c r="FA28" i="23"/>
  <c r="FB28" i="23"/>
  <c r="FC28" i="23"/>
  <c r="FD28" i="23"/>
  <c r="FE28" i="23"/>
  <c r="FF28" i="23"/>
  <c r="FG28" i="23"/>
  <c r="FH28" i="23"/>
  <c r="FI28" i="23"/>
  <c r="FJ28" i="23"/>
  <c r="FK28" i="23"/>
  <c r="FL28" i="23"/>
  <c r="FM28" i="23"/>
  <c r="FN28" i="23"/>
  <c r="FO28" i="23"/>
  <c r="FP28" i="23"/>
  <c r="FQ28" i="23"/>
  <c r="FR28" i="23"/>
  <c r="FS28" i="23"/>
  <c r="FT28" i="23"/>
  <c r="FU28" i="23"/>
  <c r="FV28" i="23"/>
  <c r="FW28" i="23"/>
  <c r="FX28" i="23"/>
  <c r="FY28" i="23"/>
  <c r="FZ28" i="23"/>
  <c r="GA28" i="23"/>
  <c r="GB28" i="23"/>
  <c r="GC28" i="23"/>
  <c r="GD28" i="23"/>
  <c r="GE28" i="23"/>
  <c r="GF28" i="23"/>
  <c r="GG28" i="23"/>
  <c r="GH28" i="23"/>
  <c r="GI28" i="23"/>
  <c r="GJ28" i="23"/>
  <c r="GK28" i="23"/>
  <c r="GL28" i="23"/>
  <c r="GM28" i="23"/>
  <c r="GN28" i="23"/>
  <c r="GO28" i="23"/>
  <c r="GP28" i="23"/>
  <c r="GQ28" i="23"/>
  <c r="GR28" i="23"/>
  <c r="GS28" i="23"/>
  <c r="GT28" i="23"/>
  <c r="GU28" i="23"/>
  <c r="GV28" i="23"/>
  <c r="GW28" i="23"/>
  <c r="GX28" i="23"/>
  <c r="GY28" i="23"/>
  <c r="GZ28" i="23"/>
  <c r="HA28" i="23"/>
  <c r="HB28" i="23"/>
  <c r="HC28" i="23"/>
  <c r="HD28" i="23"/>
  <c r="HE28" i="23"/>
  <c r="HF28" i="23"/>
  <c r="HG28" i="23"/>
  <c r="HH28" i="23"/>
  <c r="HI28" i="23"/>
  <c r="HJ28" i="23"/>
  <c r="HK28" i="23"/>
  <c r="HL28" i="23"/>
  <c r="HM28" i="23"/>
  <c r="HN28" i="23"/>
  <c r="HO28" i="23"/>
  <c r="HP28" i="23"/>
  <c r="HQ28" i="23"/>
  <c r="HR28" i="23"/>
  <c r="HS28" i="23"/>
  <c r="HT28" i="23"/>
  <c r="HU28" i="23"/>
  <c r="HV28" i="23"/>
  <c r="HW28" i="23"/>
  <c r="HX28" i="23"/>
  <c r="HY28" i="23"/>
  <c r="HZ28" i="23"/>
  <c r="IA28" i="23"/>
  <c r="IB28" i="23"/>
  <c r="IC28" i="23"/>
  <c r="ID28" i="23"/>
  <c r="IE28" i="23"/>
  <c r="IF28" i="23"/>
  <c r="IG28" i="23"/>
  <c r="IH28" i="23"/>
  <c r="II28" i="23"/>
  <c r="IJ28" i="23"/>
  <c r="IK28" i="23"/>
  <c r="IL28" i="23"/>
  <c r="IM28" i="23"/>
  <c r="IN28" i="23"/>
  <c r="IO28" i="23"/>
  <c r="IP28" i="23"/>
  <c r="IQ28" i="23"/>
  <c r="IR28" i="23"/>
  <c r="IS28" i="23"/>
  <c r="IT28" i="23"/>
  <c r="IU28" i="23"/>
  <c r="IV28" i="23"/>
  <c r="A27" i="23"/>
  <c r="B27" i="23"/>
  <c r="C27" i="23"/>
  <c r="D27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AE27" i="23"/>
  <c r="AF27" i="23"/>
  <c r="AG27" i="23"/>
  <c r="AH27" i="23"/>
  <c r="AI27" i="23"/>
  <c r="AJ27" i="23"/>
  <c r="AK27" i="23"/>
  <c r="AL27" i="23"/>
  <c r="AM27" i="23"/>
  <c r="AN27" i="23"/>
  <c r="AO27" i="23"/>
  <c r="AP27" i="23"/>
  <c r="AQ27" i="23"/>
  <c r="AR27" i="23"/>
  <c r="AS27" i="23"/>
  <c r="AT27" i="23"/>
  <c r="AU27" i="23"/>
  <c r="AV27" i="23"/>
  <c r="AW27" i="23"/>
  <c r="AX27" i="23"/>
  <c r="AY27" i="23"/>
  <c r="AZ27" i="23"/>
  <c r="BA27" i="23"/>
  <c r="BB27" i="23"/>
  <c r="BC27" i="23"/>
  <c r="BD27" i="23"/>
  <c r="BE27" i="23"/>
  <c r="BF27" i="23"/>
  <c r="BG27" i="23"/>
  <c r="BH27" i="23"/>
  <c r="BI27" i="23"/>
  <c r="BJ27" i="23"/>
  <c r="BK27" i="23"/>
  <c r="BL27" i="23"/>
  <c r="BM27" i="23"/>
  <c r="BN27" i="23"/>
  <c r="BO27" i="23"/>
  <c r="BP27" i="23"/>
  <c r="BQ27" i="23"/>
  <c r="BR27" i="23"/>
  <c r="BS27" i="23"/>
  <c r="BT27" i="23"/>
  <c r="BU27" i="23"/>
  <c r="BV27" i="23"/>
  <c r="BW27" i="23"/>
  <c r="BX27" i="23"/>
  <c r="BY27" i="23"/>
  <c r="BZ27" i="23"/>
  <c r="CA27" i="23"/>
  <c r="CB27" i="23"/>
  <c r="CC27" i="23"/>
  <c r="CD27" i="23"/>
  <c r="CE27" i="23"/>
  <c r="CF27" i="23"/>
  <c r="CG27" i="23"/>
  <c r="CH27" i="23"/>
  <c r="CI27" i="23"/>
  <c r="CJ27" i="23"/>
  <c r="CK27" i="23"/>
  <c r="CL27" i="23"/>
  <c r="CM27" i="23"/>
  <c r="CN27" i="23"/>
  <c r="CO27" i="23"/>
  <c r="CP27" i="23"/>
  <c r="CQ27" i="23"/>
  <c r="CR27" i="23"/>
  <c r="CS27" i="23"/>
  <c r="CT27" i="23"/>
  <c r="CU27" i="23"/>
  <c r="CV27" i="23"/>
  <c r="CW27" i="23"/>
  <c r="CX27" i="23"/>
  <c r="CY27" i="23"/>
  <c r="CZ27" i="23"/>
  <c r="DA27" i="23"/>
  <c r="DB27" i="23"/>
  <c r="DC27" i="23"/>
  <c r="DD27" i="23"/>
  <c r="DE27" i="23"/>
  <c r="DF27" i="23"/>
  <c r="DG27" i="23"/>
  <c r="DH27" i="23"/>
  <c r="DI27" i="23"/>
  <c r="DJ27" i="23"/>
  <c r="DK27" i="23"/>
  <c r="DL27" i="23"/>
  <c r="DM27" i="23"/>
  <c r="DN27" i="23"/>
  <c r="DO27" i="23"/>
  <c r="DP27" i="23"/>
  <c r="DQ27" i="23"/>
  <c r="DR27" i="23"/>
  <c r="DS27" i="23"/>
  <c r="DT27" i="23"/>
  <c r="DU27" i="23"/>
  <c r="DV27" i="23"/>
  <c r="DW27" i="23"/>
  <c r="DX27" i="23"/>
  <c r="DY27" i="23"/>
  <c r="DZ27" i="23"/>
  <c r="EA27" i="23"/>
  <c r="EB27" i="23"/>
  <c r="EC27" i="23"/>
  <c r="ED27" i="23"/>
  <c r="EE27" i="23"/>
  <c r="EF27" i="23"/>
  <c r="EG27" i="23"/>
  <c r="EH27" i="23"/>
  <c r="EI27" i="23"/>
  <c r="EJ27" i="23"/>
  <c r="EK27" i="23"/>
  <c r="EL27" i="23"/>
  <c r="EM27" i="23"/>
  <c r="EN27" i="23"/>
  <c r="EO27" i="23"/>
  <c r="EP27" i="23"/>
  <c r="EQ27" i="23"/>
  <c r="ER27" i="23"/>
  <c r="ES27" i="23"/>
  <c r="ET27" i="23"/>
  <c r="EU27" i="23"/>
  <c r="EV27" i="23"/>
  <c r="EW27" i="23"/>
  <c r="EX27" i="23"/>
  <c r="EY27" i="23"/>
  <c r="EZ27" i="23"/>
  <c r="FA27" i="23"/>
  <c r="FB27" i="23"/>
  <c r="FC27" i="23"/>
  <c r="FD27" i="23"/>
  <c r="FE27" i="23"/>
  <c r="FF27" i="23"/>
  <c r="FG27" i="23"/>
  <c r="FH27" i="23"/>
  <c r="FI27" i="23"/>
  <c r="FJ27" i="23"/>
  <c r="FK27" i="23"/>
  <c r="FL27" i="23"/>
  <c r="FM27" i="23"/>
  <c r="FN27" i="23"/>
  <c r="FO27" i="23"/>
  <c r="FP27" i="23"/>
  <c r="FQ27" i="23"/>
  <c r="FR27" i="23"/>
  <c r="FS27" i="23"/>
  <c r="FT27" i="23"/>
  <c r="FU27" i="23"/>
  <c r="FV27" i="23"/>
  <c r="FW27" i="23"/>
  <c r="FX27" i="23"/>
  <c r="FY27" i="23"/>
  <c r="FZ27" i="23"/>
  <c r="GA27" i="23"/>
  <c r="GB27" i="23"/>
  <c r="GC27" i="23"/>
  <c r="GD27" i="23"/>
  <c r="GE27" i="23"/>
  <c r="GF27" i="23"/>
  <c r="GG27" i="23"/>
  <c r="GH27" i="23"/>
  <c r="GI27" i="23"/>
  <c r="GJ27" i="23"/>
  <c r="GK27" i="23"/>
  <c r="GL27" i="23"/>
  <c r="GM27" i="23"/>
  <c r="GN27" i="23"/>
  <c r="GO27" i="23"/>
  <c r="GP27" i="23"/>
  <c r="GQ27" i="23"/>
  <c r="GR27" i="23"/>
  <c r="GS27" i="23"/>
  <c r="GT27" i="23"/>
  <c r="GU27" i="23"/>
  <c r="GV27" i="23"/>
  <c r="GW27" i="23"/>
  <c r="GX27" i="23"/>
  <c r="GY27" i="23"/>
  <c r="GZ27" i="23"/>
  <c r="HA27" i="23"/>
  <c r="HB27" i="23"/>
  <c r="HC27" i="23"/>
  <c r="HD27" i="23"/>
  <c r="HE27" i="23"/>
  <c r="HF27" i="23"/>
  <c r="HG27" i="23"/>
  <c r="HH27" i="23"/>
  <c r="HI27" i="23"/>
  <c r="HJ27" i="23"/>
  <c r="HK27" i="23"/>
  <c r="HL27" i="23"/>
  <c r="HM27" i="23"/>
  <c r="HN27" i="23"/>
  <c r="HO27" i="23"/>
  <c r="HP27" i="23"/>
  <c r="HQ27" i="23"/>
  <c r="HR27" i="23"/>
  <c r="HS27" i="23"/>
  <c r="HT27" i="23"/>
  <c r="HU27" i="23"/>
  <c r="HV27" i="23"/>
  <c r="HW27" i="23"/>
  <c r="HX27" i="23"/>
  <c r="HY27" i="23"/>
  <c r="HZ27" i="23"/>
  <c r="IA27" i="23"/>
  <c r="IB27" i="23"/>
  <c r="IC27" i="23"/>
  <c r="ID27" i="23"/>
  <c r="IE27" i="23"/>
  <c r="IF27" i="23"/>
  <c r="IG27" i="23"/>
  <c r="IH27" i="23"/>
  <c r="II27" i="23"/>
  <c r="IJ27" i="23"/>
  <c r="IK27" i="23"/>
  <c r="IL27" i="23"/>
  <c r="IM27" i="23"/>
  <c r="IN27" i="23"/>
  <c r="IO27" i="23"/>
  <c r="IP27" i="23"/>
  <c r="IQ27" i="23"/>
  <c r="IR27" i="23"/>
  <c r="IS27" i="23"/>
  <c r="IT27" i="23"/>
  <c r="IU27" i="23"/>
  <c r="IV27" i="23"/>
  <c r="A26" i="23"/>
  <c r="B26" i="23"/>
  <c r="C26" i="23"/>
  <c r="D26" i="23"/>
  <c r="E26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AE26" i="23"/>
  <c r="AF26" i="23"/>
  <c r="AG26" i="23"/>
  <c r="AH26" i="23"/>
  <c r="AI26" i="23"/>
  <c r="AJ26" i="23"/>
  <c r="AK26" i="23"/>
  <c r="AL26" i="23"/>
  <c r="AM26" i="23"/>
  <c r="AN26" i="23"/>
  <c r="AO26" i="23"/>
  <c r="AP26" i="23"/>
  <c r="AQ26" i="23"/>
  <c r="AR26" i="23"/>
  <c r="AS26" i="23"/>
  <c r="AT26" i="23"/>
  <c r="AU26" i="23"/>
  <c r="AV26" i="23"/>
  <c r="AW26" i="23"/>
  <c r="AX26" i="23"/>
  <c r="AY26" i="23"/>
  <c r="AZ26" i="23"/>
  <c r="BA26" i="23"/>
  <c r="BB26" i="23"/>
  <c r="BC26" i="23"/>
  <c r="BD26" i="23"/>
  <c r="BE26" i="23"/>
  <c r="BF26" i="23"/>
  <c r="BG26" i="23"/>
  <c r="BH26" i="23"/>
  <c r="BI26" i="23"/>
  <c r="BJ26" i="23"/>
  <c r="BK26" i="23"/>
  <c r="BL26" i="23"/>
  <c r="BM26" i="23"/>
  <c r="BN26" i="23"/>
  <c r="BO26" i="23"/>
  <c r="BP26" i="23"/>
  <c r="BQ26" i="23"/>
  <c r="BR26" i="23"/>
  <c r="BS26" i="23"/>
  <c r="BT26" i="23"/>
  <c r="BU26" i="23"/>
  <c r="BV26" i="23"/>
  <c r="BW26" i="23"/>
  <c r="BX26" i="23"/>
  <c r="BY26" i="23"/>
  <c r="BZ26" i="23"/>
  <c r="CA26" i="23"/>
  <c r="CB26" i="23"/>
  <c r="CC26" i="23"/>
  <c r="CD26" i="23"/>
  <c r="CE26" i="23"/>
  <c r="CF26" i="23"/>
  <c r="CG26" i="23"/>
  <c r="CH26" i="23"/>
  <c r="CI26" i="23"/>
  <c r="CJ26" i="23"/>
  <c r="CK26" i="23"/>
  <c r="CL26" i="23"/>
  <c r="CM26" i="23"/>
  <c r="CN26" i="23"/>
  <c r="CO26" i="23"/>
  <c r="CP26" i="23"/>
  <c r="CQ26" i="23"/>
  <c r="CR26" i="23"/>
  <c r="CS26" i="23"/>
  <c r="CT26" i="23"/>
  <c r="CU26" i="23"/>
  <c r="CV26" i="23"/>
  <c r="CW26" i="23"/>
  <c r="CX26" i="23"/>
  <c r="CY26" i="23"/>
  <c r="CZ26" i="23"/>
  <c r="DA26" i="23"/>
  <c r="DB26" i="23"/>
  <c r="DC26" i="23"/>
  <c r="DD26" i="23"/>
  <c r="DE26" i="23"/>
  <c r="DF26" i="23"/>
  <c r="DG26" i="23"/>
  <c r="DH26" i="23"/>
  <c r="DI26" i="23"/>
  <c r="DJ26" i="23"/>
  <c r="DK26" i="23"/>
  <c r="DL26" i="23"/>
  <c r="DM26" i="23"/>
  <c r="DN26" i="23"/>
  <c r="DO26" i="23"/>
  <c r="DP26" i="23"/>
  <c r="DQ26" i="23"/>
  <c r="DR26" i="23"/>
  <c r="DS26" i="23"/>
  <c r="DT26" i="23"/>
  <c r="DU26" i="23"/>
  <c r="DV26" i="23"/>
  <c r="DW26" i="23"/>
  <c r="DX26" i="23"/>
  <c r="DY26" i="23"/>
  <c r="DZ26" i="23"/>
  <c r="EA26" i="23"/>
  <c r="EB26" i="23"/>
  <c r="EC26" i="23"/>
  <c r="ED26" i="23"/>
  <c r="EE26" i="23"/>
  <c r="EF26" i="23"/>
  <c r="EG26" i="23"/>
  <c r="EH26" i="23"/>
  <c r="EI26" i="23"/>
  <c r="EJ26" i="23"/>
  <c r="EK26" i="23"/>
  <c r="EL26" i="23"/>
  <c r="EM26" i="23"/>
  <c r="EN26" i="23"/>
  <c r="EO26" i="23"/>
  <c r="EP26" i="23"/>
  <c r="EQ26" i="23"/>
  <c r="ER26" i="23"/>
  <c r="ES26" i="23"/>
  <c r="ET26" i="23"/>
  <c r="EU26" i="23"/>
  <c r="EV26" i="23"/>
  <c r="EW26" i="23"/>
  <c r="EX26" i="23"/>
  <c r="EY26" i="23"/>
  <c r="EZ26" i="23"/>
  <c r="FA26" i="23"/>
  <c r="FB26" i="23"/>
  <c r="FC26" i="23"/>
  <c r="FD26" i="23"/>
  <c r="FE26" i="23"/>
  <c r="FF26" i="23"/>
  <c r="FG26" i="23"/>
  <c r="FH26" i="23"/>
  <c r="FI26" i="23"/>
  <c r="FJ26" i="23"/>
  <c r="FK26" i="23"/>
  <c r="FL26" i="23"/>
  <c r="FM26" i="23"/>
  <c r="FN26" i="23"/>
  <c r="FO26" i="23"/>
  <c r="FP26" i="23"/>
  <c r="FQ26" i="23"/>
  <c r="FR26" i="23"/>
  <c r="FS26" i="23"/>
  <c r="FT26" i="23"/>
  <c r="FU26" i="23"/>
  <c r="FV26" i="23"/>
  <c r="FW26" i="23"/>
  <c r="FX26" i="23"/>
  <c r="FY26" i="23"/>
  <c r="FZ26" i="23"/>
  <c r="GA26" i="23"/>
  <c r="GB26" i="23"/>
  <c r="GC26" i="23"/>
  <c r="GD26" i="23"/>
  <c r="GE26" i="23"/>
  <c r="GF26" i="23"/>
  <c r="GG26" i="23"/>
  <c r="GH26" i="23"/>
  <c r="GI26" i="23"/>
  <c r="GJ26" i="23"/>
  <c r="GK26" i="23"/>
  <c r="GL26" i="23"/>
  <c r="GM26" i="23"/>
  <c r="GN26" i="23"/>
  <c r="GO26" i="23"/>
  <c r="GP26" i="23"/>
  <c r="GQ26" i="23"/>
  <c r="GR26" i="23"/>
  <c r="GS26" i="23"/>
  <c r="GT26" i="23"/>
  <c r="GU26" i="23"/>
  <c r="GV26" i="23"/>
  <c r="GW26" i="23"/>
  <c r="GX26" i="23"/>
  <c r="GY26" i="23"/>
  <c r="GZ26" i="23"/>
  <c r="HA26" i="23"/>
  <c r="HB26" i="23"/>
  <c r="HC26" i="23"/>
  <c r="HD26" i="23"/>
  <c r="HE26" i="23"/>
  <c r="HF26" i="23"/>
  <c r="HG26" i="23"/>
  <c r="HH26" i="23"/>
  <c r="HI26" i="23"/>
  <c r="HJ26" i="23"/>
  <c r="HK26" i="23"/>
  <c r="HL26" i="23"/>
  <c r="HM26" i="23"/>
  <c r="HN26" i="23"/>
  <c r="HO26" i="23"/>
  <c r="HP26" i="23"/>
  <c r="HQ26" i="23"/>
  <c r="HR26" i="23"/>
  <c r="HS26" i="23"/>
  <c r="HT26" i="23"/>
  <c r="HU26" i="23"/>
  <c r="HV26" i="23"/>
  <c r="HW26" i="23"/>
  <c r="HX26" i="23"/>
  <c r="HY26" i="23"/>
  <c r="HZ26" i="23"/>
  <c r="IA26" i="23"/>
  <c r="IB26" i="23"/>
  <c r="IC26" i="23"/>
  <c r="ID26" i="23"/>
  <c r="IE26" i="23"/>
  <c r="IF26" i="23"/>
  <c r="IG26" i="23"/>
  <c r="IH26" i="23"/>
  <c r="II26" i="23"/>
  <c r="IJ26" i="23"/>
  <c r="IK26" i="23"/>
  <c r="IL26" i="23"/>
  <c r="IM26" i="23"/>
  <c r="IN26" i="23"/>
  <c r="IO26" i="23"/>
  <c r="IP26" i="23"/>
  <c r="IQ26" i="23"/>
  <c r="IR26" i="23"/>
  <c r="IS26" i="23"/>
  <c r="IT26" i="23"/>
  <c r="IU26" i="23"/>
  <c r="IV26" i="23"/>
  <c r="A25" i="23"/>
  <c r="B25" i="23"/>
  <c r="C25" i="23"/>
  <c r="D25" i="23"/>
  <c r="E25" i="23"/>
  <c r="F25" i="23"/>
  <c r="G25" i="23"/>
  <c r="H25" i="23"/>
  <c r="I25" i="23"/>
  <c r="J25" i="23"/>
  <c r="K25" i="23"/>
  <c r="L25" i="23"/>
  <c r="M25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AA25" i="23"/>
  <c r="AB25" i="23"/>
  <c r="AC25" i="23"/>
  <c r="AD25" i="23"/>
  <c r="AE25" i="23"/>
  <c r="AF25" i="23"/>
  <c r="AG25" i="23"/>
  <c r="AH25" i="23"/>
  <c r="AI25" i="23"/>
  <c r="AJ25" i="23"/>
  <c r="AK25" i="23"/>
  <c r="AL25" i="23"/>
  <c r="AM25" i="23"/>
  <c r="AN25" i="23"/>
  <c r="AO25" i="23"/>
  <c r="AP25" i="23"/>
  <c r="AQ25" i="23"/>
  <c r="AR25" i="23"/>
  <c r="AS25" i="23"/>
  <c r="AT25" i="23"/>
  <c r="AU25" i="23"/>
  <c r="AV25" i="23"/>
  <c r="AW25" i="23"/>
  <c r="AX25" i="23"/>
  <c r="AY25" i="23"/>
  <c r="AZ25" i="23"/>
  <c r="BA25" i="23"/>
  <c r="BB25" i="23"/>
  <c r="BC25" i="23"/>
  <c r="BD25" i="23"/>
  <c r="BE25" i="23"/>
  <c r="BF25" i="23"/>
  <c r="BG25" i="23"/>
  <c r="BH25" i="23"/>
  <c r="BI25" i="23"/>
  <c r="BJ25" i="23"/>
  <c r="BK25" i="23"/>
  <c r="BL25" i="23"/>
  <c r="BM25" i="23"/>
  <c r="BN25" i="23"/>
  <c r="BO25" i="23"/>
  <c r="BP25" i="23"/>
  <c r="BQ25" i="23"/>
  <c r="BR25" i="23"/>
  <c r="BS25" i="23"/>
  <c r="BT25" i="23"/>
  <c r="BU25" i="23"/>
  <c r="BV25" i="23"/>
  <c r="BW25" i="23"/>
  <c r="BX25" i="23"/>
  <c r="BY25" i="23"/>
  <c r="BZ25" i="23"/>
  <c r="CA25" i="23"/>
  <c r="CB25" i="23"/>
  <c r="CC25" i="23"/>
  <c r="CD25" i="23"/>
  <c r="CE25" i="23"/>
  <c r="CF25" i="23"/>
  <c r="CG25" i="23"/>
  <c r="CH25" i="23"/>
  <c r="CI25" i="23"/>
  <c r="CJ25" i="23"/>
  <c r="CK25" i="23"/>
  <c r="CL25" i="23"/>
  <c r="CM25" i="23"/>
  <c r="CN25" i="23"/>
  <c r="CO25" i="23"/>
  <c r="CP25" i="23"/>
  <c r="CQ25" i="23"/>
  <c r="CR25" i="23"/>
  <c r="CS25" i="23"/>
  <c r="CT25" i="23"/>
  <c r="CU25" i="23"/>
  <c r="CV25" i="23"/>
  <c r="CW25" i="23"/>
  <c r="CX25" i="23"/>
  <c r="CY25" i="23"/>
  <c r="CZ25" i="23"/>
  <c r="DA25" i="23"/>
  <c r="DB25" i="23"/>
  <c r="DC25" i="23"/>
  <c r="DD25" i="23"/>
  <c r="DE25" i="23"/>
  <c r="DF25" i="23"/>
  <c r="DG25" i="23"/>
  <c r="DH25" i="23"/>
  <c r="DI25" i="23"/>
  <c r="DJ25" i="23"/>
  <c r="DK25" i="23"/>
  <c r="DL25" i="23"/>
  <c r="DM25" i="23"/>
  <c r="DN25" i="23"/>
  <c r="DO25" i="23"/>
  <c r="DP25" i="23"/>
  <c r="DQ25" i="23"/>
  <c r="DR25" i="23"/>
  <c r="DS25" i="23"/>
  <c r="DT25" i="23"/>
  <c r="DU25" i="23"/>
  <c r="DV25" i="23"/>
  <c r="DW25" i="23"/>
  <c r="DX25" i="23"/>
  <c r="DY25" i="23"/>
  <c r="DZ25" i="23"/>
  <c r="EA25" i="23"/>
  <c r="EB25" i="23"/>
  <c r="EC25" i="23"/>
  <c r="ED25" i="23"/>
  <c r="EE25" i="23"/>
  <c r="EF25" i="23"/>
  <c r="EG25" i="23"/>
  <c r="EH25" i="23"/>
  <c r="EI25" i="23"/>
  <c r="EJ25" i="23"/>
  <c r="EK25" i="23"/>
  <c r="EL25" i="23"/>
  <c r="EM25" i="23"/>
  <c r="EN25" i="23"/>
  <c r="EO25" i="23"/>
  <c r="EP25" i="23"/>
  <c r="EQ25" i="23"/>
  <c r="ER25" i="23"/>
  <c r="ES25" i="23"/>
  <c r="ET25" i="23"/>
  <c r="EU25" i="23"/>
  <c r="EV25" i="23"/>
  <c r="EW25" i="23"/>
  <c r="EX25" i="23"/>
  <c r="EY25" i="23"/>
  <c r="EZ25" i="23"/>
  <c r="FA25" i="23"/>
  <c r="FB25" i="23"/>
  <c r="FC25" i="23"/>
  <c r="FD25" i="23"/>
  <c r="FE25" i="23"/>
  <c r="FF25" i="23"/>
  <c r="FG25" i="23"/>
  <c r="FH25" i="23"/>
  <c r="FI25" i="23"/>
  <c r="FJ25" i="23"/>
  <c r="FK25" i="23"/>
  <c r="FL25" i="23"/>
  <c r="FM25" i="23"/>
  <c r="FN25" i="23"/>
  <c r="FO25" i="23"/>
  <c r="FP25" i="23"/>
  <c r="FQ25" i="23"/>
  <c r="FR25" i="23"/>
  <c r="FS25" i="23"/>
  <c r="FT25" i="23"/>
  <c r="FU25" i="23"/>
  <c r="FV25" i="23"/>
  <c r="FW25" i="23"/>
  <c r="FX25" i="23"/>
  <c r="FY25" i="23"/>
  <c r="FZ25" i="23"/>
  <c r="GA25" i="23"/>
  <c r="GB25" i="23"/>
  <c r="GC25" i="23"/>
  <c r="GD25" i="23"/>
  <c r="GE25" i="23"/>
  <c r="GF25" i="23"/>
  <c r="GG25" i="23"/>
  <c r="GH25" i="23"/>
  <c r="GI25" i="23"/>
  <c r="GJ25" i="23"/>
  <c r="GK25" i="23"/>
  <c r="GL25" i="23"/>
  <c r="GM25" i="23"/>
  <c r="GN25" i="23"/>
  <c r="GO25" i="23"/>
  <c r="GP25" i="23"/>
  <c r="GQ25" i="23"/>
  <c r="GR25" i="23"/>
  <c r="GS25" i="23"/>
  <c r="GT25" i="23"/>
  <c r="GU25" i="23"/>
  <c r="GV25" i="23"/>
  <c r="GW25" i="23"/>
  <c r="GX25" i="23"/>
  <c r="GY25" i="23"/>
  <c r="GZ25" i="23"/>
  <c r="HA25" i="23"/>
  <c r="HB25" i="23"/>
  <c r="HC25" i="23"/>
  <c r="HD25" i="23"/>
  <c r="HE25" i="23"/>
  <c r="HF25" i="23"/>
  <c r="HG25" i="23"/>
  <c r="HH25" i="23"/>
  <c r="HI25" i="23"/>
  <c r="HJ25" i="23"/>
  <c r="HK25" i="23"/>
  <c r="HL25" i="23"/>
  <c r="HM25" i="23"/>
  <c r="HN25" i="23"/>
  <c r="HO25" i="23"/>
  <c r="HP25" i="23"/>
  <c r="HQ25" i="23"/>
  <c r="HR25" i="23"/>
  <c r="HS25" i="23"/>
  <c r="HT25" i="23"/>
  <c r="HU25" i="23"/>
  <c r="HV25" i="23"/>
  <c r="HW25" i="23"/>
  <c r="HX25" i="23"/>
  <c r="HY25" i="23"/>
  <c r="HZ25" i="23"/>
  <c r="IA25" i="23"/>
  <c r="IB25" i="23"/>
  <c r="IC25" i="23"/>
  <c r="ID25" i="23"/>
  <c r="IE25" i="23"/>
  <c r="IF25" i="23"/>
  <c r="IG25" i="23"/>
  <c r="IH25" i="23"/>
  <c r="II25" i="23"/>
  <c r="IJ25" i="23"/>
  <c r="IK25" i="23"/>
  <c r="IL25" i="23"/>
  <c r="IM25" i="23"/>
  <c r="IN25" i="23"/>
  <c r="IO25" i="23"/>
  <c r="IP25" i="23"/>
  <c r="IQ25" i="23"/>
  <c r="IR25" i="23"/>
  <c r="IS25" i="23"/>
  <c r="IT25" i="23"/>
  <c r="IU25" i="23"/>
  <c r="IV25" i="23"/>
  <c r="A24" i="23"/>
  <c r="B24" i="23"/>
  <c r="C24" i="23"/>
  <c r="D24" i="23"/>
  <c r="E24" i="23"/>
  <c r="F24" i="23"/>
  <c r="G24" i="23"/>
  <c r="H24" i="23"/>
  <c r="I24" i="23"/>
  <c r="J24" i="23"/>
  <c r="K24" i="23"/>
  <c r="L24" i="23"/>
  <c r="M24" i="23"/>
  <c r="N24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AE24" i="23"/>
  <c r="AF24" i="23"/>
  <c r="AG24" i="23"/>
  <c r="AH24" i="23"/>
  <c r="AI24" i="23"/>
  <c r="AJ24" i="23"/>
  <c r="AK24" i="23"/>
  <c r="AL24" i="23"/>
  <c r="AM24" i="23"/>
  <c r="AN24" i="23"/>
  <c r="AO24" i="23"/>
  <c r="AP24" i="23"/>
  <c r="AQ24" i="23"/>
  <c r="AR24" i="23"/>
  <c r="AS24" i="23"/>
  <c r="AT24" i="23"/>
  <c r="AU24" i="23"/>
  <c r="AV24" i="23"/>
  <c r="AW24" i="23"/>
  <c r="AX24" i="23"/>
  <c r="AY24" i="23"/>
  <c r="AZ24" i="23"/>
  <c r="BA24" i="23"/>
  <c r="BB24" i="23"/>
  <c r="BC24" i="23"/>
  <c r="BD24" i="23"/>
  <c r="BE24" i="23"/>
  <c r="BF24" i="23"/>
  <c r="BG24" i="23"/>
  <c r="BH24" i="23"/>
  <c r="BI24" i="23"/>
  <c r="BJ24" i="23"/>
  <c r="BK24" i="23"/>
  <c r="BL24" i="23"/>
  <c r="BM24" i="23"/>
  <c r="BN24" i="23"/>
  <c r="BO24" i="23"/>
  <c r="BP24" i="23"/>
  <c r="BQ24" i="23"/>
  <c r="BR24" i="23"/>
  <c r="BS24" i="23"/>
  <c r="BT24" i="23"/>
  <c r="BU24" i="23"/>
  <c r="BV24" i="23"/>
  <c r="BW24" i="23"/>
  <c r="BX24" i="23"/>
  <c r="BY24" i="23"/>
  <c r="BZ24" i="23"/>
  <c r="CA24" i="23"/>
  <c r="CB24" i="23"/>
  <c r="CC24" i="23"/>
  <c r="CD24" i="23"/>
  <c r="CE24" i="23"/>
  <c r="CF24" i="23"/>
  <c r="CG24" i="23"/>
  <c r="CH24" i="23"/>
  <c r="CI24" i="23"/>
  <c r="CJ24" i="23"/>
  <c r="CK24" i="23"/>
  <c r="CL24" i="23"/>
  <c r="CM24" i="23"/>
  <c r="CN24" i="23"/>
  <c r="CO24" i="23"/>
  <c r="CP24" i="23"/>
  <c r="CQ24" i="23"/>
  <c r="CR24" i="23"/>
  <c r="CS24" i="23"/>
  <c r="CT24" i="23"/>
  <c r="CU24" i="23"/>
  <c r="CV24" i="23"/>
  <c r="CW24" i="23"/>
  <c r="CX24" i="23"/>
  <c r="CY24" i="23"/>
  <c r="CZ24" i="23"/>
  <c r="DA24" i="23"/>
  <c r="DB24" i="23"/>
  <c r="DC24" i="23"/>
  <c r="DD24" i="23"/>
  <c r="DE24" i="23"/>
  <c r="DF24" i="23"/>
  <c r="DG24" i="23"/>
  <c r="DH24" i="23"/>
  <c r="DI24" i="23"/>
  <c r="DJ24" i="23"/>
  <c r="DK24" i="23"/>
  <c r="DL24" i="23"/>
  <c r="DM24" i="23"/>
  <c r="DN24" i="23"/>
  <c r="DO24" i="23"/>
  <c r="DP24" i="23"/>
  <c r="DQ24" i="23"/>
  <c r="DR24" i="23"/>
  <c r="DS24" i="23"/>
  <c r="DT24" i="23"/>
  <c r="DU24" i="23"/>
  <c r="DV24" i="23"/>
  <c r="DW24" i="23"/>
  <c r="DX24" i="23"/>
  <c r="DY24" i="23"/>
  <c r="DZ24" i="23"/>
  <c r="EA24" i="23"/>
  <c r="EB24" i="23"/>
  <c r="EC24" i="23"/>
  <c r="ED24" i="23"/>
  <c r="EE24" i="23"/>
  <c r="EF24" i="23"/>
  <c r="EG24" i="23"/>
  <c r="EH24" i="23"/>
  <c r="EI24" i="23"/>
  <c r="EJ24" i="23"/>
  <c r="EK24" i="23"/>
  <c r="EL24" i="23"/>
  <c r="EM24" i="23"/>
  <c r="EN24" i="23"/>
  <c r="EO24" i="23"/>
  <c r="EP24" i="23"/>
  <c r="EQ24" i="23"/>
  <c r="ER24" i="23"/>
  <c r="ES24" i="23"/>
  <c r="ET24" i="23"/>
  <c r="EU24" i="23"/>
  <c r="EV24" i="23"/>
  <c r="EW24" i="23"/>
  <c r="EX24" i="23"/>
  <c r="EY24" i="23"/>
  <c r="EZ24" i="23"/>
  <c r="FA24" i="23"/>
  <c r="FB24" i="23"/>
  <c r="FC24" i="23"/>
  <c r="FD24" i="23"/>
  <c r="FE24" i="23"/>
  <c r="FF24" i="23"/>
  <c r="FG24" i="23"/>
  <c r="FH24" i="23"/>
  <c r="FI24" i="23"/>
  <c r="FJ24" i="23"/>
  <c r="FK24" i="23"/>
  <c r="FL24" i="23"/>
  <c r="FM24" i="23"/>
  <c r="FN24" i="23"/>
  <c r="FO24" i="23"/>
  <c r="FP24" i="23"/>
  <c r="FQ24" i="23"/>
  <c r="FR24" i="23"/>
  <c r="FS24" i="23"/>
  <c r="FT24" i="23"/>
  <c r="FU24" i="23"/>
  <c r="FV24" i="23"/>
  <c r="FW24" i="23"/>
  <c r="FX24" i="23"/>
  <c r="FY24" i="23"/>
  <c r="FZ24" i="23"/>
  <c r="GA24" i="23"/>
  <c r="GB24" i="23"/>
  <c r="GC24" i="23"/>
  <c r="GD24" i="23"/>
  <c r="GE24" i="23"/>
  <c r="GF24" i="23"/>
  <c r="GG24" i="23"/>
  <c r="GH24" i="23"/>
  <c r="GI24" i="23"/>
  <c r="GJ24" i="23"/>
  <c r="GK24" i="23"/>
  <c r="GL24" i="23"/>
  <c r="GM24" i="23"/>
  <c r="GN24" i="23"/>
  <c r="GO24" i="23"/>
  <c r="GP24" i="23"/>
  <c r="GQ24" i="23"/>
  <c r="GR24" i="23"/>
  <c r="GS24" i="23"/>
  <c r="GT24" i="23"/>
  <c r="GU24" i="23"/>
  <c r="GV24" i="23"/>
  <c r="GW24" i="23"/>
  <c r="GX24" i="23"/>
  <c r="GY24" i="23"/>
  <c r="GZ24" i="23"/>
  <c r="HA24" i="23"/>
  <c r="HB24" i="23"/>
  <c r="HC24" i="23"/>
  <c r="HD24" i="23"/>
  <c r="HE24" i="23"/>
  <c r="HF24" i="23"/>
  <c r="HG24" i="23"/>
  <c r="HH24" i="23"/>
  <c r="HI24" i="23"/>
  <c r="HJ24" i="23"/>
  <c r="HK24" i="23"/>
  <c r="HL24" i="23"/>
  <c r="HM24" i="23"/>
  <c r="HN24" i="23"/>
  <c r="HO24" i="23"/>
  <c r="HP24" i="23"/>
  <c r="HQ24" i="23"/>
  <c r="HR24" i="23"/>
  <c r="HS24" i="23"/>
  <c r="HT24" i="23"/>
  <c r="HU24" i="23"/>
  <c r="HV24" i="23"/>
  <c r="HW24" i="23"/>
  <c r="HX24" i="23"/>
  <c r="HY24" i="23"/>
  <c r="HZ24" i="23"/>
  <c r="IA24" i="23"/>
  <c r="IB24" i="23"/>
  <c r="IC24" i="23"/>
  <c r="ID24" i="23"/>
  <c r="IE24" i="23"/>
  <c r="IF24" i="23"/>
  <c r="IG24" i="23"/>
  <c r="IH24" i="23"/>
  <c r="II24" i="23"/>
  <c r="IJ24" i="23"/>
  <c r="IK24" i="23"/>
  <c r="IL24" i="23"/>
  <c r="IM24" i="23"/>
  <c r="IN24" i="23"/>
  <c r="IO24" i="23"/>
  <c r="IP24" i="23"/>
  <c r="IQ24" i="23"/>
  <c r="IR24" i="23"/>
  <c r="IS24" i="23"/>
  <c r="IT24" i="23"/>
  <c r="IU24" i="23"/>
  <c r="IV24" i="23"/>
  <c r="A23" i="23"/>
  <c r="B23" i="23"/>
  <c r="C23" i="23"/>
  <c r="D23" i="23"/>
  <c r="E23" i="23"/>
  <c r="F23" i="23"/>
  <c r="G23" i="23"/>
  <c r="H23" i="23"/>
  <c r="I23" i="23"/>
  <c r="J23" i="23"/>
  <c r="K23" i="23"/>
  <c r="L23" i="23"/>
  <c r="M23" i="23"/>
  <c r="N23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AE23" i="23"/>
  <c r="AF23" i="23"/>
  <c r="AG23" i="23"/>
  <c r="AH23" i="23"/>
  <c r="AI23" i="23"/>
  <c r="AJ23" i="23"/>
  <c r="AK23" i="23"/>
  <c r="AL23" i="23"/>
  <c r="AM23" i="23"/>
  <c r="AN23" i="23"/>
  <c r="AO23" i="23"/>
  <c r="AP23" i="23"/>
  <c r="AQ23" i="23"/>
  <c r="AR23" i="23"/>
  <c r="AS23" i="23"/>
  <c r="AT23" i="23"/>
  <c r="AU23" i="23"/>
  <c r="AV23" i="23"/>
  <c r="AW23" i="23"/>
  <c r="AX23" i="23"/>
  <c r="AY23" i="23"/>
  <c r="AZ23" i="23"/>
  <c r="BA23" i="23"/>
  <c r="BB23" i="23"/>
  <c r="BC23" i="23"/>
  <c r="BD23" i="23"/>
  <c r="BE23" i="23"/>
  <c r="BF23" i="23"/>
  <c r="BG23" i="23"/>
  <c r="BH23" i="23"/>
  <c r="BI23" i="23"/>
  <c r="BJ23" i="23"/>
  <c r="BK23" i="23"/>
  <c r="BL23" i="23"/>
  <c r="BM23" i="23"/>
  <c r="BN23" i="23"/>
  <c r="BO23" i="23"/>
  <c r="BP23" i="23"/>
  <c r="BQ23" i="23"/>
  <c r="BR23" i="23"/>
  <c r="BS23" i="23"/>
  <c r="BT23" i="23"/>
  <c r="BU23" i="23"/>
  <c r="BV23" i="23"/>
  <c r="BW23" i="23"/>
  <c r="BX23" i="23"/>
  <c r="BY23" i="23"/>
  <c r="BZ23" i="23"/>
  <c r="CA23" i="23"/>
  <c r="CB23" i="23"/>
  <c r="CC23" i="23"/>
  <c r="CD23" i="23"/>
  <c r="CE23" i="23"/>
  <c r="CF23" i="23"/>
  <c r="CG23" i="23"/>
  <c r="CH23" i="23"/>
  <c r="CI23" i="23"/>
  <c r="CJ23" i="23"/>
  <c r="CK23" i="23"/>
  <c r="CL23" i="23"/>
  <c r="CM23" i="23"/>
  <c r="CN23" i="23"/>
  <c r="CO23" i="23"/>
  <c r="CP23" i="23"/>
  <c r="CQ23" i="23"/>
  <c r="CR23" i="23"/>
  <c r="CS23" i="23"/>
  <c r="CT23" i="23"/>
  <c r="CU23" i="23"/>
  <c r="CV23" i="23"/>
  <c r="CW23" i="23"/>
  <c r="CX23" i="23"/>
  <c r="CY23" i="23"/>
  <c r="CZ23" i="23"/>
  <c r="DA23" i="23"/>
  <c r="DB23" i="23"/>
  <c r="DC23" i="23"/>
  <c r="DD23" i="23"/>
  <c r="DE23" i="23"/>
  <c r="DF23" i="23"/>
  <c r="DG23" i="23"/>
  <c r="DH23" i="23"/>
  <c r="DI23" i="23"/>
  <c r="DJ23" i="23"/>
  <c r="DK23" i="23"/>
  <c r="DL23" i="23"/>
  <c r="DM23" i="23"/>
  <c r="DN23" i="23"/>
  <c r="DO23" i="23"/>
  <c r="DP23" i="23"/>
  <c r="DQ23" i="23"/>
  <c r="DR23" i="23"/>
  <c r="DS23" i="23"/>
  <c r="DT23" i="23"/>
  <c r="DU23" i="23"/>
  <c r="DV23" i="23"/>
  <c r="DW23" i="23"/>
  <c r="DX23" i="23"/>
  <c r="DY23" i="23"/>
  <c r="DZ23" i="23"/>
  <c r="EA23" i="23"/>
  <c r="EB23" i="23"/>
  <c r="EC23" i="23"/>
  <c r="ED23" i="23"/>
  <c r="EE23" i="23"/>
  <c r="EF23" i="23"/>
  <c r="EG23" i="23"/>
  <c r="EH23" i="23"/>
  <c r="EI23" i="23"/>
  <c r="EJ23" i="23"/>
  <c r="EK23" i="23"/>
  <c r="EL23" i="23"/>
  <c r="EM23" i="23"/>
  <c r="EN23" i="23"/>
  <c r="EO23" i="23"/>
  <c r="EP23" i="23"/>
  <c r="EQ23" i="23"/>
  <c r="ER23" i="23"/>
  <c r="ES23" i="23"/>
  <c r="ET23" i="23"/>
  <c r="EU23" i="23"/>
  <c r="EV23" i="23"/>
  <c r="EW23" i="23"/>
  <c r="EX23" i="23"/>
  <c r="EY23" i="23"/>
  <c r="EZ23" i="23"/>
  <c r="FA23" i="23"/>
  <c r="FB23" i="23"/>
  <c r="FC23" i="23"/>
  <c r="FD23" i="23"/>
  <c r="FE23" i="23"/>
  <c r="FF23" i="23"/>
  <c r="FG23" i="23"/>
  <c r="FH23" i="23"/>
  <c r="FI23" i="23"/>
  <c r="FJ23" i="23"/>
  <c r="FK23" i="23"/>
  <c r="FL23" i="23"/>
  <c r="FM23" i="23"/>
  <c r="FN23" i="23"/>
  <c r="FO23" i="23"/>
  <c r="FP23" i="23"/>
  <c r="FQ23" i="23"/>
  <c r="FR23" i="23"/>
  <c r="FS23" i="23"/>
  <c r="FT23" i="23"/>
  <c r="FU23" i="23"/>
  <c r="FV23" i="23"/>
  <c r="FW23" i="23"/>
  <c r="FX23" i="23"/>
  <c r="FY23" i="23"/>
  <c r="FZ23" i="23"/>
  <c r="GA23" i="23"/>
  <c r="GB23" i="23"/>
  <c r="GC23" i="23"/>
  <c r="GD23" i="23"/>
  <c r="GE23" i="23"/>
  <c r="GF23" i="23"/>
  <c r="GG23" i="23"/>
  <c r="GH23" i="23"/>
  <c r="GI23" i="23"/>
  <c r="GJ23" i="23"/>
  <c r="GK23" i="23"/>
  <c r="GL23" i="23"/>
  <c r="GM23" i="23"/>
  <c r="GN23" i="23"/>
  <c r="GO23" i="23"/>
  <c r="GP23" i="23"/>
  <c r="GQ23" i="23"/>
  <c r="GR23" i="23"/>
  <c r="GS23" i="23"/>
  <c r="GT23" i="23"/>
  <c r="GU23" i="23"/>
  <c r="GV23" i="23"/>
  <c r="GW23" i="23"/>
  <c r="GX23" i="23"/>
  <c r="GY23" i="23"/>
  <c r="GZ23" i="23"/>
  <c r="HA23" i="23"/>
  <c r="HB23" i="23"/>
  <c r="HC23" i="23"/>
  <c r="HD23" i="23"/>
  <c r="HE23" i="23"/>
  <c r="HF23" i="23"/>
  <c r="HG23" i="23"/>
  <c r="HH23" i="23"/>
  <c r="HI23" i="23"/>
  <c r="HJ23" i="23"/>
  <c r="HK23" i="23"/>
  <c r="HL23" i="23"/>
  <c r="HM23" i="23"/>
  <c r="HN23" i="23"/>
  <c r="HO23" i="23"/>
  <c r="HP23" i="23"/>
  <c r="HQ23" i="23"/>
  <c r="HR23" i="23"/>
  <c r="HS23" i="23"/>
  <c r="HT23" i="23"/>
  <c r="HU23" i="23"/>
  <c r="HV23" i="23"/>
  <c r="HW23" i="23"/>
  <c r="HX23" i="23"/>
  <c r="HY23" i="23"/>
  <c r="HZ23" i="23"/>
  <c r="IA23" i="23"/>
  <c r="IB23" i="23"/>
  <c r="IC23" i="23"/>
  <c r="ID23" i="23"/>
  <c r="IE23" i="23"/>
  <c r="IF23" i="23"/>
  <c r="IG23" i="23"/>
  <c r="IH23" i="23"/>
  <c r="II23" i="23"/>
  <c r="IJ23" i="23"/>
  <c r="IK23" i="23"/>
  <c r="IL23" i="23"/>
  <c r="IM23" i="23"/>
  <c r="IN23" i="23"/>
  <c r="IO23" i="23"/>
  <c r="IP23" i="23"/>
  <c r="IQ23" i="23"/>
  <c r="IR23" i="23"/>
  <c r="IS23" i="23"/>
  <c r="IT23" i="23"/>
  <c r="IU23" i="23"/>
  <c r="IV23" i="23"/>
  <c r="A22" i="23"/>
  <c r="B22" i="23"/>
  <c r="C22" i="23"/>
  <c r="D22" i="23"/>
  <c r="E22" i="23"/>
  <c r="F22" i="23"/>
  <c r="G22" i="23"/>
  <c r="H22" i="23"/>
  <c r="I22" i="23"/>
  <c r="J22" i="23"/>
  <c r="K22" i="23"/>
  <c r="L22" i="23"/>
  <c r="M22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AE22" i="23"/>
  <c r="AF22" i="23"/>
  <c r="AG22" i="23"/>
  <c r="AH22" i="23"/>
  <c r="AI22" i="23"/>
  <c r="AJ22" i="23"/>
  <c r="AK22" i="23"/>
  <c r="AL22" i="23"/>
  <c r="AM22" i="23"/>
  <c r="AN22" i="23"/>
  <c r="AO22" i="23"/>
  <c r="AP22" i="23"/>
  <c r="AQ22" i="23"/>
  <c r="AR22" i="23"/>
  <c r="AS22" i="23"/>
  <c r="AT22" i="23"/>
  <c r="AU22" i="23"/>
  <c r="AV22" i="23"/>
  <c r="AW22" i="23"/>
  <c r="AX22" i="23"/>
  <c r="AY22" i="23"/>
  <c r="AZ22" i="23"/>
  <c r="BA22" i="23"/>
  <c r="BB22" i="23"/>
  <c r="BC22" i="23"/>
  <c r="BD22" i="23"/>
  <c r="BE22" i="23"/>
  <c r="BF22" i="23"/>
  <c r="BG22" i="23"/>
  <c r="BH22" i="23"/>
  <c r="BI22" i="23"/>
  <c r="BJ22" i="23"/>
  <c r="BK22" i="23"/>
  <c r="BL22" i="23"/>
  <c r="BM22" i="23"/>
  <c r="BN22" i="23"/>
  <c r="BO22" i="23"/>
  <c r="BP22" i="23"/>
  <c r="BQ22" i="23"/>
  <c r="BR22" i="23"/>
  <c r="BS22" i="23"/>
  <c r="BT22" i="23"/>
  <c r="BU22" i="23"/>
  <c r="BV22" i="23"/>
  <c r="BW22" i="23"/>
  <c r="BX22" i="23"/>
  <c r="BY22" i="23"/>
  <c r="BZ22" i="23"/>
  <c r="CA22" i="23"/>
  <c r="CB22" i="23"/>
  <c r="CC22" i="23"/>
  <c r="CD22" i="23"/>
  <c r="CE22" i="23"/>
  <c r="CF22" i="23"/>
  <c r="CG22" i="23"/>
  <c r="CH22" i="23"/>
  <c r="CI22" i="23"/>
  <c r="CJ22" i="23"/>
  <c r="CK22" i="23"/>
  <c r="CL22" i="23"/>
  <c r="CM22" i="23"/>
  <c r="CN22" i="23"/>
  <c r="CO22" i="23"/>
  <c r="CP22" i="23"/>
  <c r="CQ22" i="23"/>
  <c r="CR22" i="23"/>
  <c r="CS22" i="23"/>
  <c r="CT22" i="23"/>
  <c r="CU22" i="23"/>
  <c r="CV22" i="23"/>
  <c r="CW22" i="23"/>
  <c r="CX22" i="23"/>
  <c r="CY22" i="23"/>
  <c r="CZ22" i="23"/>
  <c r="DA22" i="23"/>
  <c r="DB22" i="23"/>
  <c r="DC22" i="23"/>
  <c r="DD22" i="23"/>
  <c r="DE22" i="23"/>
  <c r="DF22" i="23"/>
  <c r="DG22" i="23"/>
  <c r="DH22" i="23"/>
  <c r="DI22" i="23"/>
  <c r="DJ22" i="23"/>
  <c r="DK22" i="23"/>
  <c r="DL22" i="23"/>
  <c r="DM22" i="23"/>
  <c r="DN22" i="23"/>
  <c r="DO22" i="23"/>
  <c r="DP22" i="23"/>
  <c r="DQ22" i="23"/>
  <c r="DR22" i="23"/>
  <c r="DS22" i="23"/>
  <c r="DT22" i="23"/>
  <c r="DU22" i="23"/>
  <c r="DV22" i="23"/>
  <c r="DW22" i="23"/>
  <c r="DX22" i="23"/>
  <c r="DY22" i="23"/>
  <c r="DZ22" i="23"/>
  <c r="EA22" i="23"/>
  <c r="EB22" i="23"/>
  <c r="EC22" i="23"/>
  <c r="ED22" i="23"/>
  <c r="EE22" i="23"/>
  <c r="EF22" i="23"/>
  <c r="EG22" i="23"/>
  <c r="EH22" i="23"/>
  <c r="EI22" i="23"/>
  <c r="EJ22" i="23"/>
  <c r="EK22" i="23"/>
  <c r="EL22" i="23"/>
  <c r="EM22" i="23"/>
  <c r="EN22" i="23"/>
  <c r="EO22" i="23"/>
  <c r="EP22" i="23"/>
  <c r="EQ22" i="23"/>
  <c r="ER22" i="23"/>
  <c r="ES22" i="23"/>
  <c r="ET22" i="23"/>
  <c r="EU22" i="23"/>
  <c r="EV22" i="23"/>
  <c r="EW22" i="23"/>
  <c r="EX22" i="23"/>
  <c r="EY22" i="23"/>
  <c r="EZ22" i="23"/>
  <c r="FA22" i="23"/>
  <c r="FB22" i="23"/>
  <c r="FC22" i="23"/>
  <c r="FD22" i="23"/>
  <c r="FE22" i="23"/>
  <c r="FF22" i="23"/>
  <c r="FG22" i="23"/>
  <c r="FH22" i="23"/>
  <c r="FI22" i="23"/>
  <c r="FJ22" i="23"/>
  <c r="FK22" i="23"/>
  <c r="FL22" i="23"/>
  <c r="FM22" i="23"/>
  <c r="FN22" i="23"/>
  <c r="FO22" i="23"/>
  <c r="FP22" i="23"/>
  <c r="FQ22" i="23"/>
  <c r="FR22" i="23"/>
  <c r="FS22" i="23"/>
  <c r="FT22" i="23"/>
  <c r="FU22" i="23"/>
  <c r="FV22" i="23"/>
  <c r="FW22" i="23"/>
  <c r="FX22" i="23"/>
  <c r="FY22" i="23"/>
  <c r="FZ22" i="23"/>
  <c r="GA22" i="23"/>
  <c r="GB22" i="23"/>
  <c r="GC22" i="23"/>
  <c r="GD22" i="23"/>
  <c r="GE22" i="23"/>
  <c r="GF22" i="23"/>
  <c r="GG22" i="23"/>
  <c r="GH22" i="23"/>
  <c r="GI22" i="23"/>
  <c r="GJ22" i="23"/>
  <c r="GK22" i="23"/>
  <c r="GL22" i="23"/>
  <c r="GM22" i="23"/>
  <c r="GN22" i="23"/>
  <c r="GO22" i="23"/>
  <c r="GP22" i="23"/>
  <c r="GQ22" i="23"/>
  <c r="GR22" i="23"/>
  <c r="GS22" i="23"/>
  <c r="GT22" i="23"/>
  <c r="GU22" i="23"/>
  <c r="GV22" i="23"/>
  <c r="GW22" i="23"/>
  <c r="GX22" i="23"/>
  <c r="GY22" i="23"/>
  <c r="GZ22" i="23"/>
  <c r="HA22" i="23"/>
  <c r="HB22" i="23"/>
  <c r="HC22" i="23"/>
  <c r="HD22" i="23"/>
  <c r="HE22" i="23"/>
  <c r="HF22" i="23"/>
  <c r="HG22" i="23"/>
  <c r="HH22" i="23"/>
  <c r="HI22" i="23"/>
  <c r="HJ22" i="23"/>
  <c r="HK22" i="23"/>
  <c r="HL22" i="23"/>
  <c r="HM22" i="23"/>
  <c r="HN22" i="23"/>
  <c r="HO22" i="23"/>
  <c r="HP22" i="23"/>
  <c r="HQ22" i="23"/>
  <c r="HR22" i="23"/>
  <c r="HS22" i="23"/>
  <c r="HT22" i="23"/>
  <c r="HU22" i="23"/>
  <c r="HV22" i="23"/>
  <c r="HW22" i="23"/>
  <c r="HX22" i="23"/>
  <c r="HY22" i="23"/>
  <c r="HZ22" i="23"/>
  <c r="IA22" i="23"/>
  <c r="IB22" i="23"/>
  <c r="IC22" i="23"/>
  <c r="ID22" i="23"/>
  <c r="IE22" i="23"/>
  <c r="IF22" i="23"/>
  <c r="IG22" i="23"/>
  <c r="IH22" i="23"/>
  <c r="II22" i="23"/>
  <c r="IJ22" i="23"/>
  <c r="IK22" i="23"/>
  <c r="IL22" i="23"/>
  <c r="IM22" i="23"/>
  <c r="IN22" i="23"/>
  <c r="IO22" i="23"/>
  <c r="IP22" i="23"/>
  <c r="IQ22" i="23"/>
  <c r="IR22" i="23"/>
  <c r="IS22" i="23"/>
  <c r="IT22" i="23"/>
  <c r="IU22" i="23"/>
  <c r="IV22" i="23"/>
  <c r="A21" i="23"/>
  <c r="B21" i="23"/>
  <c r="C21" i="23"/>
  <c r="D21" i="23"/>
  <c r="E21" i="23"/>
  <c r="F21" i="23"/>
  <c r="G21" i="23"/>
  <c r="H21" i="23"/>
  <c r="I21" i="23"/>
  <c r="J21" i="23"/>
  <c r="K21" i="23"/>
  <c r="L21" i="23"/>
  <c r="M21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AE21" i="23"/>
  <c r="AF21" i="23"/>
  <c r="AG21" i="23"/>
  <c r="AH21" i="23"/>
  <c r="AI21" i="23"/>
  <c r="AJ21" i="23"/>
  <c r="AK21" i="23"/>
  <c r="AL21" i="23"/>
  <c r="AM21" i="23"/>
  <c r="AN21" i="23"/>
  <c r="AO21" i="23"/>
  <c r="AP21" i="23"/>
  <c r="AQ21" i="23"/>
  <c r="AR21" i="23"/>
  <c r="AS21" i="23"/>
  <c r="AT21" i="23"/>
  <c r="AU21" i="23"/>
  <c r="AV21" i="23"/>
  <c r="AW21" i="23"/>
  <c r="AX21" i="23"/>
  <c r="AY21" i="23"/>
  <c r="AZ21" i="23"/>
  <c r="BA21" i="23"/>
  <c r="BB21" i="23"/>
  <c r="BC21" i="23"/>
  <c r="BD21" i="23"/>
  <c r="BE21" i="23"/>
  <c r="BF21" i="23"/>
  <c r="BG21" i="23"/>
  <c r="BH21" i="23"/>
  <c r="BI21" i="23"/>
  <c r="BJ21" i="23"/>
  <c r="BK21" i="23"/>
  <c r="BL21" i="23"/>
  <c r="BM21" i="23"/>
  <c r="BN21" i="23"/>
  <c r="BO21" i="23"/>
  <c r="BP21" i="23"/>
  <c r="BQ21" i="23"/>
  <c r="BR21" i="23"/>
  <c r="BS21" i="23"/>
  <c r="BT21" i="23"/>
  <c r="BU21" i="23"/>
  <c r="BV21" i="23"/>
  <c r="BW21" i="23"/>
  <c r="BX21" i="23"/>
  <c r="BY21" i="23"/>
  <c r="BZ21" i="23"/>
  <c r="CA21" i="23"/>
  <c r="CB21" i="23"/>
  <c r="CC21" i="23"/>
  <c r="CD21" i="23"/>
  <c r="CE21" i="23"/>
  <c r="CF21" i="23"/>
  <c r="CG21" i="23"/>
  <c r="CH21" i="23"/>
  <c r="CI21" i="23"/>
  <c r="CJ21" i="23"/>
  <c r="CK21" i="23"/>
  <c r="CL21" i="23"/>
  <c r="CM21" i="23"/>
  <c r="CN21" i="23"/>
  <c r="CO21" i="23"/>
  <c r="CP21" i="23"/>
  <c r="CQ21" i="23"/>
  <c r="CR21" i="23"/>
  <c r="CS21" i="23"/>
  <c r="CT21" i="23"/>
  <c r="CU21" i="23"/>
  <c r="CV21" i="23"/>
  <c r="CW21" i="23"/>
  <c r="CX21" i="23"/>
  <c r="CY21" i="23"/>
  <c r="CZ21" i="23"/>
  <c r="DA21" i="23"/>
  <c r="DB21" i="23"/>
  <c r="DC21" i="23"/>
  <c r="DD21" i="23"/>
  <c r="DE21" i="23"/>
  <c r="DF21" i="23"/>
  <c r="DG21" i="23"/>
  <c r="DH21" i="23"/>
  <c r="DI21" i="23"/>
  <c r="DJ21" i="23"/>
  <c r="DK21" i="23"/>
  <c r="DL21" i="23"/>
  <c r="DM21" i="23"/>
  <c r="DN21" i="23"/>
  <c r="DO21" i="23"/>
  <c r="DP21" i="23"/>
  <c r="DQ21" i="23"/>
  <c r="DR21" i="23"/>
  <c r="DS21" i="23"/>
  <c r="DT21" i="23"/>
  <c r="DU21" i="23"/>
  <c r="DV21" i="23"/>
  <c r="DW21" i="23"/>
  <c r="DX21" i="23"/>
  <c r="DY21" i="23"/>
  <c r="DZ21" i="23"/>
  <c r="EA21" i="23"/>
  <c r="EB21" i="23"/>
  <c r="EC21" i="23"/>
  <c r="ED21" i="23"/>
  <c r="EE21" i="23"/>
  <c r="EF21" i="23"/>
  <c r="EG21" i="23"/>
  <c r="EH21" i="23"/>
  <c r="EI21" i="23"/>
  <c r="EJ21" i="23"/>
  <c r="EK21" i="23"/>
  <c r="EL21" i="23"/>
  <c r="EM21" i="23"/>
  <c r="EN21" i="23"/>
  <c r="EO21" i="23"/>
  <c r="EP21" i="23"/>
  <c r="EQ21" i="23"/>
  <c r="ER21" i="23"/>
  <c r="ES21" i="23"/>
  <c r="ET21" i="23"/>
  <c r="EU21" i="23"/>
  <c r="EV21" i="23"/>
  <c r="EW21" i="23"/>
  <c r="EX21" i="23"/>
  <c r="EY21" i="23"/>
  <c r="EZ21" i="23"/>
  <c r="FA21" i="23"/>
  <c r="FB21" i="23"/>
  <c r="FC21" i="23"/>
  <c r="FD21" i="23"/>
  <c r="FE21" i="23"/>
  <c r="FF21" i="23"/>
  <c r="FG21" i="23"/>
  <c r="FH21" i="23"/>
  <c r="FI21" i="23"/>
  <c r="FJ21" i="23"/>
  <c r="FK21" i="23"/>
  <c r="FL21" i="23"/>
  <c r="FM21" i="23"/>
  <c r="FN21" i="23"/>
  <c r="FO21" i="23"/>
  <c r="FP21" i="23"/>
  <c r="FQ21" i="23"/>
  <c r="FR21" i="23"/>
  <c r="FS21" i="23"/>
  <c r="FT21" i="23"/>
  <c r="FU21" i="23"/>
  <c r="FV21" i="23"/>
  <c r="FW21" i="23"/>
  <c r="FX21" i="23"/>
  <c r="FY21" i="23"/>
  <c r="FZ21" i="23"/>
  <c r="GA21" i="23"/>
  <c r="GB21" i="23"/>
  <c r="GC21" i="23"/>
  <c r="GD21" i="23"/>
  <c r="GE21" i="23"/>
  <c r="GF21" i="23"/>
  <c r="GG21" i="23"/>
  <c r="GH21" i="23"/>
  <c r="GI21" i="23"/>
  <c r="GJ21" i="23"/>
  <c r="GK21" i="23"/>
  <c r="GL21" i="23"/>
  <c r="GM21" i="23"/>
  <c r="GN21" i="23"/>
  <c r="GO21" i="23"/>
  <c r="GP21" i="23"/>
  <c r="GQ21" i="23"/>
  <c r="GR21" i="23"/>
  <c r="GS21" i="23"/>
  <c r="GT21" i="23"/>
  <c r="GU21" i="23"/>
  <c r="GV21" i="23"/>
  <c r="GW21" i="23"/>
  <c r="GX21" i="23"/>
  <c r="GY21" i="23"/>
  <c r="GZ21" i="23"/>
  <c r="HA21" i="23"/>
  <c r="HB21" i="23"/>
  <c r="HC21" i="23"/>
  <c r="HD21" i="23"/>
  <c r="HE21" i="23"/>
  <c r="HF21" i="23"/>
  <c r="HG21" i="23"/>
  <c r="HH21" i="23"/>
  <c r="HI21" i="23"/>
  <c r="HJ21" i="23"/>
  <c r="HK21" i="23"/>
  <c r="HL21" i="23"/>
  <c r="HM21" i="23"/>
  <c r="HN21" i="23"/>
  <c r="HO21" i="23"/>
  <c r="HP21" i="23"/>
  <c r="HQ21" i="23"/>
  <c r="HR21" i="23"/>
  <c r="HS21" i="23"/>
  <c r="HT21" i="23"/>
  <c r="HU21" i="23"/>
  <c r="HV21" i="23"/>
  <c r="HW21" i="23"/>
  <c r="HX21" i="23"/>
  <c r="HY21" i="23"/>
  <c r="HZ21" i="23"/>
  <c r="IA21" i="23"/>
  <c r="IB21" i="23"/>
  <c r="IC21" i="23"/>
  <c r="ID21" i="23"/>
  <c r="IE21" i="23"/>
  <c r="IF21" i="23"/>
  <c r="IG21" i="23"/>
  <c r="IH21" i="23"/>
  <c r="II21" i="23"/>
  <c r="IJ21" i="23"/>
  <c r="IK21" i="23"/>
  <c r="IL21" i="23"/>
  <c r="IM21" i="23"/>
  <c r="IN21" i="23"/>
  <c r="IO21" i="23"/>
  <c r="IP21" i="23"/>
  <c r="IQ21" i="23"/>
  <c r="IR21" i="23"/>
  <c r="IS21" i="23"/>
  <c r="IT21" i="23"/>
  <c r="IU21" i="23"/>
  <c r="IV21" i="23"/>
  <c r="A20" i="23"/>
  <c r="B20" i="23"/>
  <c r="C20" i="23"/>
  <c r="D20" i="23"/>
  <c r="E20" i="23"/>
  <c r="F20" i="23"/>
  <c r="G20" i="23"/>
  <c r="H20" i="23"/>
  <c r="I20" i="23"/>
  <c r="J20" i="23"/>
  <c r="K20" i="23"/>
  <c r="L20" i="23"/>
  <c r="M20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AE20" i="23"/>
  <c r="AF20" i="23"/>
  <c r="AG20" i="23"/>
  <c r="AH20" i="23"/>
  <c r="AI20" i="23"/>
  <c r="AJ20" i="23"/>
  <c r="AK20" i="23"/>
  <c r="AL20" i="23"/>
  <c r="AM20" i="23"/>
  <c r="AN20" i="23"/>
  <c r="AO20" i="23"/>
  <c r="AP20" i="23"/>
  <c r="AQ20" i="23"/>
  <c r="AR20" i="23"/>
  <c r="AS20" i="23"/>
  <c r="AT20" i="23"/>
  <c r="AU20" i="23"/>
  <c r="AV20" i="23"/>
  <c r="AW20" i="23"/>
  <c r="AX20" i="23"/>
  <c r="AY20" i="23"/>
  <c r="AZ20" i="23"/>
  <c r="BA20" i="23"/>
  <c r="BB20" i="23"/>
  <c r="BC20" i="23"/>
  <c r="BD20" i="23"/>
  <c r="BE20" i="23"/>
  <c r="BF20" i="23"/>
  <c r="BG20" i="23"/>
  <c r="BH20" i="23"/>
  <c r="BI20" i="23"/>
  <c r="BJ20" i="23"/>
  <c r="BK20" i="23"/>
  <c r="BL20" i="23"/>
  <c r="BM20" i="23"/>
  <c r="BN20" i="23"/>
  <c r="BO20" i="23"/>
  <c r="BP20" i="23"/>
  <c r="BQ20" i="23"/>
  <c r="BR20" i="23"/>
  <c r="BS20" i="23"/>
  <c r="BT20" i="23"/>
  <c r="BU20" i="23"/>
  <c r="BV20" i="23"/>
  <c r="BW20" i="23"/>
  <c r="BX20" i="23"/>
  <c r="BY20" i="23"/>
  <c r="BZ20" i="23"/>
  <c r="CA20" i="23"/>
  <c r="CB20" i="23"/>
  <c r="CC20" i="23"/>
  <c r="CD20" i="23"/>
  <c r="CE20" i="23"/>
  <c r="CF20" i="23"/>
  <c r="CG20" i="23"/>
  <c r="CH20" i="23"/>
  <c r="CI20" i="23"/>
  <c r="CJ20" i="23"/>
  <c r="CK20" i="23"/>
  <c r="CL20" i="23"/>
  <c r="CM20" i="23"/>
  <c r="CN20" i="23"/>
  <c r="CO20" i="23"/>
  <c r="CP20" i="23"/>
  <c r="CQ20" i="23"/>
  <c r="CR20" i="23"/>
  <c r="CS20" i="23"/>
  <c r="CT20" i="23"/>
  <c r="CU20" i="23"/>
  <c r="CV20" i="23"/>
  <c r="CW20" i="23"/>
  <c r="CX20" i="23"/>
  <c r="CY20" i="23"/>
  <c r="CZ20" i="23"/>
  <c r="DA20" i="23"/>
  <c r="DB20" i="23"/>
  <c r="DC20" i="23"/>
  <c r="DD20" i="23"/>
  <c r="DE20" i="23"/>
  <c r="DF20" i="23"/>
  <c r="DG20" i="23"/>
  <c r="DH20" i="23"/>
  <c r="DI20" i="23"/>
  <c r="DJ20" i="23"/>
  <c r="DK20" i="23"/>
  <c r="DL20" i="23"/>
  <c r="DM20" i="23"/>
  <c r="DN20" i="23"/>
  <c r="DO20" i="23"/>
  <c r="DP20" i="23"/>
  <c r="DQ20" i="23"/>
  <c r="DR20" i="23"/>
  <c r="DS20" i="23"/>
  <c r="DT20" i="23"/>
  <c r="DU20" i="23"/>
  <c r="DV20" i="23"/>
  <c r="DW20" i="23"/>
  <c r="DX20" i="23"/>
  <c r="DY20" i="23"/>
  <c r="DZ20" i="23"/>
  <c r="EA20" i="23"/>
  <c r="EB20" i="23"/>
  <c r="EC20" i="23"/>
  <c r="ED20" i="23"/>
  <c r="EE20" i="23"/>
  <c r="EF20" i="23"/>
  <c r="EG20" i="23"/>
  <c r="EH20" i="23"/>
  <c r="EI20" i="23"/>
  <c r="EJ20" i="23"/>
  <c r="EK20" i="23"/>
  <c r="EL20" i="23"/>
  <c r="EM20" i="23"/>
  <c r="EN20" i="23"/>
  <c r="EO20" i="23"/>
  <c r="EP20" i="23"/>
  <c r="EQ20" i="23"/>
  <c r="ER20" i="23"/>
  <c r="ES20" i="23"/>
  <c r="ET20" i="23"/>
  <c r="EU20" i="23"/>
  <c r="EV20" i="23"/>
  <c r="EW20" i="23"/>
  <c r="EX20" i="23"/>
  <c r="EY20" i="23"/>
  <c r="EZ20" i="23"/>
  <c r="FA20" i="23"/>
  <c r="FB20" i="23"/>
  <c r="FC20" i="23"/>
  <c r="FD20" i="23"/>
  <c r="FE20" i="23"/>
  <c r="FF20" i="23"/>
  <c r="FG20" i="23"/>
  <c r="FH20" i="23"/>
  <c r="FI20" i="23"/>
  <c r="FJ20" i="23"/>
  <c r="FK20" i="23"/>
  <c r="FL20" i="23"/>
  <c r="FM20" i="23"/>
  <c r="FN20" i="23"/>
  <c r="FO20" i="23"/>
  <c r="FP20" i="23"/>
  <c r="FQ20" i="23"/>
  <c r="FR20" i="23"/>
  <c r="FS20" i="23"/>
  <c r="FT20" i="23"/>
  <c r="FU20" i="23"/>
  <c r="FV20" i="23"/>
  <c r="FW20" i="23"/>
  <c r="FX20" i="23"/>
  <c r="FY20" i="23"/>
  <c r="FZ20" i="23"/>
  <c r="GA20" i="23"/>
  <c r="GB20" i="23"/>
  <c r="GC20" i="23"/>
  <c r="GD20" i="23"/>
  <c r="GE20" i="23"/>
  <c r="GF20" i="23"/>
  <c r="GG20" i="23"/>
  <c r="GH20" i="23"/>
  <c r="GI20" i="23"/>
  <c r="GJ20" i="23"/>
  <c r="GK20" i="23"/>
  <c r="GL20" i="23"/>
  <c r="GM20" i="23"/>
  <c r="GN20" i="23"/>
  <c r="GO20" i="23"/>
  <c r="GP20" i="23"/>
  <c r="GQ20" i="23"/>
  <c r="GR20" i="23"/>
  <c r="GS20" i="23"/>
  <c r="GT20" i="23"/>
  <c r="GU20" i="23"/>
  <c r="GV20" i="23"/>
  <c r="GW20" i="23"/>
  <c r="GX20" i="23"/>
  <c r="GY20" i="23"/>
  <c r="GZ20" i="23"/>
  <c r="HA20" i="23"/>
  <c r="HB20" i="23"/>
  <c r="HC20" i="23"/>
  <c r="HD20" i="23"/>
  <c r="HE20" i="23"/>
  <c r="HF20" i="23"/>
  <c r="HG20" i="23"/>
  <c r="HH20" i="23"/>
  <c r="HI20" i="23"/>
  <c r="HJ20" i="23"/>
  <c r="HK20" i="23"/>
  <c r="HL20" i="23"/>
  <c r="HM20" i="23"/>
  <c r="HN20" i="23"/>
  <c r="HO20" i="23"/>
  <c r="HP20" i="23"/>
  <c r="HQ20" i="23"/>
  <c r="HR20" i="23"/>
  <c r="HS20" i="23"/>
  <c r="HT20" i="23"/>
  <c r="HU20" i="23"/>
  <c r="HV20" i="23"/>
  <c r="HW20" i="23"/>
  <c r="HX20" i="23"/>
  <c r="HY20" i="23"/>
  <c r="HZ20" i="23"/>
  <c r="IA20" i="23"/>
  <c r="IB20" i="23"/>
  <c r="IC20" i="23"/>
  <c r="ID20" i="23"/>
  <c r="IE20" i="23"/>
  <c r="IF20" i="23"/>
  <c r="IG20" i="23"/>
  <c r="IH20" i="23"/>
  <c r="II20" i="23"/>
  <c r="IJ20" i="23"/>
  <c r="IK20" i="23"/>
  <c r="IL20" i="23"/>
  <c r="IM20" i="23"/>
  <c r="IN20" i="23"/>
  <c r="IO20" i="23"/>
  <c r="IP20" i="23"/>
  <c r="IQ20" i="23"/>
  <c r="IR20" i="23"/>
  <c r="IS20" i="23"/>
  <c r="IT20" i="23"/>
  <c r="IU20" i="23"/>
  <c r="IV20" i="23"/>
  <c r="A19" i="23"/>
  <c r="B19" i="23"/>
  <c r="C19" i="23"/>
  <c r="D19" i="23"/>
  <c r="E19" i="23"/>
  <c r="F19" i="23"/>
  <c r="G19" i="23"/>
  <c r="H19" i="23"/>
  <c r="I19" i="23"/>
  <c r="J19" i="23"/>
  <c r="K19" i="23"/>
  <c r="L19" i="23"/>
  <c r="M19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AE19" i="23"/>
  <c r="AF19" i="23"/>
  <c r="AG19" i="23"/>
  <c r="AH19" i="23"/>
  <c r="AI19" i="23"/>
  <c r="AJ19" i="23"/>
  <c r="AK19" i="23"/>
  <c r="AL19" i="23"/>
  <c r="AM19" i="23"/>
  <c r="AN19" i="23"/>
  <c r="AO19" i="23"/>
  <c r="AP19" i="23"/>
  <c r="AQ19" i="23"/>
  <c r="AR19" i="23"/>
  <c r="AS19" i="23"/>
  <c r="AT19" i="23"/>
  <c r="AU19" i="23"/>
  <c r="AV19" i="23"/>
  <c r="AW19" i="23"/>
  <c r="AX19" i="23"/>
  <c r="AY19" i="23"/>
  <c r="AZ19" i="23"/>
  <c r="BA19" i="23"/>
  <c r="BB19" i="23"/>
  <c r="BC19" i="23"/>
  <c r="BD19" i="23"/>
  <c r="BE19" i="23"/>
  <c r="BF19" i="23"/>
  <c r="BG19" i="23"/>
  <c r="BH19" i="23"/>
  <c r="BI19" i="23"/>
  <c r="BJ19" i="23"/>
  <c r="BK19" i="23"/>
  <c r="BL19" i="23"/>
  <c r="BM19" i="23"/>
  <c r="BN19" i="23"/>
  <c r="BO19" i="23"/>
  <c r="BP19" i="23"/>
  <c r="BQ19" i="23"/>
  <c r="BR19" i="23"/>
  <c r="BS19" i="23"/>
  <c r="BT19" i="23"/>
  <c r="BU19" i="23"/>
  <c r="BV19" i="23"/>
  <c r="BW19" i="23"/>
  <c r="BX19" i="23"/>
  <c r="BY19" i="23"/>
  <c r="BZ19" i="23"/>
  <c r="CA19" i="23"/>
  <c r="CB19" i="23"/>
  <c r="CC19" i="23"/>
  <c r="CD19" i="23"/>
  <c r="CE19" i="23"/>
  <c r="CF19" i="23"/>
  <c r="CG19" i="23"/>
  <c r="CH19" i="23"/>
  <c r="CI19" i="23"/>
  <c r="CJ19" i="23"/>
  <c r="CK19" i="23"/>
  <c r="CL19" i="23"/>
  <c r="CM19" i="23"/>
  <c r="CN19" i="23"/>
  <c r="CO19" i="23"/>
  <c r="CP19" i="23"/>
  <c r="CQ19" i="23"/>
  <c r="CR19" i="23"/>
  <c r="CS19" i="23"/>
  <c r="CT19" i="23"/>
  <c r="CU19" i="23"/>
  <c r="CV19" i="23"/>
  <c r="CW19" i="23"/>
  <c r="CX19" i="23"/>
  <c r="CY19" i="23"/>
  <c r="CZ19" i="23"/>
  <c r="DA19" i="23"/>
  <c r="DB19" i="23"/>
  <c r="DC19" i="23"/>
  <c r="DD19" i="23"/>
  <c r="DE19" i="23"/>
  <c r="DF19" i="23"/>
  <c r="DG19" i="23"/>
  <c r="DH19" i="23"/>
  <c r="DI19" i="23"/>
  <c r="DJ19" i="23"/>
  <c r="DK19" i="23"/>
  <c r="DL19" i="23"/>
  <c r="DM19" i="23"/>
  <c r="DN19" i="23"/>
  <c r="DO19" i="23"/>
  <c r="DP19" i="23"/>
  <c r="DQ19" i="23"/>
  <c r="DR19" i="23"/>
  <c r="DS19" i="23"/>
  <c r="DT19" i="23"/>
  <c r="DU19" i="23"/>
  <c r="DV19" i="23"/>
  <c r="DW19" i="23"/>
  <c r="DX19" i="23"/>
  <c r="DY19" i="23"/>
  <c r="DZ19" i="23"/>
  <c r="EA19" i="23"/>
  <c r="EB19" i="23"/>
  <c r="EC19" i="23"/>
  <c r="ED19" i="23"/>
  <c r="EE19" i="23"/>
  <c r="EF19" i="23"/>
  <c r="EG19" i="23"/>
  <c r="EH19" i="23"/>
  <c r="EI19" i="23"/>
  <c r="EJ19" i="23"/>
  <c r="EK19" i="23"/>
  <c r="EL19" i="23"/>
  <c r="EM19" i="23"/>
  <c r="EN19" i="23"/>
  <c r="EO19" i="23"/>
  <c r="EP19" i="23"/>
  <c r="EQ19" i="23"/>
  <c r="ER19" i="23"/>
  <c r="ES19" i="23"/>
  <c r="ET19" i="23"/>
  <c r="EU19" i="23"/>
  <c r="EV19" i="23"/>
  <c r="EW19" i="23"/>
  <c r="EX19" i="23"/>
  <c r="EY19" i="23"/>
  <c r="EZ19" i="23"/>
  <c r="FA19" i="23"/>
  <c r="FB19" i="23"/>
  <c r="FC19" i="23"/>
  <c r="FD19" i="23"/>
  <c r="FE19" i="23"/>
  <c r="FF19" i="23"/>
  <c r="FG19" i="23"/>
  <c r="FH19" i="23"/>
  <c r="FI19" i="23"/>
  <c r="FJ19" i="23"/>
  <c r="FK19" i="23"/>
  <c r="FL19" i="23"/>
  <c r="FM19" i="23"/>
  <c r="FN19" i="23"/>
  <c r="FO19" i="23"/>
  <c r="FP19" i="23"/>
  <c r="FQ19" i="23"/>
  <c r="FR19" i="23"/>
  <c r="FS19" i="23"/>
  <c r="FT19" i="23"/>
  <c r="FU19" i="23"/>
  <c r="FV19" i="23"/>
  <c r="FW19" i="23"/>
  <c r="FX19" i="23"/>
  <c r="FY19" i="23"/>
  <c r="FZ19" i="23"/>
  <c r="GA19" i="23"/>
  <c r="GB19" i="23"/>
  <c r="GC19" i="23"/>
  <c r="GD19" i="23"/>
  <c r="GE19" i="23"/>
  <c r="GF19" i="23"/>
  <c r="GG19" i="23"/>
  <c r="GH19" i="23"/>
  <c r="GI19" i="23"/>
  <c r="GJ19" i="23"/>
  <c r="GK19" i="23"/>
  <c r="GL19" i="23"/>
  <c r="GM19" i="23"/>
  <c r="GN19" i="23"/>
  <c r="GO19" i="23"/>
  <c r="GP19" i="23"/>
  <c r="GQ19" i="23"/>
  <c r="GR19" i="23"/>
  <c r="GS19" i="23"/>
  <c r="GT19" i="23"/>
  <c r="GU19" i="23"/>
  <c r="GV19" i="23"/>
  <c r="GW19" i="23"/>
  <c r="GX19" i="23"/>
  <c r="GY19" i="23"/>
  <c r="GZ19" i="23"/>
  <c r="HA19" i="23"/>
  <c r="HB19" i="23"/>
  <c r="HC19" i="23"/>
  <c r="HD19" i="23"/>
  <c r="HE19" i="23"/>
  <c r="HF19" i="23"/>
  <c r="HG19" i="23"/>
  <c r="HH19" i="23"/>
  <c r="HI19" i="23"/>
  <c r="HJ19" i="23"/>
  <c r="HK19" i="23"/>
  <c r="HL19" i="23"/>
  <c r="HM19" i="23"/>
  <c r="HN19" i="23"/>
  <c r="HO19" i="23"/>
  <c r="HP19" i="23"/>
  <c r="HQ19" i="23"/>
  <c r="HR19" i="23"/>
  <c r="HS19" i="23"/>
  <c r="HT19" i="23"/>
  <c r="HU19" i="23"/>
  <c r="HV19" i="23"/>
  <c r="HW19" i="23"/>
  <c r="HX19" i="23"/>
  <c r="HY19" i="23"/>
  <c r="HZ19" i="23"/>
  <c r="IA19" i="23"/>
  <c r="IB19" i="23"/>
  <c r="IC19" i="23"/>
  <c r="ID19" i="23"/>
  <c r="IE19" i="23"/>
  <c r="IF19" i="23"/>
  <c r="IG19" i="23"/>
  <c r="IH19" i="23"/>
  <c r="II19" i="23"/>
  <c r="IJ19" i="23"/>
  <c r="IK19" i="23"/>
  <c r="IL19" i="23"/>
  <c r="IM19" i="23"/>
  <c r="IN19" i="23"/>
  <c r="IO19" i="23"/>
  <c r="IP19" i="23"/>
  <c r="IQ19" i="23"/>
  <c r="IR19" i="23"/>
  <c r="IS19" i="23"/>
  <c r="IT19" i="23"/>
  <c r="IU19" i="23"/>
  <c r="IV19" i="23"/>
  <c r="A18" i="23"/>
  <c r="B18" i="23"/>
  <c r="C18" i="23"/>
  <c r="D18" i="23"/>
  <c r="E18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Z18" i="23"/>
  <c r="AA18" i="23"/>
  <c r="AB18" i="23"/>
  <c r="AC18" i="23"/>
  <c r="AD18" i="23"/>
  <c r="AE18" i="23"/>
  <c r="AF18" i="23"/>
  <c r="AG18" i="23"/>
  <c r="AH18" i="23"/>
  <c r="AI18" i="23"/>
  <c r="AJ18" i="23"/>
  <c r="AK18" i="23"/>
  <c r="AL18" i="23"/>
  <c r="AM18" i="23"/>
  <c r="AN18" i="23"/>
  <c r="AO18" i="23"/>
  <c r="AP18" i="23"/>
  <c r="AQ18" i="23"/>
  <c r="AR18" i="23"/>
  <c r="AS18" i="23"/>
  <c r="AT18" i="23"/>
  <c r="AU18" i="23"/>
  <c r="AV18" i="23"/>
  <c r="AW18" i="23"/>
  <c r="AX18" i="23"/>
  <c r="AY18" i="23"/>
  <c r="AZ18" i="23"/>
  <c r="BA18" i="23"/>
  <c r="BB18" i="23"/>
  <c r="BC18" i="23"/>
  <c r="BD18" i="23"/>
  <c r="BE18" i="23"/>
  <c r="BF18" i="23"/>
  <c r="BG18" i="23"/>
  <c r="BH18" i="23"/>
  <c r="BI18" i="23"/>
  <c r="BJ18" i="23"/>
  <c r="BK18" i="23"/>
  <c r="BL18" i="23"/>
  <c r="BM18" i="23"/>
  <c r="BN18" i="23"/>
  <c r="BO18" i="23"/>
  <c r="BP18" i="23"/>
  <c r="BQ18" i="23"/>
  <c r="BR18" i="23"/>
  <c r="BS18" i="23"/>
  <c r="BT18" i="23"/>
  <c r="BU18" i="23"/>
  <c r="BV18" i="23"/>
  <c r="BW18" i="23"/>
  <c r="BX18" i="23"/>
  <c r="BY18" i="23"/>
  <c r="BZ18" i="23"/>
  <c r="CA18" i="23"/>
  <c r="CB18" i="23"/>
  <c r="CC18" i="23"/>
  <c r="CD18" i="23"/>
  <c r="CE18" i="23"/>
  <c r="CF18" i="23"/>
  <c r="CG18" i="23"/>
  <c r="CH18" i="23"/>
  <c r="CI18" i="23"/>
  <c r="CJ18" i="23"/>
  <c r="CK18" i="23"/>
  <c r="CL18" i="23"/>
  <c r="CM18" i="23"/>
  <c r="CN18" i="23"/>
  <c r="CO18" i="23"/>
  <c r="CP18" i="23"/>
  <c r="CQ18" i="23"/>
  <c r="CR18" i="23"/>
  <c r="CS18" i="23"/>
  <c r="CT18" i="23"/>
  <c r="CU18" i="23"/>
  <c r="CV18" i="23"/>
  <c r="CW18" i="23"/>
  <c r="CX18" i="23"/>
  <c r="CY18" i="23"/>
  <c r="CZ18" i="23"/>
  <c r="DA18" i="23"/>
  <c r="DB18" i="23"/>
  <c r="DC18" i="23"/>
  <c r="DD18" i="23"/>
  <c r="DE18" i="23"/>
  <c r="DF18" i="23"/>
  <c r="DG18" i="23"/>
  <c r="DH18" i="23"/>
  <c r="DI18" i="23"/>
  <c r="DJ18" i="23"/>
  <c r="DK18" i="23"/>
  <c r="DL18" i="23"/>
  <c r="DM18" i="23"/>
  <c r="DN18" i="23"/>
  <c r="DO18" i="23"/>
  <c r="DP18" i="23"/>
  <c r="DQ18" i="23"/>
  <c r="DR18" i="23"/>
  <c r="DS18" i="23"/>
  <c r="DT18" i="23"/>
  <c r="DU18" i="23"/>
  <c r="DV18" i="23"/>
  <c r="DW18" i="23"/>
  <c r="DX18" i="23"/>
  <c r="DY18" i="23"/>
  <c r="DZ18" i="23"/>
  <c r="EA18" i="23"/>
  <c r="EB18" i="23"/>
  <c r="EC18" i="23"/>
  <c r="ED18" i="23"/>
  <c r="EE18" i="23"/>
  <c r="EF18" i="23"/>
  <c r="EG18" i="23"/>
  <c r="EH18" i="23"/>
  <c r="EI18" i="23"/>
  <c r="EJ18" i="23"/>
  <c r="EK18" i="23"/>
  <c r="EL18" i="23"/>
  <c r="EM18" i="23"/>
  <c r="EN18" i="23"/>
  <c r="EO18" i="23"/>
  <c r="EP18" i="23"/>
  <c r="EQ18" i="23"/>
  <c r="ER18" i="23"/>
  <c r="ES18" i="23"/>
  <c r="ET18" i="23"/>
  <c r="EU18" i="23"/>
  <c r="EV18" i="23"/>
  <c r="EW18" i="23"/>
  <c r="EX18" i="23"/>
  <c r="EY18" i="23"/>
  <c r="EZ18" i="23"/>
  <c r="FA18" i="23"/>
  <c r="FB18" i="23"/>
  <c r="FC18" i="23"/>
  <c r="FD18" i="23"/>
  <c r="FE18" i="23"/>
  <c r="FF18" i="23"/>
  <c r="FG18" i="23"/>
  <c r="FH18" i="23"/>
  <c r="FI18" i="23"/>
  <c r="FJ18" i="23"/>
  <c r="FK18" i="23"/>
  <c r="FL18" i="23"/>
  <c r="FM18" i="23"/>
  <c r="FN18" i="23"/>
  <c r="FO18" i="23"/>
  <c r="FP18" i="23"/>
  <c r="FQ18" i="23"/>
  <c r="FR18" i="23"/>
  <c r="FS18" i="23"/>
  <c r="FT18" i="23"/>
  <c r="FU18" i="23"/>
  <c r="FV18" i="23"/>
  <c r="FW18" i="23"/>
  <c r="FX18" i="23"/>
  <c r="FY18" i="23"/>
  <c r="FZ18" i="23"/>
  <c r="GA18" i="23"/>
  <c r="GB18" i="23"/>
  <c r="GC18" i="23"/>
  <c r="GD18" i="23"/>
  <c r="GE18" i="23"/>
  <c r="GF18" i="23"/>
  <c r="GG18" i="23"/>
  <c r="GH18" i="23"/>
  <c r="GI18" i="23"/>
  <c r="GJ18" i="23"/>
  <c r="GK18" i="23"/>
  <c r="GL18" i="23"/>
  <c r="GM18" i="23"/>
  <c r="GN18" i="23"/>
  <c r="GO18" i="23"/>
  <c r="GP18" i="23"/>
  <c r="GQ18" i="23"/>
  <c r="GR18" i="23"/>
  <c r="GS18" i="23"/>
  <c r="GT18" i="23"/>
  <c r="GU18" i="23"/>
  <c r="GV18" i="23"/>
  <c r="GW18" i="23"/>
  <c r="GX18" i="23"/>
  <c r="GY18" i="23"/>
  <c r="GZ18" i="23"/>
  <c r="HA18" i="23"/>
  <c r="HB18" i="23"/>
  <c r="HC18" i="23"/>
  <c r="HD18" i="23"/>
  <c r="HE18" i="23"/>
  <c r="HF18" i="23"/>
  <c r="HG18" i="23"/>
  <c r="HH18" i="23"/>
  <c r="HI18" i="23"/>
  <c r="HJ18" i="23"/>
  <c r="HK18" i="23"/>
  <c r="HL18" i="23"/>
  <c r="HM18" i="23"/>
  <c r="HN18" i="23"/>
  <c r="HO18" i="23"/>
  <c r="HP18" i="23"/>
  <c r="HQ18" i="23"/>
  <c r="HR18" i="23"/>
  <c r="HS18" i="23"/>
  <c r="HT18" i="23"/>
  <c r="HU18" i="23"/>
  <c r="HV18" i="23"/>
  <c r="HW18" i="23"/>
  <c r="HX18" i="23"/>
  <c r="HY18" i="23"/>
  <c r="HZ18" i="23"/>
  <c r="IA18" i="23"/>
  <c r="IB18" i="23"/>
  <c r="IC18" i="23"/>
  <c r="ID18" i="23"/>
  <c r="IE18" i="23"/>
  <c r="IF18" i="23"/>
  <c r="IG18" i="23"/>
  <c r="IH18" i="23"/>
  <c r="II18" i="23"/>
  <c r="IJ18" i="23"/>
  <c r="IK18" i="23"/>
  <c r="IL18" i="23"/>
  <c r="IM18" i="23"/>
  <c r="IN18" i="23"/>
  <c r="IO18" i="23"/>
  <c r="IP18" i="23"/>
  <c r="IQ18" i="23"/>
  <c r="IR18" i="23"/>
  <c r="IS18" i="23"/>
  <c r="IT18" i="23"/>
  <c r="IU18" i="23"/>
  <c r="IV18" i="23"/>
  <c r="A17" i="23"/>
  <c r="B17" i="23"/>
  <c r="C17" i="23"/>
  <c r="D17" i="23"/>
  <c r="E17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U17" i="23"/>
  <c r="V17" i="23"/>
  <c r="W17" i="23"/>
  <c r="X17" i="23"/>
  <c r="Y17" i="23"/>
  <c r="Z17" i="23"/>
  <c r="AA17" i="23"/>
  <c r="AB17" i="23"/>
  <c r="AC17" i="23"/>
  <c r="AD17" i="23"/>
  <c r="AE17" i="23"/>
  <c r="AF17" i="23"/>
  <c r="AG17" i="23"/>
  <c r="AH17" i="23"/>
  <c r="AI17" i="23"/>
  <c r="AJ17" i="23"/>
  <c r="AK17" i="23"/>
  <c r="AL17" i="23"/>
  <c r="AM17" i="23"/>
  <c r="AN17" i="23"/>
  <c r="AO17" i="23"/>
  <c r="AP17" i="23"/>
  <c r="AQ17" i="23"/>
  <c r="AR17" i="23"/>
  <c r="AS17" i="23"/>
  <c r="AT17" i="23"/>
  <c r="AU17" i="23"/>
  <c r="AV17" i="23"/>
  <c r="AW17" i="23"/>
  <c r="AX17" i="23"/>
  <c r="AY17" i="23"/>
  <c r="AZ17" i="23"/>
  <c r="BA17" i="23"/>
  <c r="BB17" i="23"/>
  <c r="BC17" i="23"/>
  <c r="BD17" i="23"/>
  <c r="BE17" i="23"/>
  <c r="BF17" i="23"/>
  <c r="BG17" i="23"/>
  <c r="BH17" i="23"/>
  <c r="BI17" i="23"/>
  <c r="BJ17" i="23"/>
  <c r="BK17" i="23"/>
  <c r="BL17" i="23"/>
  <c r="BM17" i="23"/>
  <c r="BN17" i="23"/>
  <c r="BO17" i="23"/>
  <c r="BP17" i="23"/>
  <c r="BQ17" i="23"/>
  <c r="BR17" i="23"/>
  <c r="BS17" i="23"/>
  <c r="BT17" i="23"/>
  <c r="BU17" i="23"/>
  <c r="BV17" i="23"/>
  <c r="BW17" i="23"/>
  <c r="BX17" i="23"/>
  <c r="BY17" i="23"/>
  <c r="BZ17" i="23"/>
  <c r="CA17" i="23"/>
  <c r="CB17" i="23"/>
  <c r="CC17" i="23"/>
  <c r="CD17" i="23"/>
  <c r="CE17" i="23"/>
  <c r="CF17" i="23"/>
  <c r="CG17" i="23"/>
  <c r="CH17" i="23"/>
  <c r="CI17" i="23"/>
  <c r="CJ17" i="23"/>
  <c r="CK17" i="23"/>
  <c r="CL17" i="23"/>
  <c r="CM17" i="23"/>
  <c r="CN17" i="23"/>
  <c r="CO17" i="23"/>
  <c r="CP17" i="23"/>
  <c r="CQ17" i="23"/>
  <c r="CR17" i="23"/>
  <c r="CS17" i="23"/>
  <c r="CT17" i="23"/>
  <c r="CU17" i="23"/>
  <c r="CV17" i="23"/>
  <c r="CW17" i="23"/>
  <c r="CX17" i="23"/>
  <c r="CY17" i="23"/>
  <c r="CZ17" i="23"/>
  <c r="DA17" i="23"/>
  <c r="DB17" i="23"/>
  <c r="DC17" i="23"/>
  <c r="DD17" i="23"/>
  <c r="DE17" i="23"/>
  <c r="DF17" i="23"/>
  <c r="DG17" i="23"/>
  <c r="DH17" i="23"/>
  <c r="DI17" i="23"/>
  <c r="DJ17" i="23"/>
  <c r="DK17" i="23"/>
  <c r="DL17" i="23"/>
  <c r="DM17" i="23"/>
  <c r="DN17" i="23"/>
  <c r="DO17" i="23"/>
  <c r="DP17" i="23"/>
  <c r="DQ17" i="23"/>
  <c r="DR17" i="23"/>
  <c r="DS17" i="23"/>
  <c r="DT17" i="23"/>
  <c r="DU17" i="23"/>
  <c r="DV17" i="23"/>
  <c r="DW17" i="23"/>
  <c r="DX17" i="23"/>
  <c r="DY17" i="23"/>
  <c r="DZ17" i="23"/>
  <c r="EA17" i="23"/>
  <c r="EB17" i="23"/>
  <c r="EC17" i="23"/>
  <c r="ED17" i="23"/>
  <c r="EE17" i="23"/>
  <c r="EF17" i="23"/>
  <c r="EG17" i="23"/>
  <c r="EH17" i="23"/>
  <c r="EI17" i="23"/>
  <c r="EJ17" i="23"/>
  <c r="EK17" i="23"/>
  <c r="EL17" i="23"/>
  <c r="EM17" i="23"/>
  <c r="EN17" i="23"/>
  <c r="EO17" i="23"/>
  <c r="EP17" i="23"/>
  <c r="EQ17" i="23"/>
  <c r="ER17" i="23"/>
  <c r="ES17" i="23"/>
  <c r="ET17" i="23"/>
  <c r="EU17" i="23"/>
  <c r="EV17" i="23"/>
  <c r="EW17" i="23"/>
  <c r="EX17" i="23"/>
  <c r="EY17" i="23"/>
  <c r="EZ17" i="23"/>
  <c r="FA17" i="23"/>
  <c r="FB17" i="23"/>
  <c r="FC17" i="23"/>
  <c r="FD17" i="23"/>
  <c r="FE17" i="23"/>
  <c r="FF17" i="23"/>
  <c r="FG17" i="23"/>
  <c r="FH17" i="23"/>
  <c r="FI17" i="23"/>
  <c r="FJ17" i="23"/>
  <c r="FK17" i="23"/>
  <c r="FL17" i="23"/>
  <c r="FM17" i="23"/>
  <c r="FN17" i="23"/>
  <c r="FO17" i="23"/>
  <c r="FP17" i="23"/>
  <c r="FQ17" i="23"/>
  <c r="FR17" i="23"/>
  <c r="FS17" i="23"/>
  <c r="FT17" i="23"/>
  <c r="FU17" i="23"/>
  <c r="FV17" i="23"/>
  <c r="FW17" i="23"/>
  <c r="FX17" i="23"/>
  <c r="FY17" i="23"/>
  <c r="FZ17" i="23"/>
  <c r="GA17" i="23"/>
  <c r="GB17" i="23"/>
  <c r="GC17" i="23"/>
  <c r="GD17" i="23"/>
  <c r="GE17" i="23"/>
  <c r="GF17" i="23"/>
  <c r="GG17" i="23"/>
  <c r="GH17" i="23"/>
  <c r="GI17" i="23"/>
  <c r="GJ17" i="23"/>
  <c r="GK17" i="23"/>
  <c r="GL17" i="23"/>
  <c r="GM17" i="23"/>
  <c r="GN17" i="23"/>
  <c r="GO17" i="23"/>
  <c r="GP17" i="23"/>
  <c r="GQ17" i="23"/>
  <c r="GR17" i="23"/>
  <c r="GS17" i="23"/>
  <c r="GT17" i="23"/>
  <c r="GU17" i="23"/>
  <c r="GV17" i="23"/>
  <c r="GW17" i="23"/>
  <c r="GX17" i="23"/>
  <c r="GY17" i="23"/>
  <c r="GZ17" i="23"/>
  <c r="HA17" i="23"/>
  <c r="HB17" i="23"/>
  <c r="HC17" i="23"/>
  <c r="HD17" i="23"/>
  <c r="HE17" i="23"/>
  <c r="HF17" i="23"/>
  <c r="HG17" i="23"/>
  <c r="HH17" i="23"/>
  <c r="HI17" i="23"/>
  <c r="HJ17" i="23"/>
  <c r="HK17" i="23"/>
  <c r="HL17" i="23"/>
  <c r="HM17" i="23"/>
  <c r="HN17" i="23"/>
  <c r="HO17" i="23"/>
  <c r="HP17" i="23"/>
  <c r="HQ17" i="23"/>
  <c r="HR17" i="23"/>
  <c r="HS17" i="23"/>
  <c r="HT17" i="23"/>
  <c r="HU17" i="23"/>
  <c r="HV17" i="23"/>
  <c r="HW17" i="23"/>
  <c r="HX17" i="23"/>
  <c r="HY17" i="23"/>
  <c r="HZ17" i="23"/>
  <c r="IA17" i="23"/>
  <c r="IB17" i="23"/>
  <c r="IC17" i="23"/>
  <c r="ID17" i="23"/>
  <c r="IE17" i="23"/>
  <c r="IF17" i="23"/>
  <c r="IG17" i="23"/>
  <c r="IH17" i="23"/>
  <c r="II17" i="23"/>
  <c r="IJ17" i="23"/>
  <c r="IK17" i="23"/>
  <c r="IL17" i="23"/>
  <c r="IM17" i="23"/>
  <c r="IN17" i="23"/>
  <c r="IO17" i="23"/>
  <c r="IP17" i="23"/>
  <c r="IQ17" i="23"/>
  <c r="IR17" i="23"/>
  <c r="IS17" i="23"/>
  <c r="IT17" i="23"/>
  <c r="IU17" i="23"/>
  <c r="IV17" i="23"/>
  <c r="A16" i="23"/>
  <c r="B16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AC16" i="23"/>
  <c r="AD16" i="23"/>
  <c r="AE16" i="23"/>
  <c r="AF16" i="23"/>
  <c r="AG16" i="23"/>
  <c r="AH16" i="23"/>
  <c r="AI16" i="23"/>
  <c r="AJ16" i="23"/>
  <c r="AK16" i="23"/>
  <c r="AL16" i="23"/>
  <c r="AM16" i="23"/>
  <c r="AN16" i="23"/>
  <c r="AO16" i="23"/>
  <c r="AP16" i="23"/>
  <c r="AQ16" i="23"/>
  <c r="AR16" i="23"/>
  <c r="AS16" i="23"/>
  <c r="AT16" i="23"/>
  <c r="AU16" i="23"/>
  <c r="AV16" i="23"/>
  <c r="AW16" i="23"/>
  <c r="AX16" i="23"/>
  <c r="AY16" i="23"/>
  <c r="AZ16" i="23"/>
  <c r="BA16" i="23"/>
  <c r="BB16" i="23"/>
  <c r="BC16" i="23"/>
  <c r="BD16" i="23"/>
  <c r="BE16" i="23"/>
  <c r="BF16" i="23"/>
  <c r="BG16" i="23"/>
  <c r="BH16" i="23"/>
  <c r="BI16" i="23"/>
  <c r="BJ16" i="23"/>
  <c r="BK16" i="23"/>
  <c r="BL16" i="23"/>
  <c r="BM16" i="23"/>
  <c r="BN16" i="23"/>
  <c r="BO16" i="23"/>
  <c r="BP16" i="23"/>
  <c r="BQ16" i="23"/>
  <c r="BR16" i="23"/>
  <c r="BS16" i="23"/>
  <c r="BT16" i="23"/>
  <c r="BU16" i="23"/>
  <c r="BV16" i="23"/>
  <c r="BW16" i="23"/>
  <c r="BX16" i="23"/>
  <c r="BY16" i="23"/>
  <c r="BZ16" i="23"/>
  <c r="CA16" i="23"/>
  <c r="CB16" i="23"/>
  <c r="CC16" i="23"/>
  <c r="CD16" i="23"/>
  <c r="CE16" i="23"/>
  <c r="CF16" i="23"/>
  <c r="CG16" i="23"/>
  <c r="CH16" i="23"/>
  <c r="CI16" i="23"/>
  <c r="CJ16" i="23"/>
  <c r="CK16" i="23"/>
  <c r="CL16" i="23"/>
  <c r="CM16" i="23"/>
  <c r="CN16" i="23"/>
  <c r="CO16" i="23"/>
  <c r="CP16" i="23"/>
  <c r="CQ16" i="23"/>
  <c r="CR16" i="23"/>
  <c r="CS16" i="23"/>
  <c r="CT16" i="23"/>
  <c r="CU16" i="23"/>
  <c r="CV16" i="23"/>
  <c r="CW16" i="23"/>
  <c r="CX16" i="23"/>
  <c r="CY16" i="23"/>
  <c r="CZ16" i="23"/>
  <c r="DA16" i="23"/>
  <c r="DB16" i="23"/>
  <c r="DC16" i="23"/>
  <c r="DD16" i="23"/>
  <c r="DE16" i="23"/>
  <c r="DF16" i="23"/>
  <c r="DG16" i="23"/>
  <c r="DH16" i="23"/>
  <c r="DI16" i="23"/>
  <c r="DJ16" i="23"/>
  <c r="DK16" i="23"/>
  <c r="DL16" i="23"/>
  <c r="DM16" i="23"/>
  <c r="DN16" i="23"/>
  <c r="DO16" i="23"/>
  <c r="DP16" i="23"/>
  <c r="DQ16" i="23"/>
  <c r="DR16" i="23"/>
  <c r="DS16" i="23"/>
  <c r="DT16" i="23"/>
  <c r="DU16" i="23"/>
  <c r="DV16" i="23"/>
  <c r="DW16" i="23"/>
  <c r="DX16" i="23"/>
  <c r="DY16" i="23"/>
  <c r="DZ16" i="23"/>
  <c r="EA16" i="23"/>
  <c r="EB16" i="23"/>
  <c r="EC16" i="23"/>
  <c r="ED16" i="23"/>
  <c r="EE16" i="23"/>
  <c r="EF16" i="23"/>
  <c r="EG16" i="23"/>
  <c r="EH16" i="23"/>
  <c r="EI16" i="23"/>
  <c r="EJ16" i="23"/>
  <c r="EK16" i="23"/>
  <c r="EL16" i="23"/>
  <c r="EM16" i="23"/>
  <c r="EN16" i="23"/>
  <c r="EO16" i="23"/>
  <c r="EP16" i="23"/>
  <c r="EQ16" i="23"/>
  <c r="ER16" i="23"/>
  <c r="ES16" i="23"/>
  <c r="ET16" i="23"/>
  <c r="EU16" i="23"/>
  <c r="EV16" i="23"/>
  <c r="EW16" i="23"/>
  <c r="EX16" i="23"/>
  <c r="EY16" i="23"/>
  <c r="EZ16" i="23"/>
  <c r="FA16" i="23"/>
  <c r="FB16" i="23"/>
  <c r="FC16" i="23"/>
  <c r="FD16" i="23"/>
  <c r="FE16" i="23"/>
  <c r="FF16" i="23"/>
  <c r="FG16" i="23"/>
  <c r="FH16" i="23"/>
  <c r="FI16" i="23"/>
  <c r="FJ16" i="23"/>
  <c r="FK16" i="23"/>
  <c r="FL16" i="23"/>
  <c r="FM16" i="23"/>
  <c r="FN16" i="23"/>
  <c r="FO16" i="23"/>
  <c r="FP16" i="23"/>
  <c r="FQ16" i="23"/>
  <c r="FR16" i="23"/>
  <c r="FS16" i="23"/>
  <c r="FT16" i="23"/>
  <c r="FU16" i="23"/>
  <c r="FV16" i="23"/>
  <c r="FW16" i="23"/>
  <c r="FX16" i="23"/>
  <c r="FY16" i="23"/>
  <c r="FZ16" i="23"/>
  <c r="GA16" i="23"/>
  <c r="GB16" i="23"/>
  <c r="GC16" i="23"/>
  <c r="GD16" i="23"/>
  <c r="GE16" i="23"/>
  <c r="GF16" i="23"/>
  <c r="GG16" i="23"/>
  <c r="GH16" i="23"/>
  <c r="GI16" i="23"/>
  <c r="GJ16" i="23"/>
  <c r="GK16" i="23"/>
  <c r="GL16" i="23"/>
  <c r="GM16" i="23"/>
  <c r="GN16" i="23"/>
  <c r="GO16" i="23"/>
  <c r="GP16" i="23"/>
  <c r="GQ16" i="23"/>
  <c r="GR16" i="23"/>
  <c r="GS16" i="23"/>
  <c r="GT16" i="23"/>
  <c r="GU16" i="23"/>
  <c r="GV16" i="23"/>
  <c r="GW16" i="23"/>
  <c r="GX16" i="23"/>
  <c r="GY16" i="23"/>
  <c r="GZ16" i="23"/>
  <c r="HA16" i="23"/>
  <c r="HB16" i="23"/>
  <c r="HC16" i="23"/>
  <c r="HD16" i="23"/>
  <c r="HE16" i="23"/>
  <c r="HF16" i="23"/>
  <c r="HG16" i="23"/>
  <c r="HH16" i="23"/>
  <c r="HI16" i="23"/>
  <c r="HJ16" i="23"/>
  <c r="HK16" i="23"/>
  <c r="HL16" i="23"/>
  <c r="HM16" i="23"/>
  <c r="HN16" i="23"/>
  <c r="HO16" i="23"/>
  <c r="HP16" i="23"/>
  <c r="HQ16" i="23"/>
  <c r="HR16" i="23"/>
  <c r="HS16" i="23"/>
  <c r="HT16" i="23"/>
  <c r="HU16" i="23"/>
  <c r="HV16" i="23"/>
  <c r="HW16" i="23"/>
  <c r="HX16" i="23"/>
  <c r="HY16" i="23"/>
  <c r="HZ16" i="23"/>
  <c r="IA16" i="23"/>
  <c r="IB16" i="23"/>
  <c r="IC16" i="23"/>
  <c r="ID16" i="23"/>
  <c r="IE16" i="23"/>
  <c r="IF16" i="23"/>
  <c r="IG16" i="23"/>
  <c r="IH16" i="23"/>
  <c r="II16" i="23"/>
  <c r="IJ16" i="23"/>
  <c r="IK16" i="23"/>
  <c r="IL16" i="23"/>
  <c r="IM16" i="23"/>
  <c r="IN16" i="23"/>
  <c r="IO16" i="23"/>
  <c r="IP16" i="23"/>
  <c r="IQ16" i="23"/>
  <c r="IR16" i="23"/>
  <c r="IS16" i="23"/>
  <c r="IT16" i="23"/>
  <c r="IU16" i="23"/>
  <c r="IV16" i="23"/>
  <c r="A15" i="23"/>
  <c r="B15" i="23"/>
  <c r="C15" i="23"/>
  <c r="D15" i="23"/>
  <c r="E15" i="23"/>
  <c r="F15" i="23"/>
  <c r="G15" i="23"/>
  <c r="H15" i="23"/>
  <c r="I15" i="23"/>
  <c r="J15" i="23"/>
  <c r="K15" i="23"/>
  <c r="L15" i="23"/>
  <c r="M15" i="23"/>
  <c r="N15" i="23"/>
  <c r="O15" i="23"/>
  <c r="P15" i="23"/>
  <c r="Q15" i="23"/>
  <c r="R15" i="23"/>
  <c r="S15" i="23"/>
  <c r="T15" i="23"/>
  <c r="U15" i="23"/>
  <c r="V15" i="23"/>
  <c r="W15" i="23"/>
  <c r="X15" i="23"/>
  <c r="Y15" i="23"/>
  <c r="Z15" i="23"/>
  <c r="AA15" i="23"/>
  <c r="AB15" i="23"/>
  <c r="AC15" i="23"/>
  <c r="AD15" i="23"/>
  <c r="AE15" i="23"/>
  <c r="AF15" i="23"/>
  <c r="AG15" i="23"/>
  <c r="AH15" i="23"/>
  <c r="AI15" i="23"/>
  <c r="AJ15" i="23"/>
  <c r="AK15" i="23"/>
  <c r="AL15" i="23"/>
  <c r="AM15" i="23"/>
  <c r="AN15" i="23"/>
  <c r="AO15" i="23"/>
  <c r="AP15" i="23"/>
  <c r="AQ15" i="23"/>
  <c r="AR15" i="23"/>
  <c r="AS15" i="23"/>
  <c r="AT15" i="23"/>
  <c r="AU15" i="23"/>
  <c r="AV15" i="23"/>
  <c r="AW15" i="23"/>
  <c r="AX15" i="23"/>
  <c r="AY15" i="23"/>
  <c r="AZ15" i="23"/>
  <c r="BA15" i="23"/>
  <c r="BB15" i="23"/>
  <c r="BC15" i="23"/>
  <c r="BD15" i="23"/>
  <c r="BE15" i="23"/>
  <c r="BF15" i="23"/>
  <c r="BG15" i="23"/>
  <c r="BH15" i="23"/>
  <c r="BI15" i="23"/>
  <c r="BJ15" i="23"/>
  <c r="BK15" i="23"/>
  <c r="BL15" i="23"/>
  <c r="BM15" i="23"/>
  <c r="BN15" i="23"/>
  <c r="BO15" i="23"/>
  <c r="BP15" i="23"/>
  <c r="BQ15" i="23"/>
  <c r="BR15" i="23"/>
  <c r="BS15" i="23"/>
  <c r="BT15" i="23"/>
  <c r="BU15" i="23"/>
  <c r="BV15" i="23"/>
  <c r="BW15" i="23"/>
  <c r="BX15" i="23"/>
  <c r="BY15" i="23"/>
  <c r="BZ15" i="23"/>
  <c r="CA15" i="23"/>
  <c r="CB15" i="23"/>
  <c r="CC15" i="23"/>
  <c r="CD15" i="23"/>
  <c r="CE15" i="23"/>
  <c r="CF15" i="23"/>
  <c r="CG15" i="23"/>
  <c r="CH15" i="23"/>
  <c r="CI15" i="23"/>
  <c r="CJ15" i="23"/>
  <c r="CK15" i="23"/>
  <c r="CL15" i="23"/>
  <c r="CM15" i="23"/>
  <c r="CN15" i="23"/>
  <c r="CO15" i="23"/>
  <c r="CP15" i="23"/>
  <c r="CQ15" i="23"/>
  <c r="CR15" i="23"/>
  <c r="CS15" i="23"/>
  <c r="CT15" i="23"/>
  <c r="CU15" i="23"/>
  <c r="CV15" i="23"/>
  <c r="CW15" i="23"/>
  <c r="CX15" i="23"/>
  <c r="CY15" i="23"/>
  <c r="CZ15" i="23"/>
  <c r="DA15" i="23"/>
  <c r="DB15" i="23"/>
  <c r="DC15" i="23"/>
  <c r="DD15" i="23"/>
  <c r="DE15" i="23"/>
  <c r="DF15" i="23"/>
  <c r="DG15" i="23"/>
  <c r="DH15" i="23"/>
  <c r="DI15" i="23"/>
  <c r="DJ15" i="23"/>
  <c r="DK15" i="23"/>
  <c r="DL15" i="23"/>
  <c r="DM15" i="23"/>
  <c r="DN15" i="23"/>
  <c r="DO15" i="23"/>
  <c r="DP15" i="23"/>
  <c r="DQ15" i="23"/>
  <c r="DR15" i="23"/>
  <c r="DS15" i="23"/>
  <c r="DT15" i="23"/>
  <c r="DU15" i="23"/>
  <c r="DV15" i="23"/>
  <c r="DW15" i="23"/>
  <c r="DX15" i="23"/>
  <c r="DY15" i="23"/>
  <c r="DZ15" i="23"/>
  <c r="EA15" i="23"/>
  <c r="EB15" i="23"/>
  <c r="EC15" i="23"/>
  <c r="ED15" i="23"/>
  <c r="EE15" i="23"/>
  <c r="EF15" i="23"/>
  <c r="EG15" i="23"/>
  <c r="EH15" i="23"/>
  <c r="EI15" i="23"/>
  <c r="EJ15" i="23"/>
  <c r="EK15" i="23"/>
  <c r="EL15" i="23"/>
  <c r="EM15" i="23"/>
  <c r="EN15" i="23"/>
  <c r="EO15" i="23"/>
  <c r="EP15" i="23"/>
  <c r="EQ15" i="23"/>
  <c r="ER15" i="23"/>
  <c r="ES15" i="23"/>
  <c r="ET15" i="23"/>
  <c r="EU15" i="23"/>
  <c r="EV15" i="23"/>
  <c r="EW15" i="23"/>
  <c r="EX15" i="23"/>
  <c r="EY15" i="23"/>
  <c r="EZ15" i="23"/>
  <c r="FA15" i="23"/>
  <c r="FB15" i="23"/>
  <c r="FC15" i="23"/>
  <c r="FD15" i="23"/>
  <c r="FE15" i="23"/>
  <c r="FF15" i="23"/>
  <c r="FG15" i="23"/>
  <c r="FH15" i="23"/>
  <c r="FI15" i="23"/>
  <c r="FJ15" i="23"/>
  <c r="FK15" i="23"/>
  <c r="FL15" i="23"/>
  <c r="FM15" i="23"/>
  <c r="FN15" i="23"/>
  <c r="FO15" i="23"/>
  <c r="FP15" i="23"/>
  <c r="FQ15" i="23"/>
  <c r="FR15" i="23"/>
  <c r="FS15" i="23"/>
  <c r="FT15" i="23"/>
  <c r="FU15" i="23"/>
  <c r="FV15" i="23"/>
  <c r="FW15" i="23"/>
  <c r="FX15" i="23"/>
  <c r="FY15" i="23"/>
  <c r="FZ15" i="23"/>
  <c r="GA15" i="23"/>
  <c r="GB15" i="23"/>
  <c r="GC15" i="23"/>
  <c r="GD15" i="23"/>
  <c r="GE15" i="23"/>
  <c r="GF15" i="23"/>
  <c r="GG15" i="23"/>
  <c r="GH15" i="23"/>
  <c r="GI15" i="23"/>
  <c r="GJ15" i="23"/>
  <c r="GK15" i="23"/>
  <c r="GL15" i="23"/>
  <c r="GM15" i="23"/>
  <c r="GN15" i="23"/>
  <c r="GO15" i="23"/>
  <c r="GP15" i="23"/>
  <c r="GQ15" i="23"/>
  <c r="GR15" i="23"/>
  <c r="GS15" i="23"/>
  <c r="GT15" i="23"/>
  <c r="GU15" i="23"/>
  <c r="GV15" i="23"/>
  <c r="GW15" i="23"/>
  <c r="GX15" i="23"/>
  <c r="GY15" i="23"/>
  <c r="GZ15" i="23"/>
  <c r="HA15" i="23"/>
  <c r="HB15" i="23"/>
  <c r="HC15" i="23"/>
  <c r="HD15" i="23"/>
  <c r="HE15" i="23"/>
  <c r="HF15" i="23"/>
  <c r="HG15" i="23"/>
  <c r="HH15" i="23"/>
  <c r="HI15" i="23"/>
  <c r="HJ15" i="23"/>
  <c r="HK15" i="23"/>
  <c r="HL15" i="23"/>
  <c r="HM15" i="23"/>
  <c r="HN15" i="23"/>
  <c r="HO15" i="23"/>
  <c r="HP15" i="23"/>
  <c r="HQ15" i="23"/>
  <c r="HR15" i="23"/>
  <c r="HS15" i="23"/>
  <c r="HT15" i="23"/>
  <c r="HU15" i="23"/>
  <c r="HV15" i="23"/>
  <c r="HW15" i="23"/>
  <c r="HX15" i="23"/>
  <c r="HY15" i="23"/>
  <c r="HZ15" i="23"/>
  <c r="IA15" i="23"/>
  <c r="IB15" i="23"/>
  <c r="IC15" i="23"/>
  <c r="ID15" i="23"/>
  <c r="IE15" i="23"/>
  <c r="IF15" i="23"/>
  <c r="IG15" i="23"/>
  <c r="IH15" i="23"/>
  <c r="II15" i="23"/>
  <c r="IJ15" i="23"/>
  <c r="IK15" i="23"/>
  <c r="IL15" i="23"/>
  <c r="IM15" i="23"/>
  <c r="IN15" i="23"/>
  <c r="IO15" i="23"/>
  <c r="IP15" i="23"/>
  <c r="IQ15" i="23"/>
  <c r="IR15" i="23"/>
  <c r="IS15" i="23"/>
  <c r="IT15" i="23"/>
  <c r="IU15" i="23"/>
  <c r="IV15" i="23"/>
  <c r="A14" i="23"/>
  <c r="B14" i="23"/>
  <c r="C14" i="23"/>
  <c r="D14" i="23"/>
  <c r="E14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R14" i="23"/>
  <c r="S14" i="23"/>
  <c r="T14" i="23"/>
  <c r="U14" i="23"/>
  <c r="V14" i="23"/>
  <c r="W14" i="23"/>
  <c r="X14" i="23"/>
  <c r="Y14" i="23"/>
  <c r="Z14" i="23"/>
  <c r="AA14" i="23"/>
  <c r="AB14" i="23"/>
  <c r="AC14" i="23"/>
  <c r="AD14" i="23"/>
  <c r="AE14" i="23"/>
  <c r="AF14" i="23"/>
  <c r="AG14" i="23"/>
  <c r="AH14" i="23"/>
  <c r="AI14" i="23"/>
  <c r="AJ14" i="23"/>
  <c r="AK14" i="23"/>
  <c r="AL14" i="23"/>
  <c r="AM14" i="23"/>
  <c r="AN14" i="23"/>
  <c r="AO14" i="23"/>
  <c r="AP14" i="23"/>
  <c r="AQ14" i="23"/>
  <c r="AR14" i="23"/>
  <c r="AS14" i="23"/>
  <c r="AT14" i="23"/>
  <c r="AU14" i="23"/>
  <c r="AV14" i="23"/>
  <c r="AW14" i="23"/>
  <c r="AX14" i="23"/>
  <c r="AY14" i="23"/>
  <c r="AZ14" i="23"/>
  <c r="BA14" i="23"/>
  <c r="BB14" i="23"/>
  <c r="BC14" i="23"/>
  <c r="BD14" i="23"/>
  <c r="BE14" i="23"/>
  <c r="BF14" i="23"/>
  <c r="BG14" i="23"/>
  <c r="BH14" i="23"/>
  <c r="BI14" i="23"/>
  <c r="BJ14" i="23"/>
  <c r="BK14" i="23"/>
  <c r="BL14" i="23"/>
  <c r="BM14" i="23"/>
  <c r="BN14" i="23"/>
  <c r="BO14" i="23"/>
  <c r="BP14" i="23"/>
  <c r="BQ14" i="23"/>
  <c r="BR14" i="23"/>
  <c r="BS14" i="23"/>
  <c r="BT14" i="23"/>
  <c r="BU14" i="23"/>
  <c r="BV14" i="23"/>
  <c r="BW14" i="23"/>
  <c r="BX14" i="23"/>
  <c r="BY14" i="23"/>
  <c r="BZ14" i="23"/>
  <c r="CA14" i="23"/>
  <c r="CB14" i="23"/>
  <c r="CC14" i="23"/>
  <c r="CD14" i="23"/>
  <c r="CE14" i="23"/>
  <c r="CF14" i="23"/>
  <c r="CG14" i="23"/>
  <c r="CH14" i="23"/>
  <c r="CI14" i="23"/>
  <c r="CJ14" i="23"/>
  <c r="CK14" i="23"/>
  <c r="CL14" i="23"/>
  <c r="CM14" i="23"/>
  <c r="CN14" i="23"/>
  <c r="CO14" i="23"/>
  <c r="CP14" i="23"/>
  <c r="CQ14" i="23"/>
  <c r="CR14" i="23"/>
  <c r="CS14" i="23"/>
  <c r="CT14" i="23"/>
  <c r="CU14" i="23"/>
  <c r="CV14" i="23"/>
  <c r="CW14" i="23"/>
  <c r="CX14" i="23"/>
  <c r="CY14" i="23"/>
  <c r="CZ14" i="23"/>
  <c r="DA14" i="23"/>
  <c r="DB14" i="23"/>
  <c r="DC14" i="23"/>
  <c r="DD14" i="23"/>
  <c r="DE14" i="23"/>
  <c r="DF14" i="23"/>
  <c r="DG14" i="23"/>
  <c r="DH14" i="23"/>
  <c r="DI14" i="23"/>
  <c r="DJ14" i="23"/>
  <c r="DK14" i="23"/>
  <c r="DL14" i="23"/>
  <c r="DM14" i="23"/>
  <c r="DN14" i="23"/>
  <c r="DO14" i="23"/>
  <c r="DP14" i="23"/>
  <c r="DQ14" i="23"/>
  <c r="DR14" i="23"/>
  <c r="DS14" i="23"/>
  <c r="DT14" i="23"/>
  <c r="DU14" i="23"/>
  <c r="DV14" i="23"/>
  <c r="DW14" i="23"/>
  <c r="DX14" i="23"/>
  <c r="DY14" i="23"/>
  <c r="DZ14" i="23"/>
  <c r="EA14" i="23"/>
  <c r="EB14" i="23"/>
  <c r="EC14" i="23"/>
  <c r="ED14" i="23"/>
  <c r="EE14" i="23"/>
  <c r="EF14" i="23"/>
  <c r="EG14" i="23"/>
  <c r="EH14" i="23"/>
  <c r="EI14" i="23"/>
  <c r="EJ14" i="23"/>
  <c r="EK14" i="23"/>
  <c r="EL14" i="23"/>
  <c r="EM14" i="23"/>
  <c r="EN14" i="23"/>
  <c r="EO14" i="23"/>
  <c r="EP14" i="23"/>
  <c r="EQ14" i="23"/>
  <c r="ER14" i="23"/>
  <c r="ES14" i="23"/>
  <c r="ET14" i="23"/>
  <c r="EU14" i="23"/>
  <c r="EV14" i="23"/>
  <c r="EW14" i="23"/>
  <c r="EX14" i="23"/>
  <c r="EY14" i="23"/>
  <c r="EZ14" i="23"/>
  <c r="FA14" i="23"/>
  <c r="FB14" i="23"/>
  <c r="FC14" i="23"/>
  <c r="FD14" i="23"/>
  <c r="FE14" i="23"/>
  <c r="FF14" i="23"/>
  <c r="FG14" i="23"/>
  <c r="FH14" i="23"/>
  <c r="FI14" i="23"/>
  <c r="FJ14" i="23"/>
  <c r="FK14" i="23"/>
  <c r="FL14" i="23"/>
  <c r="FM14" i="23"/>
  <c r="FN14" i="23"/>
  <c r="FO14" i="23"/>
  <c r="FP14" i="23"/>
  <c r="FQ14" i="23"/>
  <c r="FR14" i="23"/>
  <c r="FS14" i="23"/>
  <c r="FT14" i="23"/>
  <c r="FU14" i="23"/>
  <c r="FV14" i="23"/>
  <c r="FW14" i="23"/>
  <c r="FX14" i="23"/>
  <c r="FY14" i="23"/>
  <c r="FZ14" i="23"/>
  <c r="GA14" i="23"/>
  <c r="GB14" i="23"/>
  <c r="GC14" i="23"/>
  <c r="GD14" i="23"/>
  <c r="GE14" i="23"/>
  <c r="GF14" i="23"/>
  <c r="GG14" i="23"/>
  <c r="GH14" i="23"/>
  <c r="GI14" i="23"/>
  <c r="GJ14" i="23"/>
  <c r="GK14" i="23"/>
  <c r="GL14" i="23"/>
  <c r="GM14" i="23"/>
  <c r="GN14" i="23"/>
  <c r="GO14" i="23"/>
  <c r="GP14" i="23"/>
  <c r="GQ14" i="23"/>
  <c r="GR14" i="23"/>
  <c r="GS14" i="23"/>
  <c r="GT14" i="23"/>
  <c r="GU14" i="23"/>
  <c r="GV14" i="23"/>
  <c r="GW14" i="23"/>
  <c r="GX14" i="23"/>
  <c r="GY14" i="23"/>
  <c r="GZ14" i="23"/>
  <c r="HA14" i="23"/>
  <c r="HB14" i="23"/>
  <c r="HC14" i="23"/>
  <c r="HD14" i="23"/>
  <c r="HE14" i="23"/>
  <c r="HF14" i="23"/>
  <c r="HG14" i="23"/>
  <c r="HH14" i="23"/>
  <c r="HI14" i="23"/>
  <c r="HJ14" i="23"/>
  <c r="HK14" i="23"/>
  <c r="HL14" i="23"/>
  <c r="HM14" i="23"/>
  <c r="HN14" i="23"/>
  <c r="HO14" i="23"/>
  <c r="HP14" i="23"/>
  <c r="HQ14" i="23"/>
  <c r="HR14" i="23"/>
  <c r="HS14" i="23"/>
  <c r="HT14" i="23"/>
  <c r="HU14" i="23"/>
  <c r="HV14" i="23"/>
  <c r="HW14" i="23"/>
  <c r="HX14" i="23"/>
  <c r="HY14" i="23"/>
  <c r="HZ14" i="23"/>
  <c r="IA14" i="23"/>
  <c r="IB14" i="23"/>
  <c r="IC14" i="23"/>
  <c r="ID14" i="23"/>
  <c r="IE14" i="23"/>
  <c r="IF14" i="23"/>
  <c r="IG14" i="23"/>
  <c r="IH14" i="23"/>
  <c r="II14" i="23"/>
  <c r="IJ14" i="23"/>
  <c r="IK14" i="23"/>
  <c r="IL14" i="23"/>
  <c r="IM14" i="23"/>
  <c r="IN14" i="23"/>
  <c r="IO14" i="23"/>
  <c r="IP14" i="23"/>
  <c r="IQ14" i="23"/>
  <c r="IR14" i="23"/>
  <c r="IS14" i="23"/>
  <c r="IT14" i="23"/>
  <c r="IU14" i="23"/>
  <c r="IV14" i="23"/>
  <c r="A13" i="23"/>
  <c r="B13" i="23"/>
  <c r="C13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Z13" i="23"/>
  <c r="AA13" i="23"/>
  <c r="AB13" i="23"/>
  <c r="AC13" i="23"/>
  <c r="AD13" i="23"/>
  <c r="AE13" i="23"/>
  <c r="AF13" i="23"/>
  <c r="AG13" i="23"/>
  <c r="AH13" i="23"/>
  <c r="AI13" i="23"/>
  <c r="AJ13" i="23"/>
  <c r="AK13" i="23"/>
  <c r="AL13" i="23"/>
  <c r="AM13" i="23"/>
  <c r="AN13" i="23"/>
  <c r="AO13" i="23"/>
  <c r="AP13" i="23"/>
  <c r="AQ13" i="23"/>
  <c r="AR13" i="23"/>
  <c r="AS13" i="23"/>
  <c r="AT13" i="23"/>
  <c r="AU13" i="23"/>
  <c r="AV13" i="23"/>
  <c r="AW13" i="23"/>
  <c r="AX13" i="23"/>
  <c r="AY13" i="23"/>
  <c r="AZ13" i="23"/>
  <c r="BA13" i="23"/>
  <c r="BB13" i="23"/>
  <c r="BC13" i="23"/>
  <c r="BD13" i="23"/>
  <c r="BE13" i="23"/>
  <c r="BF13" i="23"/>
  <c r="BG13" i="23"/>
  <c r="BH13" i="23"/>
  <c r="BI13" i="23"/>
  <c r="BJ13" i="23"/>
  <c r="BK13" i="23"/>
  <c r="BL13" i="23"/>
  <c r="BM13" i="23"/>
  <c r="BN13" i="23"/>
  <c r="BO13" i="23"/>
  <c r="BP13" i="23"/>
  <c r="BQ13" i="23"/>
  <c r="BR13" i="23"/>
  <c r="BS13" i="23"/>
  <c r="BT13" i="23"/>
  <c r="BU13" i="23"/>
  <c r="BV13" i="23"/>
  <c r="BW13" i="23"/>
  <c r="BX13" i="23"/>
  <c r="BY13" i="23"/>
  <c r="BZ13" i="23"/>
  <c r="CA13" i="23"/>
  <c r="CB13" i="23"/>
  <c r="CC13" i="23"/>
  <c r="CD13" i="23"/>
  <c r="CE13" i="23"/>
  <c r="CF13" i="23"/>
  <c r="CG13" i="23"/>
  <c r="CH13" i="23"/>
  <c r="CI13" i="23"/>
  <c r="CJ13" i="23"/>
  <c r="CK13" i="23"/>
  <c r="CL13" i="23"/>
  <c r="CM13" i="23"/>
  <c r="CN13" i="23"/>
  <c r="CO13" i="23"/>
  <c r="CP13" i="23"/>
  <c r="CQ13" i="23"/>
  <c r="CR13" i="23"/>
  <c r="CS13" i="23"/>
  <c r="CT13" i="23"/>
  <c r="CU13" i="23"/>
  <c r="CV13" i="23"/>
  <c r="CW13" i="23"/>
  <c r="CX13" i="23"/>
  <c r="CY13" i="23"/>
  <c r="CZ13" i="23"/>
  <c r="DA13" i="23"/>
  <c r="DB13" i="23"/>
  <c r="DC13" i="23"/>
  <c r="DD13" i="23"/>
  <c r="DE13" i="23"/>
  <c r="DF13" i="23"/>
  <c r="DG13" i="23"/>
  <c r="DH13" i="23"/>
  <c r="DI13" i="23"/>
  <c r="DJ13" i="23"/>
  <c r="DK13" i="23"/>
  <c r="DL13" i="23"/>
  <c r="DM13" i="23"/>
  <c r="DN13" i="23"/>
  <c r="DO13" i="23"/>
  <c r="DP13" i="23"/>
  <c r="DQ13" i="23"/>
  <c r="DR13" i="23"/>
  <c r="DS13" i="23"/>
  <c r="DT13" i="23"/>
  <c r="DU13" i="23"/>
  <c r="DV13" i="23"/>
  <c r="DW13" i="23"/>
  <c r="DX13" i="23"/>
  <c r="DY13" i="23"/>
  <c r="DZ13" i="23"/>
  <c r="EA13" i="23"/>
  <c r="EB13" i="23"/>
  <c r="EC13" i="23"/>
  <c r="ED13" i="23"/>
  <c r="EE13" i="23"/>
  <c r="EF13" i="23"/>
  <c r="EG13" i="23"/>
  <c r="EH13" i="23"/>
  <c r="EI13" i="23"/>
  <c r="EJ13" i="23"/>
  <c r="EK13" i="23"/>
  <c r="EL13" i="23"/>
  <c r="EM13" i="23"/>
  <c r="EN13" i="23"/>
  <c r="EO13" i="23"/>
  <c r="EP13" i="23"/>
  <c r="EQ13" i="23"/>
  <c r="ER13" i="23"/>
  <c r="ES13" i="23"/>
  <c r="ET13" i="23"/>
  <c r="EU13" i="23"/>
  <c r="EV13" i="23"/>
  <c r="EW13" i="23"/>
  <c r="EX13" i="23"/>
  <c r="EY13" i="23"/>
  <c r="EZ13" i="23"/>
  <c r="FA13" i="23"/>
  <c r="FB13" i="23"/>
  <c r="FC13" i="23"/>
  <c r="FD13" i="23"/>
  <c r="FE13" i="23"/>
  <c r="FF13" i="23"/>
  <c r="FG13" i="23"/>
  <c r="FH13" i="23"/>
  <c r="FI13" i="23"/>
  <c r="FJ13" i="23"/>
  <c r="FK13" i="23"/>
  <c r="FL13" i="23"/>
  <c r="FM13" i="23"/>
  <c r="FN13" i="23"/>
  <c r="FO13" i="23"/>
  <c r="FP13" i="23"/>
  <c r="FQ13" i="23"/>
  <c r="FR13" i="23"/>
  <c r="FS13" i="23"/>
  <c r="FT13" i="23"/>
  <c r="FU13" i="23"/>
  <c r="FV13" i="23"/>
  <c r="FW13" i="23"/>
  <c r="FX13" i="23"/>
  <c r="FY13" i="23"/>
  <c r="FZ13" i="23"/>
  <c r="GA13" i="23"/>
  <c r="GB13" i="23"/>
  <c r="GC13" i="23"/>
  <c r="GD13" i="23"/>
  <c r="GE13" i="23"/>
  <c r="GF13" i="23"/>
  <c r="GG13" i="23"/>
  <c r="GH13" i="23"/>
  <c r="GI13" i="23"/>
  <c r="GJ13" i="23"/>
  <c r="GK13" i="23"/>
  <c r="GL13" i="23"/>
  <c r="GM13" i="23"/>
  <c r="GN13" i="23"/>
  <c r="GO13" i="23"/>
  <c r="GP13" i="23"/>
  <c r="GQ13" i="23"/>
  <c r="GR13" i="23"/>
  <c r="GS13" i="23"/>
  <c r="GT13" i="23"/>
  <c r="GU13" i="23"/>
  <c r="GV13" i="23"/>
  <c r="GW13" i="23"/>
  <c r="GX13" i="23"/>
  <c r="GY13" i="23"/>
  <c r="GZ13" i="23"/>
  <c r="HA13" i="23"/>
  <c r="HB13" i="23"/>
  <c r="HC13" i="23"/>
  <c r="HD13" i="23"/>
  <c r="HE13" i="23"/>
  <c r="HF13" i="23"/>
  <c r="HG13" i="23"/>
  <c r="HH13" i="23"/>
  <c r="HI13" i="23"/>
  <c r="HJ13" i="23"/>
  <c r="HK13" i="23"/>
  <c r="HL13" i="23"/>
  <c r="HM13" i="23"/>
  <c r="HN13" i="23"/>
  <c r="HO13" i="23"/>
  <c r="HP13" i="23"/>
  <c r="HQ13" i="23"/>
  <c r="HR13" i="23"/>
  <c r="HS13" i="23"/>
  <c r="HT13" i="23"/>
  <c r="HU13" i="23"/>
  <c r="HV13" i="23"/>
  <c r="HW13" i="23"/>
  <c r="HX13" i="23"/>
  <c r="HY13" i="23"/>
  <c r="HZ13" i="23"/>
  <c r="IA13" i="23"/>
  <c r="IB13" i="23"/>
  <c r="IC13" i="23"/>
  <c r="ID13" i="23"/>
  <c r="IE13" i="23"/>
  <c r="IF13" i="23"/>
  <c r="IG13" i="23"/>
  <c r="IH13" i="23"/>
  <c r="II13" i="23"/>
  <c r="IJ13" i="23"/>
  <c r="IK13" i="23"/>
  <c r="IL13" i="23"/>
  <c r="IM13" i="23"/>
  <c r="IN13" i="23"/>
  <c r="IO13" i="23"/>
  <c r="IP13" i="23"/>
  <c r="IQ13" i="23"/>
  <c r="IR13" i="23"/>
  <c r="IS13" i="23"/>
  <c r="IT13" i="23"/>
  <c r="IU13" i="23"/>
  <c r="IV13" i="23"/>
  <c r="A12" i="23"/>
  <c r="B12" i="23"/>
  <c r="C12" i="23"/>
  <c r="D12" i="23"/>
  <c r="E12" i="23"/>
  <c r="F12" i="23"/>
  <c r="G12" i="23"/>
  <c r="H12" i="23"/>
  <c r="I12" i="23"/>
  <c r="J12" i="23"/>
  <c r="K12" i="23"/>
  <c r="L12" i="23"/>
  <c r="M12" i="23"/>
  <c r="N12" i="23"/>
  <c r="O12" i="23"/>
  <c r="P12" i="23"/>
  <c r="Q12" i="23"/>
  <c r="R12" i="23"/>
  <c r="S12" i="23"/>
  <c r="T12" i="23"/>
  <c r="U12" i="23"/>
  <c r="V12" i="23"/>
  <c r="W12" i="23"/>
  <c r="X12" i="23"/>
  <c r="Y12" i="23"/>
  <c r="Z12" i="23"/>
  <c r="AA12" i="23"/>
  <c r="AB12" i="23"/>
  <c r="AC12" i="23"/>
  <c r="AD12" i="23"/>
  <c r="AE12" i="23"/>
  <c r="AF12" i="23"/>
  <c r="AG12" i="23"/>
  <c r="AH12" i="23"/>
  <c r="AI12" i="23"/>
  <c r="AJ12" i="23"/>
  <c r="AK12" i="23"/>
  <c r="AL12" i="23"/>
  <c r="AM12" i="23"/>
  <c r="AN12" i="23"/>
  <c r="AO12" i="23"/>
  <c r="AP12" i="23"/>
  <c r="AQ12" i="23"/>
  <c r="AR12" i="23"/>
  <c r="AS12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BQ12" i="23"/>
  <c r="BR12" i="23"/>
  <c r="BS12" i="23"/>
  <c r="BT12" i="23"/>
  <c r="BU12" i="23"/>
  <c r="BV12" i="23"/>
  <c r="BW12" i="23"/>
  <c r="BX12" i="23"/>
  <c r="BY12" i="23"/>
  <c r="BZ12" i="23"/>
  <c r="CA12" i="23"/>
  <c r="CB12" i="23"/>
  <c r="CC12" i="23"/>
  <c r="CD12" i="23"/>
  <c r="CE12" i="23"/>
  <c r="CF12" i="23"/>
  <c r="CG12" i="23"/>
  <c r="CH12" i="23"/>
  <c r="CI12" i="23"/>
  <c r="CJ12" i="23"/>
  <c r="CK12" i="23"/>
  <c r="CL12" i="23"/>
  <c r="CM12" i="23"/>
  <c r="CN12" i="23"/>
  <c r="CO12" i="23"/>
  <c r="CP12" i="23"/>
  <c r="CQ12" i="23"/>
  <c r="CR12" i="23"/>
  <c r="CS12" i="23"/>
  <c r="CT12" i="23"/>
  <c r="CU12" i="23"/>
  <c r="CV12" i="23"/>
  <c r="CW12" i="23"/>
  <c r="CX12" i="23"/>
  <c r="CY12" i="23"/>
  <c r="CZ12" i="23"/>
  <c r="DA12" i="23"/>
  <c r="DB12" i="23"/>
  <c r="DC12" i="23"/>
  <c r="DD12" i="23"/>
  <c r="DE12" i="23"/>
  <c r="DF12" i="23"/>
  <c r="DG12" i="23"/>
  <c r="DH12" i="23"/>
  <c r="DI12" i="23"/>
  <c r="DJ12" i="23"/>
  <c r="DK12" i="23"/>
  <c r="DL12" i="23"/>
  <c r="DM12" i="23"/>
  <c r="DN12" i="23"/>
  <c r="DO12" i="23"/>
  <c r="DP12" i="23"/>
  <c r="DQ12" i="23"/>
  <c r="DR12" i="23"/>
  <c r="DS12" i="23"/>
  <c r="DT12" i="23"/>
  <c r="DU12" i="23"/>
  <c r="DV12" i="23"/>
  <c r="DW12" i="23"/>
  <c r="DX12" i="23"/>
  <c r="DY12" i="23"/>
  <c r="DZ12" i="23"/>
  <c r="EA12" i="23"/>
  <c r="EB12" i="23"/>
  <c r="EC12" i="23"/>
  <c r="ED12" i="23"/>
  <c r="EE12" i="23"/>
  <c r="EF12" i="23"/>
  <c r="EG12" i="23"/>
  <c r="EH12" i="23"/>
  <c r="EI12" i="23"/>
  <c r="EJ12" i="23"/>
  <c r="EK12" i="23"/>
  <c r="EL12" i="23"/>
  <c r="EM12" i="23"/>
  <c r="EN12" i="23"/>
  <c r="EO12" i="23"/>
  <c r="EP12" i="23"/>
  <c r="EQ12" i="23"/>
  <c r="ER12" i="23"/>
  <c r="ES12" i="23"/>
  <c r="ET12" i="23"/>
  <c r="EU12" i="23"/>
  <c r="EV12" i="23"/>
  <c r="EW12" i="23"/>
  <c r="EX12" i="23"/>
  <c r="EY12" i="23"/>
  <c r="EZ12" i="23"/>
  <c r="FA12" i="23"/>
  <c r="FB12" i="23"/>
  <c r="FC12" i="23"/>
  <c r="FD12" i="23"/>
  <c r="FE12" i="23"/>
  <c r="FF12" i="23"/>
  <c r="FG12" i="23"/>
  <c r="FH12" i="23"/>
  <c r="FI12" i="23"/>
  <c r="FJ12" i="23"/>
  <c r="FK12" i="23"/>
  <c r="FL12" i="23"/>
  <c r="FM12" i="23"/>
  <c r="FN12" i="23"/>
  <c r="FO12" i="23"/>
  <c r="FP12" i="23"/>
  <c r="FQ12" i="23"/>
  <c r="FR12" i="23"/>
  <c r="FS12" i="23"/>
  <c r="FT12" i="23"/>
  <c r="FU12" i="23"/>
  <c r="FV12" i="23"/>
  <c r="FW12" i="23"/>
  <c r="FX12" i="23"/>
  <c r="FY12" i="23"/>
  <c r="FZ12" i="23"/>
  <c r="GA12" i="23"/>
  <c r="GB12" i="23"/>
  <c r="GC12" i="23"/>
  <c r="GD12" i="23"/>
  <c r="GE12" i="23"/>
  <c r="GF12" i="23"/>
  <c r="GG12" i="23"/>
  <c r="GH12" i="23"/>
  <c r="GI12" i="23"/>
  <c r="GJ12" i="23"/>
  <c r="GK12" i="23"/>
  <c r="GL12" i="23"/>
  <c r="GM12" i="23"/>
  <c r="GN12" i="23"/>
  <c r="GO12" i="23"/>
  <c r="GP12" i="23"/>
  <c r="GQ12" i="23"/>
  <c r="GR12" i="23"/>
  <c r="GS12" i="23"/>
  <c r="GT12" i="23"/>
  <c r="GU12" i="23"/>
  <c r="GV12" i="23"/>
  <c r="GW12" i="23"/>
  <c r="GX12" i="23"/>
  <c r="GY12" i="23"/>
  <c r="GZ12" i="23"/>
  <c r="HA12" i="23"/>
  <c r="HB12" i="23"/>
  <c r="HC12" i="23"/>
  <c r="HD12" i="23"/>
  <c r="HE12" i="23"/>
  <c r="HF12" i="23"/>
  <c r="HG12" i="23"/>
  <c r="HH12" i="23"/>
  <c r="HI12" i="23"/>
  <c r="HJ12" i="23"/>
  <c r="HK12" i="23"/>
  <c r="HL12" i="23"/>
  <c r="HM12" i="23"/>
  <c r="HN12" i="23"/>
  <c r="HO12" i="23"/>
  <c r="HP12" i="23"/>
  <c r="HQ12" i="23"/>
  <c r="HR12" i="23"/>
  <c r="HS12" i="23"/>
  <c r="HT12" i="23"/>
  <c r="HU12" i="23"/>
  <c r="HV12" i="23"/>
  <c r="HW12" i="23"/>
  <c r="HX12" i="23"/>
  <c r="HY12" i="23"/>
  <c r="HZ12" i="23"/>
  <c r="IA12" i="23"/>
  <c r="IB12" i="23"/>
  <c r="IC12" i="23"/>
  <c r="ID12" i="23"/>
  <c r="IE12" i="23"/>
  <c r="IF12" i="23"/>
  <c r="IG12" i="23"/>
  <c r="IH12" i="23"/>
  <c r="II12" i="23"/>
  <c r="IJ12" i="23"/>
  <c r="IK12" i="23"/>
  <c r="IL12" i="23"/>
  <c r="IM12" i="23"/>
  <c r="IN12" i="23"/>
  <c r="IO12" i="23"/>
  <c r="IP12" i="23"/>
  <c r="IQ12" i="23"/>
  <c r="IR12" i="23"/>
  <c r="IS12" i="23"/>
  <c r="IT12" i="23"/>
  <c r="IU12" i="23"/>
  <c r="IV12" i="23"/>
  <c r="A11" i="23"/>
  <c r="B11" i="23"/>
  <c r="C11" i="23"/>
  <c r="D11" i="23"/>
  <c r="E11" i="23"/>
  <c r="F11" i="23"/>
  <c r="G11" i="23"/>
  <c r="H11" i="23"/>
  <c r="I11" i="23"/>
  <c r="J11" i="23"/>
  <c r="K11" i="23"/>
  <c r="L11" i="23"/>
  <c r="M11" i="23"/>
  <c r="N11" i="23"/>
  <c r="O11" i="23"/>
  <c r="P11" i="23"/>
  <c r="Q11" i="23"/>
  <c r="R11" i="23"/>
  <c r="S11" i="23"/>
  <c r="T11" i="23"/>
  <c r="U11" i="23"/>
  <c r="V11" i="23"/>
  <c r="W11" i="23"/>
  <c r="X11" i="23"/>
  <c r="Y11" i="23"/>
  <c r="Z11" i="23"/>
  <c r="AA11" i="23"/>
  <c r="AB11" i="23"/>
  <c r="AC11" i="23"/>
  <c r="AD11" i="23"/>
  <c r="AE11" i="23"/>
  <c r="AF11" i="23"/>
  <c r="AG11" i="23"/>
  <c r="AH11" i="23"/>
  <c r="AI11" i="23"/>
  <c r="AJ11" i="23"/>
  <c r="AK11" i="23"/>
  <c r="AL11" i="23"/>
  <c r="AM11" i="23"/>
  <c r="AN11" i="23"/>
  <c r="AO11" i="23"/>
  <c r="AP11" i="23"/>
  <c r="AQ11" i="23"/>
  <c r="AR11" i="23"/>
  <c r="AS11" i="23"/>
  <c r="AT11" i="23"/>
  <c r="AU11" i="23"/>
  <c r="AV11" i="23"/>
  <c r="AW11" i="23"/>
  <c r="AX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BQ11" i="23"/>
  <c r="BR11" i="23"/>
  <c r="BS11" i="23"/>
  <c r="BT11" i="23"/>
  <c r="BU11" i="23"/>
  <c r="BV11" i="23"/>
  <c r="BW11" i="23"/>
  <c r="BX11" i="23"/>
  <c r="BY11" i="23"/>
  <c r="BZ11" i="23"/>
  <c r="CA11" i="23"/>
  <c r="CB11" i="23"/>
  <c r="CC11" i="23"/>
  <c r="CD11" i="23"/>
  <c r="CE11" i="23"/>
  <c r="CF11" i="23"/>
  <c r="CG11" i="23"/>
  <c r="CH11" i="23"/>
  <c r="CI11" i="23"/>
  <c r="CJ11" i="23"/>
  <c r="CK11" i="23"/>
  <c r="CL11" i="23"/>
  <c r="CM11" i="23"/>
  <c r="CN11" i="23"/>
  <c r="CO11" i="23"/>
  <c r="CP11" i="23"/>
  <c r="CQ11" i="23"/>
  <c r="CR11" i="23"/>
  <c r="CS11" i="23"/>
  <c r="CT11" i="23"/>
  <c r="CU11" i="23"/>
  <c r="CV11" i="23"/>
  <c r="CW11" i="23"/>
  <c r="CX11" i="23"/>
  <c r="CY11" i="23"/>
  <c r="CZ11" i="23"/>
  <c r="DA11" i="23"/>
  <c r="DB11" i="23"/>
  <c r="DC11" i="23"/>
  <c r="DD11" i="23"/>
  <c r="DE11" i="23"/>
  <c r="DF11" i="23"/>
  <c r="DG11" i="23"/>
  <c r="DH11" i="23"/>
  <c r="DI11" i="23"/>
  <c r="DJ11" i="23"/>
  <c r="DK11" i="23"/>
  <c r="DL11" i="23"/>
  <c r="DM11" i="23"/>
  <c r="DN11" i="23"/>
  <c r="DO11" i="23"/>
  <c r="DP11" i="23"/>
  <c r="DQ11" i="23"/>
  <c r="DR11" i="23"/>
  <c r="DS11" i="23"/>
  <c r="DT11" i="23"/>
  <c r="DU11" i="23"/>
  <c r="DV11" i="23"/>
  <c r="DW11" i="23"/>
  <c r="DX11" i="23"/>
  <c r="DY11" i="23"/>
  <c r="DZ11" i="23"/>
  <c r="EA11" i="23"/>
  <c r="EB11" i="23"/>
  <c r="EC11" i="23"/>
  <c r="ED11" i="23"/>
  <c r="EE11" i="23"/>
  <c r="EF11" i="23"/>
  <c r="EG11" i="23"/>
  <c r="EH11" i="23"/>
  <c r="EI11" i="23"/>
  <c r="EJ11" i="23"/>
  <c r="EK11" i="23"/>
  <c r="EL11" i="23"/>
  <c r="EM11" i="23"/>
  <c r="EN11" i="23"/>
  <c r="EO11" i="23"/>
  <c r="EP11" i="23"/>
  <c r="EQ11" i="23"/>
  <c r="ER11" i="23"/>
  <c r="ES11" i="23"/>
  <c r="ET11" i="23"/>
  <c r="EU11" i="23"/>
  <c r="EV11" i="23"/>
  <c r="EW11" i="23"/>
  <c r="EX11" i="23"/>
  <c r="EY11" i="23"/>
  <c r="EZ11" i="23"/>
  <c r="FA11" i="23"/>
  <c r="FB11" i="23"/>
  <c r="FC11" i="23"/>
  <c r="FD11" i="23"/>
  <c r="FE11" i="23"/>
  <c r="FF11" i="23"/>
  <c r="FG11" i="23"/>
  <c r="FH11" i="23"/>
  <c r="FI11" i="23"/>
  <c r="FJ11" i="23"/>
  <c r="FK11" i="23"/>
  <c r="FL11" i="23"/>
  <c r="FM11" i="23"/>
  <c r="FN11" i="23"/>
  <c r="FO11" i="23"/>
  <c r="FP11" i="23"/>
  <c r="FQ11" i="23"/>
  <c r="FR11" i="23"/>
  <c r="FS11" i="23"/>
  <c r="FT11" i="23"/>
  <c r="FU11" i="23"/>
  <c r="FV11" i="23"/>
  <c r="FW11" i="23"/>
  <c r="FX11" i="23"/>
  <c r="FY11" i="23"/>
  <c r="FZ11" i="23"/>
  <c r="GA11" i="23"/>
  <c r="GB11" i="23"/>
  <c r="GC11" i="23"/>
  <c r="GD11" i="23"/>
  <c r="GE11" i="23"/>
  <c r="GF11" i="23"/>
  <c r="GG11" i="23"/>
  <c r="GH11" i="23"/>
  <c r="GI11" i="23"/>
  <c r="GJ11" i="23"/>
  <c r="GK11" i="23"/>
  <c r="GL11" i="23"/>
  <c r="GM11" i="23"/>
  <c r="GN11" i="23"/>
  <c r="GO11" i="23"/>
  <c r="GP11" i="23"/>
  <c r="GQ11" i="23"/>
  <c r="GR11" i="23"/>
  <c r="GS11" i="23"/>
  <c r="GT11" i="23"/>
  <c r="GU11" i="23"/>
  <c r="GV11" i="23"/>
  <c r="GW11" i="23"/>
  <c r="GX11" i="23"/>
  <c r="GY11" i="23"/>
  <c r="GZ11" i="23"/>
  <c r="HA11" i="23"/>
  <c r="HB11" i="23"/>
  <c r="HC11" i="23"/>
  <c r="HD11" i="23"/>
  <c r="HE11" i="23"/>
  <c r="HF11" i="23"/>
  <c r="HG11" i="23"/>
  <c r="HH11" i="23"/>
  <c r="HI11" i="23"/>
  <c r="HJ11" i="23"/>
  <c r="HK11" i="23"/>
  <c r="HL11" i="23"/>
  <c r="HM11" i="23"/>
  <c r="HN11" i="23"/>
  <c r="HO11" i="23"/>
  <c r="HP11" i="23"/>
  <c r="HQ11" i="23"/>
  <c r="HR11" i="23"/>
  <c r="HS11" i="23"/>
  <c r="HT11" i="23"/>
  <c r="HU11" i="23"/>
  <c r="HV11" i="23"/>
  <c r="HW11" i="23"/>
  <c r="HX11" i="23"/>
  <c r="HY11" i="23"/>
  <c r="HZ11" i="23"/>
  <c r="IA11" i="23"/>
  <c r="IB11" i="23"/>
  <c r="IC11" i="23"/>
  <c r="ID11" i="23"/>
  <c r="IE11" i="23"/>
  <c r="IF11" i="23"/>
  <c r="IG11" i="23"/>
  <c r="IH11" i="23"/>
  <c r="II11" i="23"/>
  <c r="IJ11" i="23"/>
  <c r="IK11" i="23"/>
  <c r="IL11" i="23"/>
  <c r="IM11" i="23"/>
  <c r="IN11" i="23"/>
  <c r="IO11" i="23"/>
  <c r="IP11" i="23"/>
  <c r="IQ11" i="23"/>
  <c r="IR11" i="23"/>
  <c r="IS11" i="23"/>
  <c r="IT11" i="23"/>
  <c r="IU11" i="23"/>
  <c r="IV11" i="23"/>
  <c r="A10" i="23"/>
  <c r="B10" i="23"/>
  <c r="C10" i="23"/>
  <c r="D10" i="23"/>
  <c r="E10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R10" i="23"/>
  <c r="S10" i="23"/>
  <c r="T10" i="23"/>
  <c r="U10" i="23"/>
  <c r="V10" i="23"/>
  <c r="W10" i="23"/>
  <c r="X10" i="23"/>
  <c r="Y10" i="23"/>
  <c r="Z10" i="23"/>
  <c r="AA10" i="23"/>
  <c r="AB10" i="23"/>
  <c r="AC10" i="23"/>
  <c r="AD10" i="23"/>
  <c r="AE10" i="23"/>
  <c r="AF10" i="23"/>
  <c r="AG10" i="23"/>
  <c r="AH10" i="23"/>
  <c r="AI10" i="23"/>
  <c r="AJ10" i="23"/>
  <c r="AK10" i="23"/>
  <c r="AL10" i="23"/>
  <c r="AM10" i="23"/>
  <c r="AN10" i="23"/>
  <c r="AO10" i="23"/>
  <c r="AP10" i="23"/>
  <c r="AQ10" i="23"/>
  <c r="AR10" i="23"/>
  <c r="AS10" i="23"/>
  <c r="AT10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BO10" i="23"/>
  <c r="BP10" i="23"/>
  <c r="BQ10" i="23"/>
  <c r="BR10" i="23"/>
  <c r="BS10" i="23"/>
  <c r="BT10" i="23"/>
  <c r="BU10" i="23"/>
  <c r="BV10" i="23"/>
  <c r="BW10" i="23"/>
  <c r="BX10" i="23"/>
  <c r="BY10" i="23"/>
  <c r="BZ10" i="23"/>
  <c r="CA10" i="23"/>
  <c r="CB10" i="23"/>
  <c r="CC10" i="23"/>
  <c r="CD10" i="23"/>
  <c r="CE10" i="23"/>
  <c r="CF10" i="23"/>
  <c r="CG10" i="23"/>
  <c r="CH10" i="23"/>
  <c r="CI10" i="23"/>
  <c r="CJ10" i="23"/>
  <c r="CK10" i="23"/>
  <c r="CL10" i="23"/>
  <c r="CM10" i="23"/>
  <c r="CN10" i="23"/>
  <c r="CO10" i="23"/>
  <c r="CP10" i="23"/>
  <c r="CQ10" i="23"/>
  <c r="CR10" i="23"/>
  <c r="CS10" i="23"/>
  <c r="CT10" i="23"/>
  <c r="CU10" i="23"/>
  <c r="CV10" i="23"/>
  <c r="CW10" i="23"/>
  <c r="CX10" i="23"/>
  <c r="CY10" i="23"/>
  <c r="CZ10" i="23"/>
  <c r="DA10" i="23"/>
  <c r="DB10" i="23"/>
  <c r="DC10" i="23"/>
  <c r="DD10" i="23"/>
  <c r="DE10" i="23"/>
  <c r="DF10" i="23"/>
  <c r="DG10" i="23"/>
  <c r="DH10" i="23"/>
  <c r="DI10" i="23"/>
  <c r="DJ10" i="23"/>
  <c r="DK10" i="23"/>
  <c r="DL10" i="23"/>
  <c r="DM10" i="23"/>
  <c r="DN10" i="23"/>
  <c r="DO10" i="23"/>
  <c r="DP10" i="23"/>
  <c r="DQ10" i="23"/>
  <c r="DR10" i="23"/>
  <c r="DS10" i="23"/>
  <c r="DT10" i="23"/>
  <c r="DU10" i="23"/>
  <c r="DV10" i="23"/>
  <c r="DW10" i="23"/>
  <c r="DX10" i="23"/>
  <c r="DY10" i="23"/>
  <c r="DZ10" i="23"/>
  <c r="EA10" i="23"/>
  <c r="EB10" i="23"/>
  <c r="EC10" i="23"/>
  <c r="ED10" i="23"/>
  <c r="EE10" i="23"/>
  <c r="EF10" i="23"/>
  <c r="EG10" i="23"/>
  <c r="EH10" i="23"/>
  <c r="EI10" i="23"/>
  <c r="EJ10" i="23"/>
  <c r="EK10" i="23"/>
  <c r="EL10" i="23"/>
  <c r="EM10" i="23"/>
  <c r="EN10" i="23"/>
  <c r="EO10" i="23"/>
  <c r="EP10" i="23"/>
  <c r="EQ10" i="23"/>
  <c r="ER10" i="23"/>
  <c r="ES10" i="23"/>
  <c r="ET10" i="23"/>
  <c r="EU10" i="23"/>
  <c r="EV10" i="23"/>
  <c r="EW10" i="23"/>
  <c r="EX10" i="23"/>
  <c r="EY10" i="23"/>
  <c r="EZ10" i="23"/>
  <c r="FA10" i="23"/>
  <c r="FB10" i="23"/>
  <c r="FC10" i="23"/>
  <c r="FD10" i="23"/>
  <c r="FE10" i="23"/>
  <c r="FF10" i="23"/>
  <c r="FG10" i="23"/>
  <c r="FH10" i="23"/>
  <c r="FI10" i="23"/>
  <c r="FJ10" i="23"/>
  <c r="FK10" i="23"/>
  <c r="FL10" i="23"/>
  <c r="FM10" i="23"/>
  <c r="FN10" i="23"/>
  <c r="FO10" i="23"/>
  <c r="FP10" i="23"/>
  <c r="FQ10" i="23"/>
  <c r="FR10" i="23"/>
  <c r="FS10" i="23"/>
  <c r="FT10" i="23"/>
  <c r="FU10" i="23"/>
  <c r="FV10" i="23"/>
  <c r="FW10" i="23"/>
  <c r="FX10" i="23"/>
  <c r="FY10" i="23"/>
  <c r="FZ10" i="23"/>
  <c r="GA10" i="23"/>
  <c r="GB10" i="23"/>
  <c r="GC10" i="23"/>
  <c r="GD10" i="23"/>
  <c r="GE10" i="23"/>
  <c r="GF10" i="23"/>
  <c r="GG10" i="23"/>
  <c r="GH10" i="23"/>
  <c r="GI10" i="23"/>
  <c r="GJ10" i="23"/>
  <c r="GK10" i="23"/>
  <c r="GL10" i="23"/>
  <c r="GM10" i="23"/>
  <c r="GN10" i="23"/>
  <c r="GO10" i="23"/>
  <c r="GP10" i="23"/>
  <c r="GQ10" i="23"/>
  <c r="GR10" i="23"/>
  <c r="GS10" i="23"/>
  <c r="GT10" i="23"/>
  <c r="GU10" i="23"/>
  <c r="GV10" i="23"/>
  <c r="GW10" i="23"/>
  <c r="GX10" i="23"/>
  <c r="GY10" i="23"/>
  <c r="GZ10" i="23"/>
  <c r="HA10" i="23"/>
  <c r="HB10" i="23"/>
  <c r="HC10" i="23"/>
  <c r="HD10" i="23"/>
  <c r="HE10" i="23"/>
  <c r="HF10" i="23"/>
  <c r="HG10" i="23"/>
  <c r="HH10" i="23"/>
  <c r="HI10" i="23"/>
  <c r="HJ10" i="23"/>
  <c r="HK10" i="23"/>
  <c r="HL10" i="23"/>
  <c r="HM10" i="23"/>
  <c r="HN10" i="23"/>
  <c r="HO10" i="23"/>
  <c r="HP10" i="23"/>
  <c r="HQ10" i="23"/>
  <c r="HR10" i="23"/>
  <c r="HS10" i="23"/>
  <c r="HT10" i="23"/>
  <c r="HU10" i="23"/>
  <c r="HV10" i="23"/>
  <c r="HW10" i="23"/>
  <c r="HX10" i="23"/>
  <c r="HY10" i="23"/>
  <c r="HZ10" i="23"/>
  <c r="IA10" i="23"/>
  <c r="IB10" i="23"/>
  <c r="IC10" i="23"/>
  <c r="ID10" i="23"/>
  <c r="IE10" i="23"/>
  <c r="IF10" i="23"/>
  <c r="IG10" i="23"/>
  <c r="IH10" i="23"/>
  <c r="II10" i="23"/>
  <c r="IJ10" i="23"/>
  <c r="IK10" i="23"/>
  <c r="IL10" i="23"/>
  <c r="IM10" i="23"/>
  <c r="IN10" i="23"/>
  <c r="IO10" i="23"/>
  <c r="IP10" i="23"/>
  <c r="IQ10" i="23"/>
  <c r="IR10" i="23"/>
  <c r="IS10" i="23"/>
  <c r="IT10" i="23"/>
  <c r="IU10" i="23"/>
  <c r="IV10" i="23"/>
  <c r="A9" i="23"/>
  <c r="B9" i="23"/>
  <c r="C9" i="23"/>
  <c r="D9" i="23"/>
  <c r="E9" i="23"/>
  <c r="F9" i="23"/>
  <c r="G9" i="23"/>
  <c r="H9" i="23"/>
  <c r="I9" i="23"/>
  <c r="J9" i="23"/>
  <c r="K9" i="23"/>
  <c r="L9" i="23"/>
  <c r="M9" i="23"/>
  <c r="N9" i="23"/>
  <c r="O9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AE9" i="23"/>
  <c r="AF9" i="23"/>
  <c r="AG9" i="23"/>
  <c r="AH9" i="23"/>
  <c r="AI9" i="23"/>
  <c r="AJ9" i="23"/>
  <c r="AK9" i="23"/>
  <c r="AL9" i="23"/>
  <c r="AM9" i="23"/>
  <c r="AN9" i="23"/>
  <c r="AO9" i="23"/>
  <c r="AP9" i="23"/>
  <c r="AQ9" i="23"/>
  <c r="AR9" i="23"/>
  <c r="AS9" i="23"/>
  <c r="AT9" i="23"/>
  <c r="AU9" i="23"/>
  <c r="AV9" i="23"/>
  <c r="AW9" i="23"/>
  <c r="AX9" i="23"/>
  <c r="AY9" i="23"/>
  <c r="AZ9" i="23"/>
  <c r="BA9" i="23"/>
  <c r="BB9" i="23"/>
  <c r="BC9" i="23"/>
  <c r="BD9" i="23"/>
  <c r="BE9" i="23"/>
  <c r="BF9" i="23"/>
  <c r="BG9" i="23"/>
  <c r="BH9" i="23"/>
  <c r="BI9" i="23"/>
  <c r="BJ9" i="23"/>
  <c r="BK9" i="23"/>
  <c r="BL9" i="23"/>
  <c r="BM9" i="23"/>
  <c r="BN9" i="23"/>
  <c r="BO9" i="23"/>
  <c r="BP9" i="23"/>
  <c r="BQ9" i="23"/>
  <c r="BR9" i="23"/>
  <c r="BS9" i="23"/>
  <c r="BT9" i="23"/>
  <c r="BU9" i="23"/>
  <c r="BV9" i="23"/>
  <c r="BW9" i="23"/>
  <c r="BX9" i="23"/>
  <c r="BY9" i="23"/>
  <c r="BZ9" i="23"/>
  <c r="CA9" i="23"/>
  <c r="CB9" i="23"/>
  <c r="CC9" i="23"/>
  <c r="CD9" i="23"/>
  <c r="CE9" i="23"/>
  <c r="CF9" i="23"/>
  <c r="CG9" i="23"/>
  <c r="CH9" i="23"/>
  <c r="CI9" i="23"/>
  <c r="CJ9" i="23"/>
  <c r="CK9" i="23"/>
  <c r="CL9" i="23"/>
  <c r="CM9" i="23"/>
  <c r="CN9" i="23"/>
  <c r="CO9" i="23"/>
  <c r="CP9" i="23"/>
  <c r="CQ9" i="23"/>
  <c r="CR9" i="23"/>
  <c r="CS9" i="23"/>
  <c r="CT9" i="23"/>
  <c r="CU9" i="23"/>
  <c r="CV9" i="23"/>
  <c r="CW9" i="23"/>
  <c r="CX9" i="23"/>
  <c r="CY9" i="23"/>
  <c r="CZ9" i="23"/>
  <c r="DA9" i="23"/>
  <c r="DB9" i="23"/>
  <c r="DC9" i="23"/>
  <c r="DD9" i="23"/>
  <c r="DE9" i="23"/>
  <c r="DF9" i="23"/>
  <c r="DG9" i="23"/>
  <c r="DH9" i="23"/>
  <c r="DI9" i="23"/>
  <c r="DJ9" i="23"/>
  <c r="DK9" i="23"/>
  <c r="DL9" i="23"/>
  <c r="DM9" i="23"/>
  <c r="DN9" i="23"/>
  <c r="DO9" i="23"/>
  <c r="DP9" i="23"/>
  <c r="DQ9" i="23"/>
  <c r="DR9" i="23"/>
  <c r="DS9" i="23"/>
  <c r="DT9" i="23"/>
  <c r="DU9" i="23"/>
  <c r="DV9" i="23"/>
  <c r="DW9" i="23"/>
  <c r="DX9" i="23"/>
  <c r="DY9" i="23"/>
  <c r="DZ9" i="23"/>
  <c r="EA9" i="23"/>
  <c r="EB9" i="23"/>
  <c r="EC9" i="23"/>
  <c r="ED9" i="23"/>
  <c r="EE9" i="23"/>
  <c r="EF9" i="23"/>
  <c r="EG9" i="23"/>
  <c r="EH9" i="23"/>
  <c r="EI9" i="23"/>
  <c r="EJ9" i="23"/>
  <c r="EK9" i="23"/>
  <c r="EL9" i="23"/>
  <c r="EM9" i="23"/>
  <c r="EN9" i="23"/>
  <c r="EO9" i="23"/>
  <c r="EP9" i="23"/>
  <c r="EQ9" i="23"/>
  <c r="ER9" i="23"/>
  <c r="ES9" i="23"/>
  <c r="ET9" i="23"/>
  <c r="EU9" i="23"/>
  <c r="EV9" i="23"/>
  <c r="EW9" i="23"/>
  <c r="EX9" i="23"/>
  <c r="EY9" i="23"/>
  <c r="EZ9" i="23"/>
  <c r="FA9" i="23"/>
  <c r="FB9" i="23"/>
  <c r="FC9" i="23"/>
  <c r="FD9" i="23"/>
  <c r="FE9" i="23"/>
  <c r="FF9" i="23"/>
  <c r="FG9" i="23"/>
  <c r="FH9" i="23"/>
  <c r="FI9" i="23"/>
  <c r="FJ9" i="23"/>
  <c r="FK9" i="23"/>
  <c r="FL9" i="23"/>
  <c r="FM9" i="23"/>
  <c r="FN9" i="23"/>
  <c r="FO9" i="23"/>
  <c r="FP9" i="23"/>
  <c r="FQ9" i="23"/>
  <c r="FR9" i="23"/>
  <c r="FS9" i="23"/>
  <c r="FT9" i="23"/>
  <c r="FU9" i="23"/>
  <c r="FV9" i="23"/>
  <c r="FW9" i="23"/>
  <c r="FX9" i="23"/>
  <c r="FY9" i="23"/>
  <c r="FZ9" i="23"/>
  <c r="GA9" i="23"/>
  <c r="GB9" i="23"/>
  <c r="GC9" i="23"/>
  <c r="GD9" i="23"/>
  <c r="GE9" i="23"/>
  <c r="GF9" i="23"/>
  <c r="GG9" i="23"/>
  <c r="GH9" i="23"/>
  <c r="GI9" i="23"/>
  <c r="GJ9" i="23"/>
  <c r="GK9" i="23"/>
  <c r="GL9" i="23"/>
  <c r="GM9" i="23"/>
  <c r="GN9" i="23"/>
  <c r="GO9" i="23"/>
  <c r="GP9" i="23"/>
  <c r="GQ9" i="23"/>
  <c r="GR9" i="23"/>
  <c r="GS9" i="23"/>
  <c r="GT9" i="23"/>
  <c r="GU9" i="23"/>
  <c r="GV9" i="23"/>
  <c r="GW9" i="23"/>
  <c r="GX9" i="23"/>
  <c r="GY9" i="23"/>
  <c r="GZ9" i="23"/>
  <c r="HA9" i="23"/>
  <c r="HB9" i="23"/>
  <c r="HC9" i="23"/>
  <c r="HD9" i="23"/>
  <c r="HE9" i="23"/>
  <c r="HF9" i="23"/>
  <c r="HG9" i="23"/>
  <c r="HH9" i="23"/>
  <c r="HI9" i="23"/>
  <c r="HJ9" i="23"/>
  <c r="HK9" i="23"/>
  <c r="HL9" i="23"/>
  <c r="HM9" i="23"/>
  <c r="HN9" i="23"/>
  <c r="HO9" i="23"/>
  <c r="HP9" i="23"/>
  <c r="HQ9" i="23"/>
  <c r="HR9" i="23"/>
  <c r="HS9" i="23"/>
  <c r="HT9" i="23"/>
  <c r="HU9" i="23"/>
  <c r="HV9" i="23"/>
  <c r="HW9" i="23"/>
  <c r="HX9" i="23"/>
  <c r="HY9" i="23"/>
  <c r="HZ9" i="23"/>
  <c r="IA9" i="23"/>
  <c r="IB9" i="23"/>
  <c r="IC9" i="23"/>
  <c r="ID9" i="23"/>
  <c r="IE9" i="23"/>
  <c r="IF9" i="23"/>
  <c r="IG9" i="23"/>
  <c r="IH9" i="23"/>
  <c r="II9" i="23"/>
  <c r="IJ9" i="23"/>
  <c r="IK9" i="23"/>
  <c r="IL9" i="23"/>
  <c r="IM9" i="23"/>
  <c r="IN9" i="23"/>
  <c r="IO9" i="23"/>
  <c r="IP9" i="23"/>
  <c r="IQ9" i="23"/>
  <c r="IR9" i="23"/>
  <c r="IS9" i="23"/>
  <c r="IT9" i="23"/>
  <c r="IU9" i="23"/>
  <c r="IV9" i="23"/>
  <c r="A8" i="23"/>
  <c r="B8" i="23"/>
  <c r="C8" i="23"/>
  <c r="D8" i="23"/>
  <c r="E8" i="23"/>
  <c r="F8" i="23"/>
  <c r="G8" i="23"/>
  <c r="H8" i="23"/>
  <c r="I8" i="23"/>
  <c r="J8" i="23"/>
  <c r="K8" i="23"/>
  <c r="L8" i="23"/>
  <c r="M8" i="23"/>
  <c r="N8" i="23"/>
  <c r="O8" i="23"/>
  <c r="P8" i="23"/>
  <c r="Q8" i="23"/>
  <c r="R8" i="23"/>
  <c r="S8" i="23"/>
  <c r="T8" i="23"/>
  <c r="U8" i="23"/>
  <c r="V8" i="23"/>
  <c r="W8" i="23"/>
  <c r="X8" i="23"/>
  <c r="Y8" i="23"/>
  <c r="Z8" i="23"/>
  <c r="AA8" i="23"/>
  <c r="AB8" i="23"/>
  <c r="AC8" i="23"/>
  <c r="AD8" i="23"/>
  <c r="AE8" i="23"/>
  <c r="AF8" i="23"/>
  <c r="AG8" i="23"/>
  <c r="AH8" i="23"/>
  <c r="AI8" i="23"/>
  <c r="AJ8" i="23"/>
  <c r="AK8" i="23"/>
  <c r="AL8" i="23"/>
  <c r="AM8" i="23"/>
  <c r="AN8" i="23"/>
  <c r="AO8" i="23"/>
  <c r="AP8" i="23"/>
  <c r="AQ8" i="23"/>
  <c r="AR8" i="23"/>
  <c r="AS8" i="23"/>
  <c r="AT8" i="23"/>
  <c r="AU8" i="23"/>
  <c r="AV8" i="23"/>
  <c r="AW8" i="23"/>
  <c r="AX8" i="23"/>
  <c r="AY8" i="23"/>
  <c r="AZ8" i="23"/>
  <c r="BA8" i="23"/>
  <c r="BB8" i="23"/>
  <c r="BC8" i="23"/>
  <c r="BD8" i="23"/>
  <c r="BE8" i="23"/>
  <c r="BF8" i="23"/>
  <c r="BG8" i="23"/>
  <c r="BH8" i="23"/>
  <c r="BI8" i="23"/>
  <c r="BJ8" i="23"/>
  <c r="BK8" i="23"/>
  <c r="BL8" i="23"/>
  <c r="BM8" i="23"/>
  <c r="BN8" i="23"/>
  <c r="BO8" i="23"/>
  <c r="BP8" i="23"/>
  <c r="BQ8" i="23"/>
  <c r="BR8" i="23"/>
  <c r="BS8" i="23"/>
  <c r="BT8" i="23"/>
  <c r="BU8" i="23"/>
  <c r="BV8" i="23"/>
  <c r="BW8" i="23"/>
  <c r="BX8" i="23"/>
  <c r="BY8" i="23"/>
  <c r="BZ8" i="23"/>
  <c r="CA8" i="23"/>
  <c r="CB8" i="23"/>
  <c r="CC8" i="23"/>
  <c r="CD8" i="23"/>
  <c r="CE8" i="23"/>
  <c r="CF8" i="23"/>
  <c r="CG8" i="23"/>
  <c r="CH8" i="23"/>
  <c r="CI8" i="23"/>
  <c r="CJ8" i="23"/>
  <c r="CK8" i="23"/>
  <c r="CL8" i="23"/>
  <c r="CM8" i="23"/>
  <c r="CN8" i="23"/>
  <c r="CO8" i="23"/>
  <c r="CP8" i="23"/>
  <c r="CQ8" i="23"/>
  <c r="CR8" i="23"/>
  <c r="CS8" i="23"/>
  <c r="CT8" i="23"/>
  <c r="CU8" i="23"/>
  <c r="CV8" i="23"/>
  <c r="CW8" i="23"/>
  <c r="CX8" i="23"/>
  <c r="CY8" i="23"/>
  <c r="CZ8" i="23"/>
  <c r="DA8" i="23"/>
  <c r="DB8" i="23"/>
  <c r="DC8" i="23"/>
  <c r="DD8" i="23"/>
  <c r="DE8" i="23"/>
  <c r="DF8" i="23"/>
  <c r="DG8" i="23"/>
  <c r="DH8" i="23"/>
  <c r="DI8" i="23"/>
  <c r="DJ8" i="23"/>
  <c r="DK8" i="23"/>
  <c r="DL8" i="23"/>
  <c r="DM8" i="23"/>
  <c r="DN8" i="23"/>
  <c r="DO8" i="23"/>
  <c r="DP8" i="23"/>
  <c r="DQ8" i="23"/>
  <c r="DR8" i="23"/>
  <c r="DS8" i="23"/>
  <c r="DT8" i="23"/>
  <c r="DU8" i="23"/>
  <c r="DV8" i="23"/>
  <c r="DW8" i="23"/>
  <c r="DX8" i="23"/>
  <c r="DY8" i="23"/>
  <c r="DZ8" i="23"/>
  <c r="EA8" i="23"/>
  <c r="EB8" i="23"/>
  <c r="EC8" i="23"/>
  <c r="ED8" i="23"/>
  <c r="EE8" i="23"/>
  <c r="EF8" i="23"/>
  <c r="EG8" i="23"/>
  <c r="EH8" i="23"/>
  <c r="EI8" i="23"/>
  <c r="EJ8" i="23"/>
  <c r="EK8" i="23"/>
  <c r="EL8" i="23"/>
  <c r="EM8" i="23"/>
  <c r="EN8" i="23"/>
  <c r="EO8" i="23"/>
  <c r="EP8" i="23"/>
  <c r="EQ8" i="23"/>
  <c r="ER8" i="23"/>
  <c r="ES8" i="23"/>
  <c r="ET8" i="23"/>
  <c r="EU8" i="23"/>
  <c r="EV8" i="23"/>
  <c r="EW8" i="23"/>
  <c r="EX8" i="23"/>
  <c r="EY8" i="23"/>
  <c r="EZ8" i="23"/>
  <c r="FA8" i="23"/>
  <c r="FB8" i="23"/>
  <c r="FC8" i="23"/>
  <c r="FD8" i="23"/>
  <c r="FE8" i="23"/>
  <c r="FF8" i="23"/>
  <c r="FG8" i="23"/>
  <c r="FH8" i="23"/>
  <c r="FI8" i="23"/>
  <c r="FJ8" i="23"/>
  <c r="FK8" i="23"/>
  <c r="FL8" i="23"/>
  <c r="FM8" i="23"/>
  <c r="FN8" i="23"/>
  <c r="FO8" i="23"/>
  <c r="FP8" i="23"/>
  <c r="FQ8" i="23"/>
  <c r="FR8" i="23"/>
  <c r="FS8" i="23"/>
  <c r="FT8" i="23"/>
  <c r="FU8" i="23"/>
  <c r="FV8" i="23"/>
  <c r="FW8" i="23"/>
  <c r="FX8" i="23"/>
  <c r="FY8" i="23"/>
  <c r="FZ8" i="23"/>
  <c r="GA8" i="23"/>
  <c r="GB8" i="23"/>
  <c r="GC8" i="23"/>
  <c r="GD8" i="23"/>
  <c r="GE8" i="23"/>
  <c r="GF8" i="23"/>
  <c r="GG8" i="23"/>
  <c r="GH8" i="23"/>
  <c r="GI8" i="23"/>
  <c r="GJ8" i="23"/>
  <c r="GK8" i="23"/>
  <c r="GL8" i="23"/>
  <c r="GM8" i="23"/>
  <c r="GN8" i="23"/>
  <c r="GO8" i="23"/>
  <c r="GP8" i="23"/>
  <c r="GQ8" i="23"/>
  <c r="GR8" i="23"/>
  <c r="GS8" i="23"/>
  <c r="GT8" i="23"/>
  <c r="GU8" i="23"/>
  <c r="GV8" i="23"/>
  <c r="GW8" i="23"/>
  <c r="GX8" i="23"/>
  <c r="GY8" i="23"/>
  <c r="GZ8" i="23"/>
  <c r="HA8" i="23"/>
  <c r="HB8" i="23"/>
  <c r="HC8" i="23"/>
  <c r="HD8" i="23"/>
  <c r="HE8" i="23"/>
  <c r="HF8" i="23"/>
  <c r="HG8" i="23"/>
  <c r="HH8" i="23"/>
  <c r="HI8" i="23"/>
  <c r="HJ8" i="23"/>
  <c r="HK8" i="23"/>
  <c r="HL8" i="23"/>
  <c r="HM8" i="23"/>
  <c r="HN8" i="23"/>
  <c r="HO8" i="23"/>
  <c r="HP8" i="23"/>
  <c r="HQ8" i="23"/>
  <c r="HR8" i="23"/>
  <c r="HS8" i="23"/>
  <c r="HT8" i="23"/>
  <c r="HU8" i="23"/>
  <c r="HV8" i="23"/>
  <c r="HW8" i="23"/>
  <c r="HX8" i="23"/>
  <c r="HY8" i="23"/>
  <c r="HZ8" i="23"/>
  <c r="IA8" i="23"/>
  <c r="IB8" i="23"/>
  <c r="IC8" i="23"/>
  <c r="ID8" i="23"/>
  <c r="IE8" i="23"/>
  <c r="IF8" i="23"/>
  <c r="IG8" i="23"/>
  <c r="IH8" i="23"/>
  <c r="II8" i="23"/>
  <c r="IJ8" i="23"/>
  <c r="IK8" i="23"/>
  <c r="IL8" i="23"/>
  <c r="IM8" i="23"/>
  <c r="IN8" i="23"/>
  <c r="IO8" i="23"/>
  <c r="IP8" i="23"/>
  <c r="IQ8" i="23"/>
  <c r="IR8" i="23"/>
  <c r="IS8" i="23"/>
  <c r="IT8" i="23"/>
  <c r="IU8" i="23"/>
  <c r="IV8" i="23"/>
  <c r="A7" i="23"/>
  <c r="B7" i="23"/>
  <c r="C7" i="23"/>
  <c r="D7" i="23"/>
  <c r="E7" i="23"/>
  <c r="F7" i="23"/>
  <c r="G7" i="23"/>
  <c r="H7" i="23"/>
  <c r="I7" i="23"/>
  <c r="J7" i="23"/>
  <c r="K7" i="23"/>
  <c r="L7" i="23"/>
  <c r="M7" i="23"/>
  <c r="N7" i="23"/>
  <c r="O7" i="23"/>
  <c r="P7" i="23"/>
  <c r="Q7" i="23"/>
  <c r="R7" i="23"/>
  <c r="S7" i="23"/>
  <c r="T7" i="23"/>
  <c r="U7" i="23"/>
  <c r="V7" i="23"/>
  <c r="W7" i="23"/>
  <c r="X7" i="23"/>
  <c r="Y7" i="23"/>
  <c r="Z7" i="23"/>
  <c r="AA7" i="23"/>
  <c r="AB7" i="23"/>
  <c r="AC7" i="23"/>
  <c r="AD7" i="23"/>
  <c r="AE7" i="23"/>
  <c r="AF7" i="23"/>
  <c r="AG7" i="23"/>
  <c r="AH7" i="23"/>
  <c r="AI7" i="23"/>
  <c r="AJ7" i="23"/>
  <c r="AK7" i="23"/>
  <c r="AL7" i="23"/>
  <c r="AM7" i="23"/>
  <c r="AN7" i="23"/>
  <c r="AO7" i="23"/>
  <c r="AP7" i="23"/>
  <c r="AQ7" i="23"/>
  <c r="AR7" i="23"/>
  <c r="AS7" i="23"/>
  <c r="AT7" i="23"/>
  <c r="AU7" i="23"/>
  <c r="AV7" i="23"/>
  <c r="AW7" i="23"/>
  <c r="AX7" i="23"/>
  <c r="AY7" i="23"/>
  <c r="AZ7" i="23"/>
  <c r="BA7" i="23"/>
  <c r="BB7" i="23"/>
  <c r="BC7" i="23"/>
  <c r="BD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BQ7" i="23"/>
  <c r="BR7" i="23"/>
  <c r="BS7" i="23"/>
  <c r="BT7" i="23"/>
  <c r="BU7" i="23"/>
  <c r="BV7" i="23"/>
  <c r="BW7" i="23"/>
  <c r="BX7" i="23"/>
  <c r="BY7" i="23"/>
  <c r="BZ7" i="23"/>
  <c r="CA7" i="23"/>
  <c r="CB7" i="23"/>
  <c r="CC7" i="23"/>
  <c r="CD7" i="23"/>
  <c r="CE7" i="23"/>
  <c r="CF7" i="23"/>
  <c r="CG7" i="23"/>
  <c r="CH7" i="23"/>
  <c r="CI7" i="23"/>
  <c r="CJ7" i="23"/>
  <c r="CK7" i="23"/>
  <c r="CL7" i="23"/>
  <c r="CM7" i="23"/>
  <c r="CN7" i="23"/>
  <c r="CO7" i="23"/>
  <c r="CP7" i="23"/>
  <c r="CQ7" i="23"/>
  <c r="CR7" i="23"/>
  <c r="CS7" i="23"/>
  <c r="CT7" i="23"/>
  <c r="CU7" i="23"/>
  <c r="CV7" i="23"/>
  <c r="CW7" i="23"/>
  <c r="CX7" i="23"/>
  <c r="CY7" i="23"/>
  <c r="CZ7" i="23"/>
  <c r="DA7" i="23"/>
  <c r="DB7" i="23"/>
  <c r="DC7" i="23"/>
  <c r="DD7" i="23"/>
  <c r="DE7" i="23"/>
  <c r="DF7" i="23"/>
  <c r="DG7" i="23"/>
  <c r="DH7" i="23"/>
  <c r="DI7" i="23"/>
  <c r="DJ7" i="23"/>
  <c r="DK7" i="23"/>
  <c r="DL7" i="23"/>
  <c r="DM7" i="23"/>
  <c r="DN7" i="23"/>
  <c r="DO7" i="23"/>
  <c r="DP7" i="23"/>
  <c r="DQ7" i="23"/>
  <c r="DR7" i="23"/>
  <c r="DS7" i="23"/>
  <c r="DT7" i="23"/>
  <c r="DU7" i="23"/>
  <c r="DV7" i="23"/>
  <c r="DW7" i="23"/>
  <c r="DX7" i="23"/>
  <c r="DY7" i="23"/>
  <c r="DZ7" i="23"/>
  <c r="EA7" i="23"/>
  <c r="EB7" i="23"/>
  <c r="EC7" i="23"/>
  <c r="ED7" i="23"/>
  <c r="EE7" i="23"/>
  <c r="EF7" i="23"/>
  <c r="EG7" i="23"/>
  <c r="EH7" i="23"/>
  <c r="EI7" i="23"/>
  <c r="EJ7" i="23"/>
  <c r="EK7" i="23"/>
  <c r="EL7" i="23"/>
  <c r="EM7" i="23"/>
  <c r="EN7" i="23"/>
  <c r="EO7" i="23"/>
  <c r="EP7" i="23"/>
  <c r="EQ7" i="23"/>
  <c r="ER7" i="23"/>
  <c r="ES7" i="23"/>
  <c r="ET7" i="23"/>
  <c r="EU7" i="23"/>
  <c r="EV7" i="23"/>
  <c r="EW7" i="23"/>
  <c r="EX7" i="23"/>
  <c r="EY7" i="23"/>
  <c r="EZ7" i="23"/>
  <c r="FA7" i="23"/>
  <c r="FB7" i="23"/>
  <c r="FC7" i="23"/>
  <c r="FD7" i="23"/>
  <c r="FE7" i="23"/>
  <c r="FF7" i="23"/>
  <c r="FG7" i="23"/>
  <c r="FH7" i="23"/>
  <c r="FI7" i="23"/>
  <c r="FJ7" i="23"/>
  <c r="FK7" i="23"/>
  <c r="FL7" i="23"/>
  <c r="FM7" i="23"/>
  <c r="FN7" i="23"/>
  <c r="FO7" i="23"/>
  <c r="FP7" i="23"/>
  <c r="FQ7" i="23"/>
  <c r="FR7" i="23"/>
  <c r="FS7" i="23"/>
  <c r="FT7" i="23"/>
  <c r="FU7" i="23"/>
  <c r="FV7" i="23"/>
  <c r="FW7" i="23"/>
  <c r="FX7" i="23"/>
  <c r="FY7" i="23"/>
  <c r="FZ7" i="23"/>
  <c r="GA7" i="23"/>
  <c r="GB7" i="23"/>
  <c r="GC7" i="23"/>
  <c r="GD7" i="23"/>
  <c r="GE7" i="23"/>
  <c r="GF7" i="23"/>
  <c r="GG7" i="23"/>
  <c r="GH7" i="23"/>
  <c r="GI7" i="23"/>
  <c r="GJ7" i="23"/>
  <c r="GK7" i="23"/>
  <c r="GL7" i="23"/>
  <c r="GM7" i="23"/>
  <c r="GN7" i="23"/>
  <c r="GO7" i="23"/>
  <c r="GP7" i="23"/>
  <c r="GQ7" i="23"/>
  <c r="GR7" i="23"/>
  <c r="GS7" i="23"/>
  <c r="GT7" i="23"/>
  <c r="GU7" i="23"/>
  <c r="GV7" i="23"/>
  <c r="GW7" i="23"/>
  <c r="GX7" i="23"/>
  <c r="GY7" i="23"/>
  <c r="GZ7" i="23"/>
  <c r="HA7" i="23"/>
  <c r="HB7" i="23"/>
  <c r="HC7" i="23"/>
  <c r="HD7" i="23"/>
  <c r="HE7" i="23"/>
  <c r="HF7" i="23"/>
  <c r="HG7" i="23"/>
  <c r="HH7" i="23"/>
  <c r="HI7" i="23"/>
  <c r="HJ7" i="23"/>
  <c r="HK7" i="23"/>
  <c r="HL7" i="23"/>
  <c r="HM7" i="23"/>
  <c r="HN7" i="23"/>
  <c r="HO7" i="23"/>
  <c r="HP7" i="23"/>
  <c r="HQ7" i="23"/>
  <c r="HR7" i="23"/>
  <c r="HS7" i="23"/>
  <c r="HT7" i="23"/>
  <c r="HU7" i="23"/>
  <c r="HV7" i="23"/>
  <c r="HW7" i="23"/>
  <c r="HX7" i="23"/>
  <c r="HY7" i="23"/>
  <c r="HZ7" i="23"/>
  <c r="IA7" i="23"/>
  <c r="IB7" i="23"/>
  <c r="IC7" i="23"/>
  <c r="ID7" i="23"/>
  <c r="IE7" i="23"/>
  <c r="IF7" i="23"/>
  <c r="IG7" i="23"/>
  <c r="IH7" i="23"/>
  <c r="II7" i="23"/>
  <c r="IJ7" i="23"/>
  <c r="IK7" i="23"/>
  <c r="IL7" i="23"/>
  <c r="IM7" i="23"/>
  <c r="IN7" i="23"/>
  <c r="IO7" i="23"/>
  <c r="IP7" i="23"/>
  <c r="IQ7" i="23"/>
  <c r="IR7" i="23"/>
  <c r="IS7" i="23"/>
  <c r="IT7" i="23"/>
  <c r="IU7" i="23"/>
  <c r="IV7" i="23"/>
  <c r="A6" i="23"/>
  <c r="B6" i="23"/>
  <c r="C6" i="23"/>
  <c r="D6" i="23"/>
  <c r="E6" i="23"/>
  <c r="F6" i="23"/>
  <c r="G6" i="23"/>
  <c r="H6" i="23"/>
  <c r="I6" i="23"/>
  <c r="J6" i="23"/>
  <c r="K6" i="23"/>
  <c r="L6" i="23"/>
  <c r="M6" i="23"/>
  <c r="N6" i="23"/>
  <c r="O6" i="23"/>
  <c r="P6" i="23"/>
  <c r="Q6" i="23"/>
  <c r="R6" i="23"/>
  <c r="S6" i="23"/>
  <c r="T6" i="23"/>
  <c r="U6" i="23"/>
  <c r="V6" i="23"/>
  <c r="W6" i="23"/>
  <c r="X6" i="23"/>
  <c r="Y6" i="23"/>
  <c r="Z6" i="23"/>
  <c r="AA6" i="23"/>
  <c r="AB6" i="23"/>
  <c r="AC6" i="23"/>
  <c r="AD6" i="23"/>
  <c r="AE6" i="23"/>
  <c r="AF6" i="23"/>
  <c r="AG6" i="23"/>
  <c r="AH6" i="23"/>
  <c r="AI6" i="23"/>
  <c r="AJ6" i="23"/>
  <c r="AK6" i="23"/>
  <c r="AL6" i="23"/>
  <c r="AM6" i="23"/>
  <c r="AN6" i="23"/>
  <c r="AO6" i="23"/>
  <c r="AP6" i="23"/>
  <c r="AQ6" i="23"/>
  <c r="AR6" i="23"/>
  <c r="AS6" i="23"/>
  <c r="AT6" i="23"/>
  <c r="AU6" i="23"/>
  <c r="AV6" i="23"/>
  <c r="AW6" i="23"/>
  <c r="AX6" i="23"/>
  <c r="AY6" i="23"/>
  <c r="AZ6" i="23"/>
  <c r="BA6" i="23"/>
  <c r="BB6" i="23"/>
  <c r="BC6" i="23"/>
  <c r="BD6" i="23"/>
  <c r="BE6" i="23"/>
  <c r="BF6" i="23"/>
  <c r="BG6" i="23"/>
  <c r="BH6" i="23"/>
  <c r="BI6" i="23"/>
  <c r="BJ6" i="23"/>
  <c r="BK6" i="23"/>
  <c r="BL6" i="23"/>
  <c r="BM6" i="23"/>
  <c r="BN6" i="23"/>
  <c r="BO6" i="23"/>
  <c r="BP6" i="23"/>
  <c r="BQ6" i="23"/>
  <c r="BR6" i="23"/>
  <c r="BS6" i="23"/>
  <c r="BT6" i="23"/>
  <c r="BU6" i="23"/>
  <c r="BV6" i="23"/>
  <c r="BW6" i="23"/>
  <c r="BX6" i="23"/>
  <c r="BY6" i="23"/>
  <c r="BZ6" i="23"/>
  <c r="CA6" i="23"/>
  <c r="CB6" i="23"/>
  <c r="CC6" i="23"/>
  <c r="CD6" i="23"/>
  <c r="CE6" i="23"/>
  <c r="CF6" i="23"/>
  <c r="CG6" i="23"/>
  <c r="CH6" i="23"/>
  <c r="CI6" i="23"/>
  <c r="CJ6" i="23"/>
  <c r="CK6" i="23"/>
  <c r="CL6" i="23"/>
  <c r="CM6" i="23"/>
  <c r="CN6" i="23"/>
  <c r="CO6" i="23"/>
  <c r="CP6" i="23"/>
  <c r="CQ6" i="23"/>
  <c r="CR6" i="23"/>
  <c r="CS6" i="23"/>
  <c r="CT6" i="23"/>
  <c r="CU6" i="23"/>
  <c r="CV6" i="23"/>
  <c r="CW6" i="23"/>
  <c r="CX6" i="23"/>
  <c r="CY6" i="23"/>
  <c r="CZ6" i="23"/>
  <c r="DA6" i="23"/>
  <c r="DB6" i="23"/>
  <c r="DC6" i="23"/>
  <c r="DD6" i="23"/>
  <c r="DE6" i="23"/>
  <c r="DF6" i="23"/>
  <c r="DG6" i="23"/>
  <c r="DH6" i="23"/>
  <c r="DI6" i="23"/>
  <c r="DJ6" i="23"/>
  <c r="DK6" i="23"/>
  <c r="DL6" i="23"/>
  <c r="DM6" i="23"/>
  <c r="DN6" i="23"/>
  <c r="DO6" i="23"/>
  <c r="DP6" i="23"/>
  <c r="DQ6" i="23"/>
  <c r="DR6" i="23"/>
  <c r="DS6" i="23"/>
  <c r="DT6" i="23"/>
  <c r="DU6" i="23"/>
  <c r="DV6" i="23"/>
  <c r="DW6" i="23"/>
  <c r="DX6" i="23"/>
  <c r="DY6" i="23"/>
  <c r="DZ6" i="23"/>
  <c r="EA6" i="23"/>
  <c r="EB6" i="23"/>
  <c r="EC6" i="23"/>
  <c r="ED6" i="23"/>
  <c r="EE6" i="23"/>
  <c r="EF6" i="23"/>
  <c r="EG6" i="23"/>
  <c r="EH6" i="23"/>
  <c r="EI6" i="23"/>
  <c r="EJ6" i="23"/>
  <c r="EK6" i="23"/>
  <c r="EL6" i="23"/>
  <c r="EM6" i="23"/>
  <c r="EN6" i="23"/>
  <c r="EO6" i="23"/>
  <c r="EP6" i="23"/>
  <c r="EQ6" i="23"/>
  <c r="ER6" i="23"/>
  <c r="ES6" i="23"/>
  <c r="ET6" i="23"/>
  <c r="EU6" i="23"/>
  <c r="EV6" i="23"/>
  <c r="EW6" i="23"/>
  <c r="EX6" i="23"/>
  <c r="EY6" i="23"/>
  <c r="EZ6" i="23"/>
  <c r="FA6" i="23"/>
  <c r="FB6" i="23"/>
  <c r="FC6" i="23"/>
  <c r="FD6" i="23"/>
  <c r="FE6" i="23"/>
  <c r="FF6" i="23"/>
  <c r="FG6" i="23"/>
  <c r="FH6" i="23"/>
  <c r="FI6" i="23"/>
  <c r="FJ6" i="23"/>
  <c r="FK6" i="23"/>
  <c r="FL6" i="23"/>
  <c r="FM6" i="23"/>
  <c r="FN6" i="23"/>
  <c r="FO6" i="23"/>
  <c r="FP6" i="23"/>
  <c r="FQ6" i="23"/>
  <c r="FR6" i="23"/>
  <c r="FS6" i="23"/>
  <c r="FT6" i="23"/>
  <c r="FU6" i="23"/>
  <c r="FV6" i="23"/>
  <c r="FW6" i="23"/>
  <c r="FX6" i="23"/>
  <c r="FY6" i="23"/>
  <c r="FZ6" i="23"/>
  <c r="GA6" i="23"/>
  <c r="GB6" i="23"/>
  <c r="GC6" i="23"/>
  <c r="GD6" i="23"/>
  <c r="GE6" i="23"/>
  <c r="GF6" i="23"/>
  <c r="GG6" i="23"/>
  <c r="GH6" i="23"/>
  <c r="GI6" i="23"/>
  <c r="GJ6" i="23"/>
  <c r="GK6" i="23"/>
  <c r="GL6" i="23"/>
  <c r="GM6" i="23"/>
  <c r="GN6" i="23"/>
  <c r="GO6" i="23"/>
  <c r="GP6" i="23"/>
  <c r="GQ6" i="23"/>
  <c r="GR6" i="23"/>
  <c r="GS6" i="23"/>
  <c r="GT6" i="23"/>
  <c r="GU6" i="23"/>
  <c r="GV6" i="23"/>
  <c r="GW6" i="23"/>
  <c r="GX6" i="23"/>
  <c r="GY6" i="23"/>
  <c r="GZ6" i="23"/>
  <c r="HA6" i="23"/>
  <c r="HB6" i="23"/>
  <c r="HC6" i="23"/>
  <c r="HD6" i="23"/>
  <c r="HE6" i="23"/>
  <c r="HF6" i="23"/>
  <c r="HG6" i="23"/>
  <c r="HH6" i="23"/>
  <c r="HI6" i="23"/>
  <c r="HJ6" i="23"/>
  <c r="HK6" i="23"/>
  <c r="HL6" i="23"/>
  <c r="HM6" i="23"/>
  <c r="HN6" i="23"/>
  <c r="HO6" i="23"/>
  <c r="HP6" i="23"/>
  <c r="HQ6" i="23"/>
  <c r="HR6" i="23"/>
  <c r="HS6" i="23"/>
  <c r="HT6" i="23"/>
  <c r="HU6" i="23"/>
  <c r="HV6" i="23"/>
  <c r="HW6" i="23"/>
  <c r="HX6" i="23"/>
  <c r="HY6" i="23"/>
  <c r="HZ6" i="23"/>
  <c r="IA6" i="23"/>
  <c r="IB6" i="23"/>
  <c r="IC6" i="23"/>
  <c r="ID6" i="23"/>
  <c r="IE6" i="23"/>
  <c r="IF6" i="23"/>
  <c r="IG6" i="23"/>
  <c r="IH6" i="23"/>
  <c r="II6" i="23"/>
  <c r="IJ6" i="23"/>
  <c r="IK6" i="23"/>
  <c r="IL6" i="23"/>
  <c r="IM6" i="23"/>
  <c r="IN6" i="23"/>
  <c r="IO6" i="23"/>
  <c r="IP6" i="23"/>
  <c r="IQ6" i="23"/>
  <c r="IR6" i="23"/>
  <c r="IS6" i="23"/>
  <c r="IT6" i="23"/>
  <c r="IU6" i="23"/>
  <c r="IV6" i="23"/>
  <c r="A5" i="23"/>
  <c r="B5" i="23"/>
  <c r="C5" i="23"/>
  <c r="D5" i="23"/>
  <c r="E5" i="23"/>
  <c r="F5" i="23"/>
  <c r="G5" i="23"/>
  <c r="H5" i="23"/>
  <c r="I5" i="23"/>
  <c r="J5" i="23"/>
  <c r="K5" i="23"/>
  <c r="L5" i="23"/>
  <c r="M5" i="23"/>
  <c r="N5" i="23"/>
  <c r="O5" i="23"/>
  <c r="P5" i="23"/>
  <c r="Q5" i="23"/>
  <c r="R5" i="23"/>
  <c r="S5" i="23"/>
  <c r="T5" i="23"/>
  <c r="U5" i="23"/>
  <c r="V5" i="23"/>
  <c r="W5" i="23"/>
  <c r="X5" i="23"/>
  <c r="Y5" i="23"/>
  <c r="Z5" i="23"/>
  <c r="AA5" i="23"/>
  <c r="AB5" i="23"/>
  <c r="AC5" i="23"/>
  <c r="AD5" i="23"/>
  <c r="AE5" i="23"/>
  <c r="AF5" i="23"/>
  <c r="AG5" i="23"/>
  <c r="AH5" i="23"/>
  <c r="AI5" i="23"/>
  <c r="AJ5" i="23"/>
  <c r="AK5" i="23"/>
  <c r="AL5" i="23"/>
  <c r="AM5" i="23"/>
  <c r="AN5" i="23"/>
  <c r="AO5" i="23"/>
  <c r="AP5" i="23"/>
  <c r="AQ5" i="23"/>
  <c r="AR5" i="23"/>
  <c r="AS5" i="23"/>
  <c r="AT5" i="23"/>
  <c r="AU5" i="23"/>
  <c r="AV5" i="23"/>
  <c r="AW5" i="23"/>
  <c r="AX5" i="23"/>
  <c r="AY5" i="23"/>
  <c r="AZ5" i="23"/>
  <c r="BA5" i="23"/>
  <c r="BB5" i="23"/>
  <c r="BC5" i="23"/>
  <c r="BD5" i="23"/>
  <c r="BE5" i="23"/>
  <c r="BF5" i="23"/>
  <c r="BG5" i="23"/>
  <c r="BH5" i="23"/>
  <c r="BI5" i="23"/>
  <c r="BJ5" i="23"/>
  <c r="BK5" i="23"/>
  <c r="BL5" i="23"/>
  <c r="BM5" i="23"/>
  <c r="BN5" i="23"/>
  <c r="BO5" i="23"/>
  <c r="BP5" i="23"/>
  <c r="BQ5" i="23"/>
  <c r="BR5" i="23"/>
  <c r="BS5" i="23"/>
  <c r="BT5" i="23"/>
  <c r="BU5" i="23"/>
  <c r="BV5" i="23"/>
  <c r="BW5" i="23"/>
  <c r="BX5" i="23"/>
  <c r="BY5" i="23"/>
  <c r="BZ5" i="23"/>
  <c r="CA5" i="23"/>
  <c r="CB5" i="23"/>
  <c r="CC5" i="23"/>
  <c r="CD5" i="23"/>
  <c r="CE5" i="23"/>
  <c r="CF5" i="23"/>
  <c r="CG5" i="23"/>
  <c r="CH5" i="23"/>
  <c r="CI5" i="23"/>
  <c r="CJ5" i="23"/>
  <c r="CK5" i="23"/>
  <c r="CL5" i="23"/>
  <c r="CM5" i="23"/>
  <c r="CN5" i="23"/>
  <c r="CO5" i="23"/>
  <c r="CP5" i="23"/>
  <c r="CQ5" i="23"/>
  <c r="CR5" i="23"/>
  <c r="CS5" i="23"/>
  <c r="CT5" i="23"/>
  <c r="CU5" i="23"/>
  <c r="CV5" i="23"/>
  <c r="CW5" i="23"/>
  <c r="CX5" i="23"/>
  <c r="CY5" i="23"/>
  <c r="CZ5" i="23"/>
  <c r="DA5" i="23"/>
  <c r="DB5" i="23"/>
  <c r="DC5" i="23"/>
  <c r="DD5" i="23"/>
  <c r="DE5" i="23"/>
  <c r="DF5" i="23"/>
  <c r="DG5" i="23"/>
  <c r="DH5" i="23"/>
  <c r="DI5" i="23"/>
  <c r="DJ5" i="23"/>
  <c r="DK5" i="23"/>
  <c r="DL5" i="23"/>
  <c r="DM5" i="23"/>
  <c r="DN5" i="23"/>
  <c r="DO5" i="23"/>
  <c r="DP5" i="23"/>
  <c r="DQ5" i="23"/>
  <c r="DR5" i="23"/>
  <c r="DS5" i="23"/>
  <c r="DT5" i="23"/>
  <c r="DU5" i="23"/>
  <c r="DV5" i="23"/>
  <c r="DW5" i="23"/>
  <c r="DX5" i="23"/>
  <c r="DY5" i="23"/>
  <c r="DZ5" i="23"/>
  <c r="EA5" i="23"/>
  <c r="EB5" i="23"/>
  <c r="EC5" i="23"/>
  <c r="ED5" i="23"/>
  <c r="EE5" i="23"/>
  <c r="EF5" i="23"/>
  <c r="EG5" i="23"/>
  <c r="EH5" i="23"/>
  <c r="EI5" i="23"/>
  <c r="EJ5" i="23"/>
  <c r="EK5" i="23"/>
  <c r="EL5" i="23"/>
  <c r="EM5" i="23"/>
  <c r="EN5" i="23"/>
  <c r="EO5" i="23"/>
  <c r="EP5" i="23"/>
  <c r="EQ5" i="23"/>
  <c r="ER5" i="23"/>
  <c r="ES5" i="23"/>
  <c r="ET5" i="23"/>
  <c r="EU5" i="23"/>
  <c r="EV5" i="23"/>
  <c r="EW5" i="23"/>
  <c r="EX5" i="23"/>
  <c r="EY5" i="23"/>
  <c r="EZ5" i="23"/>
  <c r="FA5" i="23"/>
  <c r="FB5" i="23"/>
  <c r="FC5" i="23"/>
  <c r="FD5" i="23"/>
  <c r="FE5" i="23"/>
  <c r="FF5" i="23"/>
  <c r="FG5" i="23"/>
  <c r="FH5" i="23"/>
  <c r="FI5" i="23"/>
  <c r="FJ5" i="23"/>
  <c r="FK5" i="23"/>
  <c r="FL5" i="23"/>
  <c r="FM5" i="23"/>
  <c r="FN5" i="23"/>
  <c r="FO5" i="23"/>
  <c r="FP5" i="23"/>
  <c r="FQ5" i="23"/>
  <c r="FR5" i="23"/>
  <c r="FS5" i="23"/>
  <c r="FT5" i="23"/>
  <c r="FU5" i="23"/>
  <c r="FV5" i="23"/>
  <c r="FW5" i="23"/>
  <c r="FX5" i="23"/>
  <c r="FY5" i="23"/>
  <c r="FZ5" i="23"/>
  <c r="GA5" i="23"/>
  <c r="GB5" i="23"/>
  <c r="GC5" i="23"/>
  <c r="GD5" i="23"/>
  <c r="GE5" i="23"/>
  <c r="GF5" i="23"/>
  <c r="GG5" i="23"/>
  <c r="GH5" i="23"/>
  <c r="GI5" i="23"/>
  <c r="GJ5" i="23"/>
  <c r="GK5" i="23"/>
  <c r="GL5" i="23"/>
  <c r="GM5" i="23"/>
  <c r="GN5" i="23"/>
  <c r="GO5" i="23"/>
  <c r="GP5" i="23"/>
  <c r="GQ5" i="23"/>
  <c r="GR5" i="23"/>
  <c r="GS5" i="23"/>
  <c r="GT5" i="23"/>
  <c r="GU5" i="23"/>
  <c r="GV5" i="23"/>
  <c r="GW5" i="23"/>
  <c r="GX5" i="23"/>
  <c r="GY5" i="23"/>
  <c r="GZ5" i="23"/>
  <c r="HA5" i="23"/>
  <c r="HB5" i="23"/>
  <c r="HC5" i="23"/>
  <c r="HD5" i="23"/>
  <c r="HE5" i="23"/>
  <c r="HF5" i="23"/>
  <c r="HG5" i="23"/>
  <c r="HH5" i="23"/>
  <c r="HI5" i="23"/>
  <c r="HJ5" i="23"/>
  <c r="HK5" i="23"/>
  <c r="HL5" i="23"/>
  <c r="HM5" i="23"/>
  <c r="HN5" i="23"/>
  <c r="HO5" i="23"/>
  <c r="HP5" i="23"/>
  <c r="HQ5" i="23"/>
  <c r="HR5" i="23"/>
  <c r="HS5" i="23"/>
  <c r="HT5" i="23"/>
  <c r="HU5" i="23"/>
  <c r="HV5" i="23"/>
  <c r="HW5" i="23"/>
  <c r="HX5" i="23"/>
  <c r="HY5" i="23"/>
  <c r="HZ5" i="23"/>
  <c r="IA5" i="23"/>
  <c r="IB5" i="23"/>
  <c r="IC5" i="23"/>
  <c r="ID5" i="23"/>
  <c r="IE5" i="23"/>
  <c r="IF5" i="23"/>
  <c r="IG5" i="23"/>
  <c r="IH5" i="23"/>
  <c r="II5" i="23"/>
  <c r="IJ5" i="23"/>
  <c r="IK5" i="23"/>
  <c r="IL5" i="23"/>
  <c r="IM5" i="23"/>
  <c r="IN5" i="23"/>
  <c r="IO5" i="23"/>
  <c r="IP5" i="23"/>
  <c r="IQ5" i="23"/>
  <c r="IR5" i="23"/>
  <c r="IS5" i="23"/>
  <c r="IT5" i="23"/>
  <c r="IU5" i="23"/>
  <c r="IV5" i="23"/>
  <c r="A4" i="23"/>
  <c r="B4" i="23"/>
  <c r="C4" i="23"/>
  <c r="D4" i="23"/>
  <c r="E4" i="23"/>
  <c r="F4" i="23"/>
  <c r="G4" i="23"/>
  <c r="H4" i="23"/>
  <c r="I4" i="23"/>
  <c r="J4" i="23"/>
  <c r="K4" i="23"/>
  <c r="L4" i="23"/>
  <c r="M4" i="23"/>
  <c r="N4" i="23"/>
  <c r="O4" i="23"/>
  <c r="P4" i="23"/>
  <c r="Q4" i="23"/>
  <c r="R4" i="23"/>
  <c r="S4" i="23"/>
  <c r="T4" i="23"/>
  <c r="U4" i="23"/>
  <c r="V4" i="23"/>
  <c r="W4" i="23"/>
  <c r="X4" i="23"/>
  <c r="Y4" i="23"/>
  <c r="Z4" i="23"/>
  <c r="AA4" i="23"/>
  <c r="AB4" i="23"/>
  <c r="AC4" i="23"/>
  <c r="AD4" i="23"/>
  <c r="AE4" i="23"/>
  <c r="AF4" i="23"/>
  <c r="AG4" i="23"/>
  <c r="AH4" i="23"/>
  <c r="AI4" i="23"/>
  <c r="AJ4" i="23"/>
  <c r="AK4" i="23"/>
  <c r="AL4" i="23"/>
  <c r="AM4" i="23"/>
  <c r="AN4" i="23"/>
  <c r="AO4" i="23"/>
  <c r="AP4" i="23"/>
  <c r="AQ4" i="23"/>
  <c r="AR4" i="23"/>
  <c r="AS4" i="23"/>
  <c r="AT4" i="23"/>
  <c r="AU4" i="23"/>
  <c r="AV4" i="23"/>
  <c r="AW4" i="23"/>
  <c r="AX4" i="23"/>
  <c r="AY4" i="23"/>
  <c r="AZ4" i="23"/>
  <c r="BA4" i="23"/>
  <c r="BB4" i="23"/>
  <c r="BC4" i="23"/>
  <c r="BD4" i="23"/>
  <c r="BE4" i="23"/>
  <c r="BF4" i="23"/>
  <c r="BG4" i="23"/>
  <c r="BH4" i="23"/>
  <c r="BI4" i="23"/>
  <c r="BJ4" i="23"/>
  <c r="BK4" i="23"/>
  <c r="BL4" i="23"/>
  <c r="BM4" i="23"/>
  <c r="BN4" i="23"/>
  <c r="BO4" i="23"/>
  <c r="BP4" i="23"/>
  <c r="BQ4" i="23"/>
  <c r="BR4" i="23"/>
  <c r="BS4" i="23"/>
  <c r="BT4" i="23"/>
  <c r="BU4" i="23"/>
  <c r="BV4" i="23"/>
  <c r="BW4" i="23"/>
  <c r="BX4" i="23"/>
  <c r="BY4" i="23"/>
  <c r="BZ4" i="23"/>
  <c r="CA4" i="23"/>
  <c r="CB4" i="23"/>
  <c r="CC4" i="23"/>
  <c r="CD4" i="23"/>
  <c r="CE4" i="23"/>
  <c r="CF4" i="23"/>
  <c r="CG4" i="23"/>
  <c r="CH4" i="23"/>
  <c r="CI4" i="23"/>
  <c r="CJ4" i="23"/>
  <c r="CK4" i="23"/>
  <c r="CL4" i="23"/>
  <c r="CM4" i="23"/>
  <c r="CN4" i="23"/>
  <c r="CO4" i="23"/>
  <c r="CP4" i="23"/>
  <c r="CQ4" i="23"/>
  <c r="CR4" i="23"/>
  <c r="CS4" i="23"/>
  <c r="CT4" i="23"/>
  <c r="CU4" i="23"/>
  <c r="CV4" i="23"/>
  <c r="CW4" i="23"/>
  <c r="CX4" i="23"/>
  <c r="CY4" i="23"/>
  <c r="CZ4" i="23"/>
  <c r="DA4" i="23"/>
  <c r="DB4" i="23"/>
  <c r="DC4" i="23"/>
  <c r="DD4" i="23"/>
  <c r="DE4" i="23"/>
  <c r="DF4" i="23"/>
  <c r="DG4" i="23"/>
  <c r="DH4" i="23"/>
  <c r="DI4" i="23"/>
  <c r="DJ4" i="23"/>
  <c r="DK4" i="23"/>
  <c r="DL4" i="23"/>
  <c r="DM4" i="23"/>
  <c r="DN4" i="23"/>
  <c r="DO4" i="23"/>
  <c r="DP4" i="23"/>
  <c r="DQ4" i="23"/>
  <c r="DR4" i="23"/>
  <c r="DS4" i="23"/>
  <c r="DT4" i="23"/>
  <c r="DU4" i="23"/>
  <c r="DV4" i="23"/>
  <c r="DW4" i="23"/>
  <c r="DX4" i="23"/>
  <c r="DY4" i="23"/>
  <c r="DZ4" i="23"/>
  <c r="EA4" i="23"/>
  <c r="EB4" i="23"/>
  <c r="EC4" i="23"/>
  <c r="ED4" i="23"/>
  <c r="EE4" i="23"/>
  <c r="EF4" i="23"/>
  <c r="EG4" i="23"/>
  <c r="EH4" i="23"/>
  <c r="EI4" i="23"/>
  <c r="EJ4" i="23"/>
  <c r="EK4" i="23"/>
  <c r="EL4" i="23"/>
  <c r="EM4" i="23"/>
  <c r="EN4" i="23"/>
  <c r="EO4" i="23"/>
  <c r="EP4" i="23"/>
  <c r="EQ4" i="23"/>
  <c r="ER4" i="23"/>
  <c r="ES4" i="23"/>
  <c r="ET4" i="23"/>
  <c r="EU4" i="23"/>
  <c r="EV4" i="23"/>
  <c r="EW4" i="23"/>
  <c r="EX4" i="23"/>
  <c r="EY4" i="23"/>
  <c r="EZ4" i="23"/>
  <c r="FA4" i="23"/>
  <c r="FB4" i="23"/>
  <c r="FC4" i="23"/>
  <c r="FD4" i="23"/>
  <c r="FE4" i="23"/>
  <c r="FF4" i="23"/>
  <c r="FG4" i="23"/>
  <c r="FH4" i="23"/>
  <c r="FI4" i="23"/>
  <c r="FJ4" i="23"/>
  <c r="FK4" i="23"/>
  <c r="FL4" i="23"/>
  <c r="FM4" i="23"/>
  <c r="FN4" i="23"/>
  <c r="FO4" i="23"/>
  <c r="FP4" i="23"/>
  <c r="FQ4" i="23"/>
  <c r="FR4" i="23"/>
  <c r="FS4" i="23"/>
  <c r="FT4" i="23"/>
  <c r="FU4" i="23"/>
  <c r="FV4" i="23"/>
  <c r="FW4" i="23"/>
  <c r="FX4" i="23"/>
  <c r="FY4" i="23"/>
  <c r="FZ4" i="23"/>
  <c r="GA4" i="23"/>
  <c r="GB4" i="23"/>
  <c r="GC4" i="23"/>
  <c r="GD4" i="23"/>
  <c r="GE4" i="23"/>
  <c r="GF4" i="23"/>
  <c r="GG4" i="23"/>
  <c r="GH4" i="23"/>
  <c r="GI4" i="23"/>
  <c r="GJ4" i="23"/>
  <c r="GK4" i="23"/>
  <c r="GL4" i="23"/>
  <c r="GM4" i="23"/>
  <c r="GN4" i="23"/>
  <c r="GO4" i="23"/>
  <c r="GP4" i="23"/>
  <c r="GQ4" i="23"/>
  <c r="GR4" i="23"/>
  <c r="GS4" i="23"/>
  <c r="GT4" i="23"/>
  <c r="GU4" i="23"/>
  <c r="GV4" i="23"/>
  <c r="GW4" i="23"/>
  <c r="GX4" i="23"/>
  <c r="GY4" i="23"/>
  <c r="GZ4" i="23"/>
  <c r="HA4" i="23"/>
  <c r="HB4" i="23"/>
  <c r="HC4" i="23"/>
  <c r="HD4" i="23"/>
  <c r="HE4" i="23"/>
  <c r="HF4" i="23"/>
  <c r="HG4" i="23"/>
  <c r="HH4" i="23"/>
  <c r="HI4" i="23"/>
  <c r="HJ4" i="23"/>
  <c r="HK4" i="23"/>
  <c r="HL4" i="23"/>
  <c r="HM4" i="23"/>
  <c r="HN4" i="23"/>
  <c r="HO4" i="23"/>
  <c r="HP4" i="23"/>
  <c r="HQ4" i="23"/>
  <c r="HR4" i="23"/>
  <c r="HS4" i="23"/>
  <c r="HT4" i="23"/>
  <c r="HU4" i="23"/>
  <c r="HV4" i="23"/>
  <c r="HW4" i="23"/>
  <c r="HX4" i="23"/>
  <c r="HY4" i="23"/>
  <c r="HZ4" i="23"/>
  <c r="IA4" i="23"/>
  <c r="IB4" i="23"/>
  <c r="IC4" i="23"/>
  <c r="ID4" i="23"/>
  <c r="IE4" i="23"/>
  <c r="IF4" i="23"/>
  <c r="IG4" i="23"/>
  <c r="IH4" i="23"/>
  <c r="II4" i="23"/>
  <c r="IJ4" i="23"/>
  <c r="IK4" i="23"/>
  <c r="IL4" i="23"/>
  <c r="IM4" i="23"/>
  <c r="IN4" i="23"/>
  <c r="IO4" i="23"/>
  <c r="IP4" i="23"/>
  <c r="IQ4" i="23"/>
  <c r="IR4" i="23"/>
  <c r="IS4" i="23"/>
  <c r="IT4" i="23"/>
  <c r="IU4" i="23"/>
  <c r="IV4" i="23"/>
  <c r="A3" i="23"/>
  <c r="B3" i="23"/>
  <c r="C3" i="23"/>
  <c r="D3" i="23"/>
  <c r="E3" i="23"/>
  <c r="F3" i="23"/>
  <c r="G3" i="23"/>
  <c r="H3" i="23"/>
  <c r="I3" i="23"/>
  <c r="J3" i="23"/>
  <c r="K3" i="23"/>
  <c r="L3" i="23"/>
  <c r="M3" i="23"/>
  <c r="N3" i="23"/>
  <c r="O3" i="23"/>
  <c r="P3" i="23"/>
  <c r="Q3" i="23"/>
  <c r="R3" i="23"/>
  <c r="S3" i="23"/>
  <c r="T3" i="23"/>
  <c r="U3" i="23"/>
  <c r="V3" i="23"/>
  <c r="W3" i="23"/>
  <c r="X3" i="23"/>
  <c r="Y3" i="23"/>
  <c r="Z3" i="23"/>
  <c r="AA3" i="23"/>
  <c r="AB3" i="23"/>
  <c r="AC3" i="23"/>
  <c r="AD3" i="23"/>
  <c r="AE3" i="23"/>
  <c r="AF3" i="23"/>
  <c r="AG3" i="23"/>
  <c r="AH3" i="23"/>
  <c r="AI3" i="23"/>
  <c r="AJ3" i="23"/>
  <c r="AK3" i="23"/>
  <c r="AL3" i="23"/>
  <c r="AM3" i="23"/>
  <c r="AN3" i="23"/>
  <c r="AO3" i="23"/>
  <c r="AP3" i="23"/>
  <c r="AQ3" i="23"/>
  <c r="AR3" i="23"/>
  <c r="AS3" i="23"/>
  <c r="AT3" i="23"/>
  <c r="AU3" i="23"/>
  <c r="AV3" i="23"/>
  <c r="AW3" i="23"/>
  <c r="AX3" i="23"/>
  <c r="AY3" i="23"/>
  <c r="AZ3" i="23"/>
  <c r="BA3" i="23"/>
  <c r="BB3" i="23"/>
  <c r="BC3" i="23"/>
  <c r="BD3" i="23"/>
  <c r="BE3" i="23"/>
  <c r="BF3" i="23"/>
  <c r="BG3" i="23"/>
  <c r="BH3" i="23"/>
  <c r="BI3" i="23"/>
  <c r="BJ3" i="23"/>
  <c r="BK3" i="23"/>
  <c r="BL3" i="23"/>
  <c r="BM3" i="23"/>
  <c r="BN3" i="23"/>
  <c r="BO3" i="23"/>
  <c r="BP3" i="23"/>
  <c r="BQ3" i="23"/>
  <c r="BR3" i="23"/>
  <c r="BS3" i="23"/>
  <c r="BT3" i="23"/>
  <c r="BU3" i="23"/>
  <c r="BV3" i="23"/>
  <c r="BW3" i="23"/>
  <c r="BX3" i="23"/>
  <c r="BY3" i="23"/>
  <c r="BZ3" i="23"/>
  <c r="CA3" i="23"/>
  <c r="CB3" i="23"/>
  <c r="CC3" i="23"/>
  <c r="CD3" i="23"/>
  <c r="CE3" i="23"/>
  <c r="CF3" i="23"/>
  <c r="CG3" i="23"/>
  <c r="CH3" i="23"/>
  <c r="CI3" i="23"/>
  <c r="CJ3" i="23"/>
  <c r="CK3" i="23"/>
  <c r="CL3" i="23"/>
  <c r="CM3" i="23"/>
  <c r="CN3" i="23"/>
  <c r="CO3" i="23"/>
  <c r="CP3" i="23"/>
  <c r="CQ3" i="23"/>
  <c r="CR3" i="23"/>
  <c r="CS3" i="23"/>
  <c r="CT3" i="23"/>
  <c r="CU3" i="23"/>
  <c r="CV3" i="23"/>
  <c r="CW3" i="23"/>
  <c r="CX3" i="23"/>
  <c r="CY3" i="23"/>
  <c r="CZ3" i="23"/>
  <c r="DA3" i="23"/>
  <c r="DB3" i="23"/>
  <c r="DC3" i="23"/>
  <c r="DD3" i="23"/>
  <c r="DE3" i="23"/>
  <c r="DF3" i="23"/>
  <c r="DG3" i="23"/>
  <c r="DH3" i="23"/>
  <c r="DI3" i="23"/>
  <c r="DJ3" i="23"/>
  <c r="DK3" i="23"/>
  <c r="DL3" i="23"/>
  <c r="DM3" i="23"/>
  <c r="DN3" i="23"/>
  <c r="DO3" i="23"/>
  <c r="DP3" i="23"/>
  <c r="DQ3" i="23"/>
  <c r="DR3" i="23"/>
  <c r="DS3" i="23"/>
  <c r="DT3" i="23"/>
  <c r="DU3" i="23"/>
  <c r="DV3" i="23"/>
  <c r="DW3" i="23"/>
  <c r="DX3" i="23"/>
  <c r="DY3" i="23"/>
  <c r="DZ3" i="23"/>
  <c r="EA3" i="23"/>
  <c r="EB3" i="23"/>
  <c r="EC3" i="23"/>
  <c r="ED3" i="23"/>
  <c r="EE3" i="23"/>
  <c r="EF3" i="23"/>
  <c r="EG3" i="23"/>
  <c r="EH3" i="23"/>
  <c r="EI3" i="23"/>
  <c r="EJ3" i="23"/>
  <c r="EK3" i="23"/>
  <c r="EL3" i="23"/>
  <c r="EM3" i="23"/>
  <c r="EN3" i="23"/>
  <c r="EO3" i="23"/>
  <c r="EP3" i="23"/>
  <c r="EQ3" i="23"/>
  <c r="ER3" i="23"/>
  <c r="ES3" i="23"/>
  <c r="ET3" i="23"/>
  <c r="EU3" i="23"/>
  <c r="EV3" i="23"/>
  <c r="EW3" i="23"/>
  <c r="EX3" i="23"/>
  <c r="EY3" i="23"/>
  <c r="EZ3" i="23"/>
  <c r="FA3" i="23"/>
  <c r="FB3" i="23"/>
  <c r="FC3" i="23"/>
  <c r="FD3" i="23"/>
  <c r="FE3" i="23"/>
  <c r="FF3" i="23"/>
  <c r="FG3" i="23"/>
  <c r="FH3" i="23"/>
  <c r="FI3" i="23"/>
  <c r="FJ3" i="23"/>
  <c r="FK3" i="23"/>
  <c r="FL3" i="23"/>
  <c r="FM3" i="23"/>
  <c r="FN3" i="23"/>
  <c r="FO3" i="23"/>
  <c r="FP3" i="23"/>
  <c r="FQ3" i="23"/>
  <c r="FR3" i="23"/>
  <c r="FS3" i="23"/>
  <c r="FT3" i="23"/>
  <c r="FU3" i="23"/>
  <c r="FV3" i="23"/>
  <c r="FW3" i="23"/>
  <c r="FX3" i="23"/>
  <c r="FY3" i="23"/>
  <c r="FZ3" i="23"/>
  <c r="GA3" i="23"/>
  <c r="GB3" i="23"/>
  <c r="GC3" i="23"/>
  <c r="GD3" i="23"/>
  <c r="GE3" i="23"/>
  <c r="GF3" i="23"/>
  <c r="GG3" i="23"/>
  <c r="GH3" i="23"/>
  <c r="GI3" i="23"/>
  <c r="GJ3" i="23"/>
  <c r="GK3" i="23"/>
  <c r="GL3" i="23"/>
  <c r="GM3" i="23"/>
  <c r="GN3" i="23"/>
  <c r="GO3" i="23"/>
  <c r="GP3" i="23"/>
  <c r="GQ3" i="23"/>
  <c r="GR3" i="23"/>
  <c r="GS3" i="23"/>
  <c r="GT3" i="23"/>
  <c r="GU3" i="23"/>
  <c r="GV3" i="23"/>
  <c r="GW3" i="23"/>
  <c r="GX3" i="23"/>
  <c r="GY3" i="23"/>
  <c r="GZ3" i="23"/>
  <c r="HA3" i="23"/>
  <c r="HB3" i="23"/>
  <c r="HC3" i="23"/>
  <c r="HD3" i="23"/>
  <c r="HE3" i="23"/>
  <c r="HF3" i="23"/>
  <c r="HG3" i="23"/>
  <c r="HH3" i="23"/>
  <c r="HI3" i="23"/>
  <c r="HJ3" i="23"/>
  <c r="HK3" i="23"/>
  <c r="HL3" i="23"/>
  <c r="HM3" i="23"/>
  <c r="HN3" i="23"/>
  <c r="HO3" i="23"/>
  <c r="HP3" i="23"/>
  <c r="HQ3" i="23"/>
  <c r="HR3" i="23"/>
  <c r="HS3" i="23"/>
  <c r="HT3" i="23"/>
  <c r="HU3" i="23"/>
  <c r="HV3" i="23"/>
  <c r="HW3" i="23"/>
  <c r="HX3" i="23"/>
  <c r="HY3" i="23"/>
  <c r="HZ3" i="23"/>
  <c r="IA3" i="23"/>
  <c r="IB3" i="23"/>
  <c r="IC3" i="23"/>
  <c r="ID3" i="23"/>
  <c r="IE3" i="23"/>
  <c r="IF3" i="23"/>
  <c r="IG3" i="23"/>
  <c r="IH3" i="23"/>
  <c r="II3" i="23"/>
  <c r="IJ3" i="23"/>
  <c r="IK3" i="23"/>
  <c r="IL3" i="23"/>
  <c r="IM3" i="23"/>
  <c r="IN3" i="23"/>
  <c r="IO3" i="23"/>
  <c r="IP3" i="23"/>
  <c r="IQ3" i="23"/>
  <c r="IR3" i="23"/>
  <c r="IS3" i="23"/>
  <c r="IT3" i="23"/>
  <c r="IU3" i="23"/>
  <c r="IV3" i="23"/>
  <c r="A2" i="23"/>
  <c r="B2" i="23"/>
  <c r="C2" i="23"/>
  <c r="D2" i="23"/>
  <c r="E2" i="23"/>
  <c r="F2" i="23"/>
  <c r="G2" i="23"/>
  <c r="H2" i="23"/>
  <c r="I2" i="23"/>
  <c r="J2" i="23"/>
  <c r="K2" i="23"/>
  <c r="L2" i="23"/>
  <c r="M2" i="23"/>
  <c r="N2" i="23"/>
  <c r="O2" i="23"/>
  <c r="P2" i="23"/>
  <c r="Q2" i="23"/>
  <c r="R2" i="23"/>
  <c r="S2" i="23"/>
  <c r="T2" i="23"/>
  <c r="U2" i="23"/>
  <c r="V2" i="23"/>
  <c r="W2" i="23"/>
  <c r="X2" i="23"/>
  <c r="Y2" i="23"/>
  <c r="Z2" i="23"/>
  <c r="AA2" i="23"/>
  <c r="AB2" i="23"/>
  <c r="AC2" i="23"/>
  <c r="AD2" i="23"/>
  <c r="AE2" i="23"/>
  <c r="AF2" i="23"/>
  <c r="AG2" i="23"/>
  <c r="AH2" i="23"/>
  <c r="AI2" i="23"/>
  <c r="AJ2" i="23"/>
  <c r="AK2" i="23"/>
  <c r="AL2" i="23"/>
  <c r="AM2" i="23"/>
  <c r="AN2" i="23"/>
  <c r="AO2" i="23"/>
  <c r="AP2" i="23"/>
  <c r="AQ2" i="23"/>
  <c r="AR2" i="23"/>
  <c r="AS2" i="23"/>
  <c r="AT2" i="23"/>
  <c r="AU2" i="23"/>
  <c r="AV2" i="23"/>
  <c r="AW2" i="23"/>
  <c r="AX2" i="23"/>
  <c r="AY2" i="23"/>
  <c r="AZ2" i="23"/>
  <c r="BA2" i="23"/>
  <c r="BB2" i="23"/>
  <c r="BC2" i="23"/>
  <c r="BD2" i="23"/>
  <c r="BE2" i="23"/>
  <c r="BF2" i="23"/>
  <c r="BG2" i="23"/>
  <c r="BH2" i="23"/>
  <c r="BI2" i="23"/>
  <c r="BJ2" i="23"/>
  <c r="BK2" i="23"/>
  <c r="BL2" i="23"/>
  <c r="BM2" i="23"/>
  <c r="BN2" i="23"/>
  <c r="BO2" i="23"/>
  <c r="BP2" i="23"/>
  <c r="BQ2" i="23"/>
  <c r="BR2" i="23"/>
  <c r="BS2" i="23"/>
  <c r="BT2" i="23"/>
  <c r="BU2" i="23"/>
  <c r="BV2" i="23"/>
  <c r="BW2" i="23"/>
  <c r="BX2" i="23"/>
  <c r="BY2" i="23"/>
  <c r="BZ2" i="23"/>
  <c r="CA2" i="23"/>
  <c r="CB2" i="23"/>
  <c r="CC2" i="23"/>
  <c r="CD2" i="23"/>
  <c r="CE2" i="23"/>
  <c r="CF2" i="23"/>
  <c r="CG2" i="23"/>
  <c r="CH2" i="23"/>
  <c r="CI2" i="23"/>
  <c r="CJ2" i="23"/>
  <c r="CK2" i="23"/>
  <c r="CL2" i="23"/>
  <c r="CM2" i="23"/>
  <c r="CN2" i="23"/>
  <c r="CO2" i="23"/>
  <c r="CP2" i="23"/>
  <c r="CQ2" i="23"/>
  <c r="CR2" i="23"/>
  <c r="CS2" i="23"/>
  <c r="CT2" i="23"/>
  <c r="CU2" i="23"/>
  <c r="CV2" i="23"/>
  <c r="CW2" i="23"/>
  <c r="CX2" i="23"/>
  <c r="CY2" i="23"/>
  <c r="CZ2" i="23"/>
  <c r="DA2" i="23"/>
  <c r="DB2" i="23"/>
  <c r="DC2" i="23"/>
  <c r="DD2" i="23"/>
  <c r="DE2" i="23"/>
  <c r="DF2" i="23"/>
  <c r="DG2" i="23"/>
  <c r="DH2" i="23"/>
  <c r="DI2" i="23"/>
  <c r="DJ2" i="23"/>
  <c r="DK2" i="23"/>
  <c r="DL2" i="23"/>
  <c r="DM2" i="23"/>
  <c r="DN2" i="23"/>
  <c r="DO2" i="23"/>
  <c r="DP2" i="23"/>
  <c r="DQ2" i="23"/>
  <c r="DR2" i="23"/>
  <c r="DS2" i="23"/>
  <c r="DT2" i="23"/>
  <c r="DU2" i="23"/>
  <c r="DV2" i="23"/>
  <c r="DW2" i="23"/>
  <c r="DX2" i="23"/>
  <c r="DY2" i="23"/>
  <c r="DZ2" i="23"/>
  <c r="EA2" i="23"/>
  <c r="EB2" i="23"/>
  <c r="EC2" i="23"/>
  <c r="ED2" i="23"/>
  <c r="EE2" i="23"/>
  <c r="EF2" i="23"/>
  <c r="EG2" i="23"/>
  <c r="EH2" i="23"/>
  <c r="EI2" i="23"/>
  <c r="EJ2" i="23"/>
  <c r="EK2" i="23"/>
  <c r="EL2" i="23"/>
  <c r="EM2" i="23"/>
  <c r="EN2" i="23"/>
  <c r="EO2" i="23"/>
  <c r="EP2" i="23"/>
  <c r="EQ2" i="23"/>
  <c r="ER2" i="23"/>
  <c r="ES2" i="23"/>
  <c r="ET2" i="23"/>
  <c r="EU2" i="23"/>
  <c r="EV2" i="23"/>
  <c r="EW2" i="23"/>
  <c r="EX2" i="23"/>
  <c r="EY2" i="23"/>
  <c r="EZ2" i="23"/>
  <c r="FA2" i="23"/>
  <c r="FB2" i="23"/>
  <c r="FC2" i="23"/>
  <c r="FD2" i="23"/>
  <c r="FE2" i="23"/>
  <c r="FF2" i="23"/>
  <c r="FG2" i="23"/>
  <c r="FH2" i="23"/>
  <c r="FI2" i="23"/>
  <c r="FJ2" i="23"/>
  <c r="FK2" i="23"/>
  <c r="FL2" i="23"/>
  <c r="FM2" i="23"/>
  <c r="FN2" i="23"/>
  <c r="FO2" i="23"/>
  <c r="FP2" i="23"/>
  <c r="FQ2" i="23"/>
  <c r="FR2" i="23"/>
  <c r="FS2" i="23"/>
  <c r="FT2" i="23"/>
  <c r="FU2" i="23"/>
  <c r="FV2" i="23"/>
  <c r="FW2" i="23"/>
  <c r="FX2" i="23"/>
  <c r="FY2" i="23"/>
  <c r="FZ2" i="23"/>
  <c r="GA2" i="23"/>
  <c r="GB2" i="23"/>
  <c r="GC2" i="23"/>
  <c r="GD2" i="23"/>
  <c r="GE2" i="23"/>
  <c r="GF2" i="23"/>
  <c r="GG2" i="23"/>
  <c r="GH2" i="23"/>
  <c r="GI2" i="23"/>
  <c r="GJ2" i="23"/>
  <c r="GK2" i="23"/>
  <c r="GL2" i="23"/>
  <c r="GM2" i="23"/>
  <c r="GN2" i="23"/>
  <c r="GO2" i="23"/>
  <c r="GP2" i="23"/>
  <c r="GQ2" i="23"/>
  <c r="GR2" i="23"/>
  <c r="GS2" i="23"/>
  <c r="GT2" i="23"/>
  <c r="GU2" i="23"/>
  <c r="GV2" i="23"/>
  <c r="GW2" i="23"/>
  <c r="GX2" i="23"/>
  <c r="GY2" i="23"/>
  <c r="GZ2" i="23"/>
  <c r="HA2" i="23"/>
  <c r="HB2" i="23"/>
  <c r="HC2" i="23"/>
  <c r="HD2" i="23"/>
  <c r="HE2" i="23"/>
  <c r="HF2" i="23"/>
  <c r="HG2" i="23"/>
  <c r="HH2" i="23"/>
  <c r="HI2" i="23"/>
  <c r="HJ2" i="23"/>
  <c r="HK2" i="23"/>
  <c r="HL2" i="23"/>
  <c r="HM2" i="23"/>
  <c r="HN2" i="23"/>
  <c r="HO2" i="23"/>
  <c r="HP2" i="23"/>
  <c r="HQ2" i="23"/>
  <c r="HR2" i="23"/>
  <c r="HS2" i="23"/>
  <c r="HT2" i="23"/>
  <c r="HU2" i="23"/>
  <c r="HV2" i="23"/>
  <c r="HW2" i="23"/>
  <c r="HX2" i="23"/>
  <c r="HY2" i="23"/>
  <c r="HZ2" i="23"/>
  <c r="IA2" i="23"/>
  <c r="IB2" i="23"/>
  <c r="IC2" i="23"/>
  <c r="ID2" i="23"/>
  <c r="IE2" i="23"/>
  <c r="IF2" i="23"/>
  <c r="IG2" i="23"/>
  <c r="IH2" i="23"/>
  <c r="II2" i="23"/>
  <c r="IJ2" i="23"/>
  <c r="IK2" i="23"/>
  <c r="IL2" i="23"/>
  <c r="IM2" i="23"/>
  <c r="IN2" i="23"/>
  <c r="IO2" i="23"/>
  <c r="IP2" i="23"/>
  <c r="IQ2" i="23"/>
  <c r="IR2" i="23"/>
  <c r="IS2" i="23"/>
  <c r="IT2" i="23"/>
  <c r="IU2" i="23"/>
  <c r="IV2" i="23"/>
  <c r="A1" i="23"/>
  <c r="B1" i="23"/>
  <c r="C1" i="23"/>
  <c r="D1" i="23"/>
  <c r="E1" i="23"/>
  <c r="F1" i="23"/>
  <c r="G1" i="23"/>
  <c r="H1" i="23"/>
  <c r="I1" i="23"/>
  <c r="J1" i="23"/>
  <c r="K1" i="23"/>
  <c r="L1" i="23"/>
  <c r="M1" i="23"/>
  <c r="N1" i="23"/>
  <c r="O1" i="23"/>
  <c r="P1" i="23"/>
  <c r="Q1" i="23"/>
  <c r="R1" i="23"/>
  <c r="S1" i="23"/>
  <c r="T1" i="23"/>
  <c r="U1" i="23"/>
  <c r="V1" i="23"/>
  <c r="W1" i="23"/>
  <c r="X1" i="23"/>
  <c r="Y1" i="23"/>
  <c r="Z1" i="23"/>
  <c r="AA1" i="23"/>
  <c r="AB1" i="23"/>
  <c r="AC1" i="23"/>
  <c r="AD1" i="23"/>
  <c r="AE1" i="23"/>
  <c r="AF1" i="23"/>
  <c r="AG1" i="23"/>
  <c r="AH1" i="23"/>
  <c r="AI1" i="23"/>
  <c r="AJ1" i="23"/>
  <c r="AK1" i="23"/>
  <c r="AL1" i="23"/>
  <c r="AM1" i="23"/>
  <c r="AN1" i="23"/>
  <c r="AO1" i="23"/>
  <c r="AP1" i="23"/>
  <c r="AQ1" i="23"/>
  <c r="AR1" i="23"/>
  <c r="AS1" i="23"/>
  <c r="AT1" i="23"/>
  <c r="AU1" i="23"/>
  <c r="AV1" i="23"/>
  <c r="AW1" i="23"/>
  <c r="AX1" i="23"/>
  <c r="AY1" i="23"/>
  <c r="AZ1" i="23"/>
  <c r="BA1" i="23"/>
  <c r="BB1" i="23"/>
  <c r="BC1" i="23"/>
  <c r="BD1" i="23"/>
  <c r="BE1" i="23"/>
  <c r="BF1" i="23"/>
  <c r="BG1" i="23"/>
  <c r="BH1" i="23"/>
  <c r="BI1" i="23"/>
  <c r="BJ1" i="23"/>
  <c r="BK1" i="23"/>
  <c r="BL1" i="23"/>
  <c r="BM1" i="23"/>
  <c r="BN1" i="23"/>
  <c r="BO1" i="23"/>
  <c r="BP1" i="23"/>
  <c r="BQ1" i="23"/>
  <c r="BR1" i="23"/>
  <c r="BS1" i="23"/>
  <c r="BT1" i="23"/>
  <c r="BU1" i="23"/>
  <c r="BV1" i="23"/>
  <c r="BW1" i="23"/>
  <c r="BX1" i="23"/>
  <c r="BY1" i="23"/>
  <c r="BZ1" i="23"/>
  <c r="CA1" i="23"/>
  <c r="CB1" i="23"/>
  <c r="CC1" i="23"/>
  <c r="CD1" i="23"/>
  <c r="CE1" i="23"/>
  <c r="CF1" i="23"/>
  <c r="CG1" i="23"/>
  <c r="CH1" i="23"/>
  <c r="CI1" i="23"/>
  <c r="CJ1" i="23"/>
  <c r="CK1" i="23"/>
  <c r="CL1" i="23"/>
  <c r="CM1" i="23"/>
  <c r="CN1" i="23"/>
  <c r="CO1" i="23"/>
  <c r="CP1" i="23"/>
  <c r="CQ1" i="23"/>
  <c r="CR1" i="23"/>
  <c r="CS1" i="23"/>
  <c r="CT1" i="23"/>
  <c r="CU1" i="23"/>
  <c r="CV1" i="23"/>
  <c r="CW1" i="23"/>
  <c r="CX1" i="23"/>
  <c r="CY1" i="23"/>
  <c r="CZ1" i="23"/>
  <c r="DA1" i="23"/>
  <c r="DB1" i="23"/>
  <c r="DC1" i="23"/>
  <c r="DD1" i="23"/>
  <c r="DE1" i="23"/>
  <c r="DF1" i="23"/>
  <c r="DG1" i="23"/>
  <c r="DH1" i="23"/>
  <c r="DI1" i="23"/>
  <c r="DJ1" i="23"/>
  <c r="DK1" i="23"/>
  <c r="DL1" i="23"/>
  <c r="DM1" i="23"/>
  <c r="DN1" i="23"/>
  <c r="DO1" i="23"/>
  <c r="DP1" i="23"/>
  <c r="DQ1" i="23"/>
  <c r="DR1" i="23"/>
  <c r="DS1" i="23"/>
  <c r="DT1" i="23"/>
  <c r="DU1" i="23"/>
  <c r="DV1" i="23"/>
  <c r="DW1" i="23"/>
  <c r="DX1" i="23"/>
  <c r="DY1" i="23"/>
  <c r="DZ1" i="23"/>
  <c r="EA1" i="23"/>
  <c r="EB1" i="23"/>
  <c r="EC1" i="23"/>
  <c r="ED1" i="23"/>
  <c r="EE1" i="23"/>
  <c r="EF1" i="23"/>
  <c r="EG1" i="23"/>
  <c r="EH1" i="23"/>
  <c r="EI1" i="23"/>
  <c r="EJ1" i="23"/>
  <c r="EK1" i="23"/>
  <c r="EL1" i="23"/>
  <c r="EM1" i="23"/>
  <c r="EN1" i="23"/>
  <c r="EO1" i="23"/>
  <c r="EP1" i="23"/>
  <c r="EQ1" i="23"/>
  <c r="ER1" i="23"/>
  <c r="ES1" i="23"/>
  <c r="ET1" i="23"/>
  <c r="EU1" i="23"/>
  <c r="EV1" i="23"/>
  <c r="EW1" i="23"/>
  <c r="EX1" i="23"/>
  <c r="EY1" i="23"/>
  <c r="EZ1" i="23"/>
  <c r="FA1" i="23"/>
  <c r="FB1" i="23"/>
  <c r="FC1" i="23"/>
  <c r="FD1" i="23"/>
  <c r="FE1" i="23"/>
  <c r="FF1" i="23"/>
  <c r="FG1" i="23"/>
  <c r="FH1" i="23"/>
  <c r="FI1" i="23"/>
  <c r="FJ1" i="23"/>
  <c r="FK1" i="23"/>
  <c r="FL1" i="23"/>
  <c r="FM1" i="23"/>
  <c r="FN1" i="23"/>
  <c r="FO1" i="23"/>
  <c r="FP1" i="23"/>
  <c r="FQ1" i="23"/>
  <c r="FR1" i="23"/>
  <c r="FS1" i="23"/>
  <c r="FT1" i="23"/>
  <c r="FU1" i="23"/>
  <c r="FV1" i="23"/>
  <c r="FW1" i="23"/>
  <c r="FX1" i="23"/>
  <c r="FY1" i="23"/>
  <c r="FZ1" i="23"/>
  <c r="GA1" i="23"/>
  <c r="GB1" i="23"/>
  <c r="GC1" i="23"/>
  <c r="GD1" i="23"/>
  <c r="GE1" i="23"/>
  <c r="GF1" i="23"/>
  <c r="GG1" i="23"/>
  <c r="GH1" i="23"/>
  <c r="GI1" i="23"/>
  <c r="GJ1" i="23"/>
  <c r="GK1" i="23"/>
  <c r="GL1" i="23"/>
  <c r="GM1" i="23"/>
  <c r="GN1" i="23"/>
  <c r="GO1" i="23"/>
  <c r="GP1" i="23"/>
  <c r="GQ1" i="23"/>
  <c r="GR1" i="23"/>
  <c r="GS1" i="23"/>
  <c r="GT1" i="23"/>
  <c r="GU1" i="23"/>
  <c r="GV1" i="23"/>
  <c r="GW1" i="23"/>
  <c r="GX1" i="23"/>
  <c r="GY1" i="23"/>
  <c r="GZ1" i="23"/>
  <c r="HA1" i="23"/>
  <c r="HB1" i="23"/>
  <c r="HC1" i="23"/>
  <c r="HD1" i="23"/>
  <c r="HE1" i="23"/>
  <c r="HF1" i="23"/>
  <c r="HG1" i="23"/>
  <c r="HH1" i="23"/>
  <c r="HI1" i="23"/>
  <c r="HJ1" i="23"/>
  <c r="HK1" i="23"/>
  <c r="HL1" i="23"/>
  <c r="HM1" i="23"/>
  <c r="HN1" i="23"/>
  <c r="HO1" i="23"/>
  <c r="HP1" i="23"/>
  <c r="HQ1" i="23"/>
  <c r="HR1" i="23"/>
  <c r="HS1" i="23"/>
  <c r="HT1" i="23"/>
  <c r="HU1" i="23"/>
  <c r="HV1" i="23"/>
  <c r="HW1" i="23"/>
  <c r="HX1" i="23"/>
  <c r="HY1" i="23"/>
  <c r="HZ1" i="23"/>
  <c r="IA1" i="23"/>
  <c r="IB1" i="23"/>
  <c r="IC1" i="23"/>
  <c r="ID1" i="23"/>
  <c r="IE1" i="23"/>
  <c r="IF1" i="23"/>
  <c r="IG1" i="23"/>
  <c r="IH1" i="23"/>
  <c r="II1" i="23"/>
  <c r="IJ1" i="23"/>
  <c r="IK1" i="23"/>
  <c r="IL1" i="23"/>
  <c r="IM1" i="23"/>
  <c r="IN1" i="23"/>
  <c r="IO1" i="23"/>
  <c r="IP1" i="23"/>
  <c r="IQ1" i="23"/>
  <c r="IR1" i="23"/>
  <c r="IS1" i="23"/>
  <c r="IT1" i="23"/>
  <c r="IU1" i="23"/>
  <c r="IV1" i="23"/>
  <c r="G10" i="14"/>
  <c r="I10" i="14" s="1"/>
  <c r="G11" i="14"/>
  <c r="I11" i="14" s="1"/>
  <c r="G12" i="14"/>
  <c r="I12" i="14" s="1"/>
  <c r="G13" i="14"/>
  <c r="I13" i="14" s="1"/>
  <c r="G14" i="14"/>
  <c r="I14" i="14" s="1"/>
  <c r="G15" i="14"/>
  <c r="I15" i="14" s="1"/>
  <c r="G16" i="14"/>
  <c r="I16" i="14" s="1"/>
  <c r="G17" i="14"/>
  <c r="G18" i="14"/>
  <c r="I18" i="14" s="1"/>
  <c r="G19" i="14"/>
  <c r="I19" i="14" s="1"/>
  <c r="G20" i="14"/>
  <c r="I20" i="14" s="1"/>
  <c r="G21" i="14"/>
  <c r="I21" i="14" s="1"/>
  <c r="G22" i="14"/>
  <c r="I22" i="14" s="1"/>
  <c r="G23" i="14"/>
  <c r="G24" i="14"/>
  <c r="I24" i="14" s="1"/>
  <c r="G25" i="14"/>
  <c r="I25" i="14" s="1"/>
  <c r="G26" i="14"/>
  <c r="I26" i="14" s="1"/>
  <c r="G27" i="14"/>
  <c r="I27" i="14" s="1"/>
  <c r="G28" i="14"/>
  <c r="I28" i="14" s="1"/>
  <c r="G29" i="14"/>
  <c r="G30" i="14"/>
  <c r="G31" i="14"/>
  <c r="G32" i="14"/>
  <c r="I32" i="14" s="1"/>
  <c r="G33" i="14"/>
  <c r="G34" i="14"/>
  <c r="G35" i="14"/>
  <c r="G36" i="14"/>
  <c r="I36" i="14" s="1"/>
  <c r="G37" i="14"/>
  <c r="G38" i="14"/>
  <c r="G39" i="14"/>
  <c r="G40" i="14"/>
  <c r="I40" i="14" s="1"/>
  <c r="G41" i="14"/>
  <c r="G42" i="14"/>
  <c r="G43" i="14"/>
  <c r="I43" i="14" s="1"/>
  <c r="G44" i="14"/>
  <c r="I44" i="14" s="1"/>
  <c r="G45" i="14"/>
  <c r="I45" i="14" s="1"/>
  <c r="G46" i="14"/>
  <c r="I46" i="14" s="1"/>
  <c r="G47" i="14"/>
  <c r="I47" i="14" s="1"/>
  <c r="G48" i="14"/>
  <c r="I48" i="14" s="1"/>
  <c r="G49" i="14"/>
  <c r="I49" i="14" s="1"/>
  <c r="G50" i="14"/>
  <c r="I50" i="14" s="1"/>
  <c r="G51" i="14"/>
  <c r="I51" i="14" s="1"/>
  <c r="G52" i="14"/>
  <c r="I52" i="14" s="1"/>
  <c r="G53" i="14"/>
  <c r="I53" i="14" s="1"/>
  <c r="G54" i="14"/>
  <c r="I54" i="14" s="1"/>
  <c r="G55" i="14"/>
  <c r="I55" i="14" s="1"/>
  <c r="G56" i="14"/>
  <c r="I56" i="14" s="1"/>
  <c r="G57" i="14"/>
  <c r="I57" i="14" s="1"/>
  <c r="G58" i="14"/>
  <c r="I58" i="14" s="1"/>
  <c r="G59" i="14"/>
  <c r="I59" i="14" s="1"/>
  <c r="G60" i="14"/>
  <c r="I60" i="14" s="1"/>
  <c r="G61" i="14"/>
  <c r="I61" i="14" s="1"/>
  <c r="G62" i="14"/>
  <c r="I62" i="14" s="1"/>
  <c r="G63" i="14"/>
  <c r="I63" i="14" s="1"/>
  <c r="G64" i="14"/>
  <c r="I64" i="14" s="1"/>
  <c r="G65" i="14"/>
  <c r="I65" i="14" s="1"/>
  <c r="G66" i="14"/>
  <c r="I66" i="14" s="1"/>
  <c r="G67" i="14"/>
  <c r="I67" i="14" s="1"/>
  <c r="G68" i="14"/>
  <c r="I68" i="14" s="1"/>
  <c r="G69" i="14"/>
  <c r="I69" i="14" s="1"/>
  <c r="G70" i="14"/>
  <c r="I70" i="14" s="1"/>
  <c r="G71" i="14"/>
  <c r="I71" i="14" s="1"/>
  <c r="G72" i="14"/>
  <c r="I72" i="14" s="1"/>
  <c r="G73" i="14"/>
  <c r="I73" i="14" s="1"/>
  <c r="G74" i="14"/>
  <c r="I74" i="14" s="1"/>
  <c r="G75" i="14"/>
  <c r="I75" i="14" s="1"/>
  <c r="G76" i="14"/>
  <c r="I76" i="14" s="1"/>
  <c r="G77" i="14"/>
  <c r="I77" i="14" s="1"/>
  <c r="G78" i="14"/>
  <c r="I78" i="14" s="1"/>
  <c r="G79" i="14"/>
  <c r="I79" i="14" s="1"/>
  <c r="G80" i="14"/>
  <c r="I80" i="14" s="1"/>
  <c r="G81" i="14"/>
  <c r="I81" i="14" s="1"/>
  <c r="G82" i="14"/>
  <c r="I82" i="14" s="1"/>
  <c r="G83" i="14"/>
  <c r="I83" i="14" s="1"/>
  <c r="G84" i="14"/>
  <c r="I84" i="14" s="1"/>
  <c r="G85" i="14"/>
  <c r="I85" i="14" s="1"/>
  <c r="G86" i="14"/>
  <c r="I86" i="14" s="1"/>
  <c r="G87" i="14"/>
  <c r="I87" i="14" s="1"/>
  <c r="G88" i="14"/>
  <c r="I88" i="14" s="1"/>
  <c r="G89" i="14"/>
  <c r="I89" i="14" s="1"/>
  <c r="G90" i="14"/>
  <c r="I90" i="14" s="1"/>
  <c r="G91" i="14"/>
  <c r="I91" i="14" s="1"/>
  <c r="G92" i="14"/>
  <c r="I92" i="14" s="1"/>
  <c r="G93" i="14"/>
  <c r="I93" i="14" s="1"/>
  <c r="G94" i="14"/>
  <c r="I94" i="14" s="1"/>
  <c r="G95" i="14"/>
  <c r="I95" i="14" s="1"/>
  <c r="G96" i="14"/>
  <c r="I96" i="14" s="1"/>
  <c r="G97" i="14"/>
  <c r="I97" i="14" s="1"/>
  <c r="G98" i="14"/>
  <c r="I98" i="14" s="1"/>
  <c r="G99" i="14"/>
  <c r="I99" i="14" s="1"/>
  <c r="G100" i="14"/>
  <c r="I100" i="14" s="1"/>
  <c r="G101" i="14"/>
  <c r="I101" i="14" s="1"/>
  <c r="G102" i="14"/>
  <c r="I102" i="14" s="1"/>
  <c r="G103" i="14"/>
  <c r="I103" i="14" s="1"/>
  <c r="G104" i="14"/>
  <c r="I104" i="14" s="1"/>
  <c r="G105" i="14"/>
  <c r="I105" i="14" s="1"/>
  <c r="G106" i="14"/>
  <c r="I106" i="14" s="1"/>
  <c r="G107" i="14"/>
  <c r="EQ107" i="23" s="1"/>
  <c r="G108" i="14"/>
  <c r="I108" i="14" s="1"/>
  <c r="G109" i="14"/>
  <c r="I109" i="14" s="1"/>
  <c r="G110" i="14"/>
  <c r="I110" i="14" s="1"/>
  <c r="G111" i="14"/>
  <c r="I111" i="14" s="1"/>
  <c r="G112" i="14"/>
  <c r="I112" i="14" s="1"/>
  <c r="G113" i="14"/>
  <c r="I113" i="14" s="1"/>
  <c r="G114" i="14"/>
  <c r="I114" i="14" s="1"/>
  <c r="G115" i="14"/>
  <c r="I115" i="14" s="1"/>
  <c r="G116" i="14"/>
  <c r="I116" i="14" s="1"/>
  <c r="G117" i="14"/>
  <c r="I117" i="14" s="1"/>
  <c r="G118" i="14"/>
  <c r="I118" i="14" s="1"/>
  <c r="G119" i="14"/>
  <c r="I119" i="14" s="1"/>
  <c r="G120" i="14"/>
  <c r="I120" i="14" s="1"/>
  <c r="G121" i="14"/>
  <c r="I121" i="14" s="1"/>
  <c r="G122" i="14"/>
  <c r="I122" i="14" s="1"/>
  <c r="G123" i="14"/>
  <c r="I123" i="14" s="1"/>
  <c r="G124" i="14"/>
  <c r="I124" i="14" s="1"/>
  <c r="G125" i="14"/>
  <c r="I125" i="14" s="1"/>
  <c r="I17" i="14"/>
  <c r="I23" i="14"/>
  <c r="I29" i="14"/>
  <c r="I30" i="14"/>
  <c r="I31" i="14"/>
  <c r="I33" i="14"/>
  <c r="I34" i="14"/>
  <c r="I35" i="14"/>
  <c r="I37" i="14"/>
  <c r="I38" i="14"/>
  <c r="I39" i="14"/>
  <c r="I41" i="14"/>
  <c r="I42" i="14"/>
  <c r="I107" i="14" l="1"/>
  <c r="ET107" i="23"/>
  <c r="N115" i="13"/>
  <c r="N116" i="13"/>
  <c r="N117" i="13"/>
  <c r="N118" i="13"/>
  <c r="N119" i="13"/>
  <c r="N120" i="13"/>
  <c r="N121" i="13"/>
  <c r="N122" i="13"/>
  <c r="N123" i="13"/>
  <c r="N124" i="13"/>
  <c r="N125" i="13"/>
  <c r="N126" i="13"/>
  <c r="N127" i="13"/>
  <c r="N128" i="13"/>
  <c r="N129" i="13"/>
  <c r="N130" i="13"/>
  <c r="N131" i="13"/>
  <c r="N132" i="13"/>
  <c r="N133" i="13"/>
  <c r="N134" i="13"/>
  <c r="N135" i="13"/>
  <c r="N136" i="13"/>
  <c r="N137" i="13"/>
  <c r="N138" i="13"/>
  <c r="N139" i="13"/>
  <c r="N140" i="13"/>
  <c r="N141" i="13"/>
  <c r="N142" i="13"/>
  <c r="N143" i="13"/>
  <c r="N144" i="13"/>
  <c r="N145" i="13"/>
  <c r="N146" i="13"/>
  <c r="N147" i="13"/>
  <c r="N148" i="13"/>
  <c r="N149" i="13"/>
  <c r="N150" i="13"/>
  <c r="N151" i="13"/>
  <c r="N152" i="13"/>
  <c r="N153" i="13"/>
  <c r="N154" i="13"/>
  <c r="N155" i="13"/>
  <c r="N156" i="13"/>
  <c r="N157" i="13"/>
  <c r="N158" i="13"/>
  <c r="N159" i="13"/>
  <c r="N160" i="13"/>
  <c r="N161" i="13"/>
  <c r="N162" i="13"/>
  <c r="N163" i="13"/>
  <c r="N164" i="13"/>
  <c r="N165" i="13"/>
  <c r="N166" i="13"/>
  <c r="N167" i="13"/>
  <c r="N168" i="13"/>
  <c r="N169" i="13"/>
  <c r="N170" i="13"/>
  <c r="N171" i="13"/>
  <c r="N172" i="13"/>
  <c r="N173" i="13"/>
  <c r="N174" i="13"/>
  <c r="N175" i="13"/>
  <c r="N176" i="13"/>
  <c r="N177" i="13"/>
  <c r="N178" i="13"/>
  <c r="N179" i="13"/>
  <c r="N180" i="13"/>
  <c r="N181" i="13"/>
  <c r="N182" i="13"/>
  <c r="N183" i="13"/>
  <c r="N184" i="13"/>
  <c r="N185" i="13"/>
  <c r="N186" i="13"/>
  <c r="N187" i="13"/>
  <c r="N188" i="13"/>
  <c r="N189" i="13"/>
  <c r="N190" i="13"/>
  <c r="N191" i="13"/>
  <c r="N192" i="13"/>
  <c r="N193" i="13"/>
  <c r="N194" i="13"/>
  <c r="N86" i="23" s="1"/>
  <c r="N195" i="13"/>
  <c r="N196" i="13"/>
  <c r="N197" i="13"/>
  <c r="N198" i="13"/>
  <c r="N199" i="13"/>
  <c r="N200" i="13"/>
  <c r="N201" i="13"/>
  <c r="M115" i="13"/>
  <c r="M116" i="13"/>
  <c r="M117" i="13"/>
  <c r="C119" i="14" s="1"/>
  <c r="E119" i="14" s="1"/>
  <c r="M118" i="13"/>
  <c r="M119" i="13"/>
  <c r="M120" i="13"/>
  <c r="M121" i="13"/>
  <c r="C123" i="14" s="1"/>
  <c r="E123" i="14" s="1"/>
  <c r="M122" i="13"/>
  <c r="M123" i="13"/>
  <c r="M124" i="13"/>
  <c r="M125" i="13"/>
  <c r="M126" i="13"/>
  <c r="M127" i="13"/>
  <c r="M128" i="13"/>
  <c r="M129" i="13"/>
  <c r="M130" i="13"/>
  <c r="M131" i="13"/>
  <c r="M132" i="13"/>
  <c r="M133" i="13"/>
  <c r="M134" i="13"/>
  <c r="M135" i="13"/>
  <c r="M136" i="13"/>
  <c r="M137" i="13"/>
  <c r="M138" i="13"/>
  <c r="M139" i="13"/>
  <c r="M140" i="13"/>
  <c r="M141" i="13"/>
  <c r="M142" i="13"/>
  <c r="M143" i="13"/>
  <c r="M144" i="13"/>
  <c r="M145" i="13"/>
  <c r="M146" i="13"/>
  <c r="M147" i="13"/>
  <c r="M148" i="13"/>
  <c r="M149" i="13"/>
  <c r="M150" i="13"/>
  <c r="M151" i="13"/>
  <c r="M152" i="13"/>
  <c r="M153" i="13"/>
  <c r="M154" i="13"/>
  <c r="M155" i="13"/>
  <c r="M156" i="13"/>
  <c r="M157" i="13"/>
  <c r="M158" i="13"/>
  <c r="M159" i="13"/>
  <c r="M160" i="13"/>
  <c r="M161" i="13"/>
  <c r="M162" i="13"/>
  <c r="M163" i="13"/>
  <c r="M164" i="13"/>
  <c r="M165" i="13"/>
  <c r="M166" i="13"/>
  <c r="M167" i="13"/>
  <c r="M168" i="13"/>
  <c r="M169" i="13"/>
  <c r="M170" i="13"/>
  <c r="M171" i="13"/>
  <c r="M172" i="13"/>
  <c r="M173" i="13"/>
  <c r="M174" i="13"/>
  <c r="M175" i="13"/>
  <c r="M176" i="13"/>
  <c r="M177" i="13"/>
  <c r="M178" i="13"/>
  <c r="M179" i="13"/>
  <c r="M180" i="13"/>
  <c r="M181" i="13"/>
  <c r="M182" i="13"/>
  <c r="M183" i="13"/>
  <c r="M184" i="13"/>
  <c r="M185" i="13"/>
  <c r="M186" i="13"/>
  <c r="M187" i="13"/>
  <c r="M188" i="13"/>
  <c r="M189" i="13"/>
  <c r="M190" i="13"/>
  <c r="M191" i="13"/>
  <c r="M192" i="13"/>
  <c r="M193" i="13"/>
  <c r="M194" i="13"/>
  <c r="M195" i="13"/>
  <c r="M196" i="13"/>
  <c r="M197" i="13"/>
  <c r="M198" i="13"/>
  <c r="M199" i="13"/>
  <c r="M200" i="13"/>
  <c r="M201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K43" i="23" s="1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FC88" i="23" s="1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8" i="13"/>
  <c r="L9" i="13"/>
  <c r="L10" i="13"/>
  <c r="L11" i="13"/>
  <c r="L12" i="13"/>
  <c r="L13" i="13"/>
  <c r="L7" i="13"/>
  <c r="C117" i="14"/>
  <c r="E117" i="14" s="1"/>
  <c r="C118" i="14"/>
  <c r="E118" i="14" s="1"/>
  <c r="C120" i="14"/>
  <c r="D120" i="14" s="1"/>
  <c r="C121" i="14"/>
  <c r="E121" i="14" s="1"/>
  <c r="C122" i="14"/>
  <c r="E122" i="14" s="1"/>
  <c r="C124" i="14"/>
  <c r="E124" i="14" s="1"/>
  <c r="C125" i="14"/>
  <c r="E125" i="14" s="1"/>
  <c r="G9" i="14"/>
  <c r="I9" i="14" s="1"/>
  <c r="L83" i="23" l="1"/>
  <c r="D123" i="14"/>
  <c r="E120" i="14"/>
  <c r="D118" i="14"/>
  <c r="D119" i="14"/>
  <c r="C105" i="23" s="1"/>
  <c r="H9" i="14"/>
  <c r="D121" i="14"/>
  <c r="H125" i="14"/>
  <c r="H121" i="14"/>
  <c r="H117" i="14"/>
  <c r="H113" i="14"/>
  <c r="H109" i="14"/>
  <c r="H105" i="14"/>
  <c r="H101" i="14"/>
  <c r="H97" i="14"/>
  <c r="H93" i="14"/>
  <c r="H89" i="14"/>
  <c r="H85" i="14"/>
  <c r="H81" i="14"/>
  <c r="H77" i="14"/>
  <c r="H73" i="14"/>
  <c r="H69" i="14"/>
  <c r="H65" i="14"/>
  <c r="H61" i="14"/>
  <c r="H57" i="14"/>
  <c r="H53" i="14"/>
  <c r="H49" i="14"/>
  <c r="H45" i="14"/>
  <c r="H41" i="14"/>
  <c r="H37" i="14"/>
  <c r="H33" i="14"/>
  <c r="H29" i="14"/>
  <c r="H25" i="14"/>
  <c r="H21" i="14"/>
  <c r="H17" i="14"/>
  <c r="H13" i="14"/>
  <c r="D122" i="14"/>
  <c r="D117" i="14"/>
  <c r="H122" i="14"/>
  <c r="H118" i="14"/>
  <c r="H114" i="14"/>
  <c r="H110" i="14"/>
  <c r="H106" i="14"/>
  <c r="H102" i="14"/>
  <c r="H98" i="14"/>
  <c r="H94" i="14"/>
  <c r="H90" i="14"/>
  <c r="H86" i="14"/>
  <c r="H82" i="14"/>
  <c r="H78" i="14"/>
  <c r="H74" i="14"/>
  <c r="H70" i="14"/>
  <c r="H66" i="14"/>
  <c r="H62" i="14"/>
  <c r="H58" i="14"/>
  <c r="H54" i="14"/>
  <c r="H50" i="14"/>
  <c r="H46" i="14"/>
  <c r="H95" i="23" s="1"/>
  <c r="H42" i="14"/>
  <c r="H38" i="14"/>
  <c r="H34" i="14"/>
  <c r="H30" i="14"/>
  <c r="H26" i="14"/>
  <c r="H22" i="14"/>
  <c r="H18" i="14"/>
  <c r="H14" i="14"/>
  <c r="H10" i="14"/>
  <c r="H123" i="14"/>
  <c r="H119" i="14"/>
  <c r="H115" i="14"/>
  <c r="H111" i="14"/>
  <c r="H107" i="14"/>
  <c r="H103" i="14"/>
  <c r="H99" i="14"/>
  <c r="H95" i="14"/>
  <c r="H91" i="14"/>
  <c r="H87" i="14"/>
  <c r="H83" i="14"/>
  <c r="H79" i="14"/>
  <c r="H75" i="14"/>
  <c r="H71" i="14"/>
  <c r="H67" i="14"/>
  <c r="H63" i="14"/>
  <c r="H59" i="14"/>
  <c r="H55" i="14"/>
  <c r="H51" i="14"/>
  <c r="H47" i="14"/>
  <c r="H43" i="14"/>
  <c r="H39" i="14"/>
  <c r="H35" i="14"/>
  <c r="H31" i="14"/>
  <c r="H27" i="14"/>
  <c r="H23" i="14"/>
  <c r="H19" i="14"/>
  <c r="H15" i="14"/>
  <c r="H11" i="14"/>
  <c r="H124" i="14"/>
  <c r="H120" i="14"/>
  <c r="H116" i="14"/>
  <c r="H112" i="14"/>
  <c r="H108" i="14"/>
  <c r="H104" i="14"/>
  <c r="H100" i="14"/>
  <c r="H96" i="14"/>
  <c r="H92" i="14"/>
  <c r="H88" i="14"/>
  <c r="H84" i="14"/>
  <c r="H80" i="14"/>
  <c r="H76" i="14"/>
  <c r="H72" i="14"/>
  <c r="H68" i="14"/>
  <c r="J98" i="23" s="1"/>
  <c r="H64" i="14"/>
  <c r="H60" i="14"/>
  <c r="H56" i="14"/>
  <c r="H52" i="14"/>
  <c r="H48" i="14"/>
  <c r="H44" i="14"/>
  <c r="H40" i="14"/>
  <c r="H36" i="14"/>
  <c r="H32" i="14"/>
  <c r="H28" i="14"/>
  <c r="H24" i="14"/>
  <c r="H20" i="14"/>
  <c r="H16" i="14"/>
  <c r="H12" i="14"/>
  <c r="D124" i="14"/>
  <c r="N17" i="13"/>
  <c r="N18" i="13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54" i="13"/>
  <c r="N55" i="13"/>
  <c r="N56" i="13"/>
  <c r="N57" i="13"/>
  <c r="N58" i="13"/>
  <c r="N59" i="13"/>
  <c r="N60" i="13"/>
  <c r="N61" i="13"/>
  <c r="N62" i="13"/>
  <c r="N63" i="13"/>
  <c r="N64" i="13"/>
  <c r="N65" i="13"/>
  <c r="N66" i="13"/>
  <c r="N67" i="13"/>
  <c r="N68" i="13"/>
  <c r="N69" i="13"/>
  <c r="N70" i="13"/>
  <c r="N71" i="13"/>
  <c r="N72" i="13"/>
  <c r="N73" i="13"/>
  <c r="N74" i="13"/>
  <c r="N75" i="13"/>
  <c r="N76" i="13"/>
  <c r="N77" i="13"/>
  <c r="N78" i="13"/>
  <c r="N79" i="13"/>
  <c r="N80" i="13"/>
  <c r="N81" i="13"/>
  <c r="N82" i="13"/>
  <c r="N83" i="13"/>
  <c r="N84" i="13"/>
  <c r="N85" i="13"/>
  <c r="N86" i="13"/>
  <c r="N87" i="13"/>
  <c r="N88" i="13"/>
  <c r="N89" i="13"/>
  <c r="FE88" i="23" s="1"/>
  <c r="N90" i="13"/>
  <c r="N91" i="13"/>
  <c r="N92" i="13"/>
  <c r="N93" i="13"/>
  <c r="N94" i="13"/>
  <c r="N95" i="13"/>
  <c r="N96" i="13"/>
  <c r="N97" i="13"/>
  <c r="N98" i="13"/>
  <c r="N99" i="13"/>
  <c r="N100" i="13"/>
  <c r="N101" i="13"/>
  <c r="N102" i="13"/>
  <c r="N103" i="13"/>
  <c r="N104" i="13"/>
  <c r="N105" i="13"/>
  <c r="N106" i="13"/>
  <c r="N107" i="13"/>
  <c r="N108" i="13"/>
  <c r="N109" i="13"/>
  <c r="N110" i="13"/>
  <c r="N111" i="13"/>
  <c r="N112" i="13"/>
  <c r="N113" i="13"/>
  <c r="N114" i="13"/>
  <c r="N12" i="13"/>
  <c r="N13" i="13"/>
  <c r="N14" i="13"/>
  <c r="N15" i="13"/>
  <c r="N16" i="13"/>
  <c r="N9" i="13"/>
  <c r="N10" i="13"/>
  <c r="N11" i="13"/>
  <c r="C9" i="14"/>
  <c r="M11" i="13"/>
  <c r="C13" i="14" s="1"/>
  <c r="M12" i="13"/>
  <c r="M13" i="13"/>
  <c r="M14" i="13"/>
  <c r="M15" i="13"/>
  <c r="C17" i="14" s="1"/>
  <c r="M16" i="13"/>
  <c r="C18" i="14" s="1"/>
  <c r="M17" i="13"/>
  <c r="C19" i="14" s="1"/>
  <c r="M18" i="13"/>
  <c r="C20" i="14" s="1"/>
  <c r="D20" i="14" s="1"/>
  <c r="M19" i="13"/>
  <c r="C21" i="14" s="1"/>
  <c r="M20" i="13"/>
  <c r="C22" i="14" s="1"/>
  <c r="E22" i="14" s="1"/>
  <c r="M21" i="13"/>
  <c r="C23" i="14" s="1"/>
  <c r="M22" i="13"/>
  <c r="C24" i="14" s="1"/>
  <c r="M23" i="13"/>
  <c r="C25" i="14" s="1"/>
  <c r="M24" i="13"/>
  <c r="C26" i="14" s="1"/>
  <c r="M25" i="13"/>
  <c r="C27" i="14" s="1"/>
  <c r="M26" i="13"/>
  <c r="C28" i="14" s="1"/>
  <c r="M27" i="13"/>
  <c r="C29" i="14" s="1"/>
  <c r="M28" i="13"/>
  <c r="C30" i="14" s="1"/>
  <c r="M29" i="13"/>
  <c r="C31" i="14" s="1"/>
  <c r="M30" i="13"/>
  <c r="C32" i="14" s="1"/>
  <c r="M31" i="13"/>
  <c r="C33" i="14" s="1"/>
  <c r="M32" i="13"/>
  <c r="C34" i="14" s="1"/>
  <c r="M33" i="13"/>
  <c r="C35" i="14" s="1"/>
  <c r="M34" i="13"/>
  <c r="C36" i="14" s="1"/>
  <c r="M35" i="13"/>
  <c r="C37" i="14" s="1"/>
  <c r="M36" i="13"/>
  <c r="C38" i="14" s="1"/>
  <c r="M37" i="13"/>
  <c r="C39" i="14" s="1"/>
  <c r="M38" i="13"/>
  <c r="C40" i="14" s="1"/>
  <c r="M39" i="13"/>
  <c r="C41" i="14" s="1"/>
  <c r="M40" i="13"/>
  <c r="C42" i="14" s="1"/>
  <c r="M41" i="13"/>
  <c r="C43" i="14" s="1"/>
  <c r="M42" i="13"/>
  <c r="C44" i="14" s="1"/>
  <c r="M43" i="13"/>
  <c r="C45" i="14" s="1"/>
  <c r="M44" i="13"/>
  <c r="C46" i="14" s="1"/>
  <c r="M45" i="13"/>
  <c r="C47" i="14" s="1"/>
  <c r="M46" i="13"/>
  <c r="C48" i="14" s="1"/>
  <c r="M47" i="13"/>
  <c r="C49" i="14" s="1"/>
  <c r="M48" i="13"/>
  <c r="C50" i="14" s="1"/>
  <c r="M49" i="13"/>
  <c r="C51" i="14" s="1"/>
  <c r="M50" i="13"/>
  <c r="C52" i="14" s="1"/>
  <c r="M51" i="13"/>
  <c r="C53" i="14" s="1"/>
  <c r="M52" i="13"/>
  <c r="C54" i="14" s="1"/>
  <c r="M53" i="13"/>
  <c r="C55" i="14" s="1"/>
  <c r="M54" i="13"/>
  <c r="C56" i="14" s="1"/>
  <c r="M55" i="13"/>
  <c r="C57" i="14" s="1"/>
  <c r="M56" i="13"/>
  <c r="C58" i="14" s="1"/>
  <c r="M57" i="13"/>
  <c r="C59" i="14" s="1"/>
  <c r="M58" i="13"/>
  <c r="C60" i="14" s="1"/>
  <c r="M59" i="13"/>
  <c r="C61" i="14" s="1"/>
  <c r="M60" i="13"/>
  <c r="C62" i="14" s="1"/>
  <c r="M61" i="13"/>
  <c r="C63" i="14" s="1"/>
  <c r="M62" i="13"/>
  <c r="C64" i="14" s="1"/>
  <c r="M63" i="13"/>
  <c r="C65" i="14" s="1"/>
  <c r="M64" i="13"/>
  <c r="C66" i="14" s="1"/>
  <c r="M65" i="13"/>
  <c r="C67" i="14" s="1"/>
  <c r="M66" i="13"/>
  <c r="C68" i="14" s="1"/>
  <c r="M67" i="13"/>
  <c r="C69" i="14" s="1"/>
  <c r="M68" i="13"/>
  <c r="C70" i="14" s="1"/>
  <c r="M69" i="13"/>
  <c r="C71" i="14" s="1"/>
  <c r="M70" i="13"/>
  <c r="C72" i="14" s="1"/>
  <c r="M71" i="13"/>
  <c r="C73" i="14" s="1"/>
  <c r="M72" i="13"/>
  <c r="C74" i="14" s="1"/>
  <c r="M73" i="13"/>
  <c r="C75" i="14" s="1"/>
  <c r="M74" i="13"/>
  <c r="C76" i="14" s="1"/>
  <c r="M75" i="13"/>
  <c r="C77" i="14" s="1"/>
  <c r="M76" i="13"/>
  <c r="C78" i="14" s="1"/>
  <c r="M77" i="13"/>
  <c r="C79" i="14" s="1"/>
  <c r="M78" i="13"/>
  <c r="C80" i="14" s="1"/>
  <c r="M79" i="13"/>
  <c r="C81" i="14" s="1"/>
  <c r="M80" i="13"/>
  <c r="C82" i="14" s="1"/>
  <c r="M81" i="13"/>
  <c r="C83" i="14" s="1"/>
  <c r="M82" i="13"/>
  <c r="C84" i="14" s="1"/>
  <c r="M83" i="13"/>
  <c r="C85" i="14" s="1"/>
  <c r="M84" i="13"/>
  <c r="C86" i="14" s="1"/>
  <c r="M85" i="13"/>
  <c r="C87" i="14" s="1"/>
  <c r="M86" i="13"/>
  <c r="C88" i="14" s="1"/>
  <c r="M87" i="13"/>
  <c r="C89" i="14" s="1"/>
  <c r="M88" i="13"/>
  <c r="C90" i="14" s="1"/>
  <c r="M89" i="13"/>
  <c r="M90" i="13"/>
  <c r="C92" i="14" s="1"/>
  <c r="M91" i="13"/>
  <c r="C93" i="14" s="1"/>
  <c r="M92" i="13"/>
  <c r="C94" i="14" s="1"/>
  <c r="M93" i="13"/>
  <c r="C95" i="14" s="1"/>
  <c r="M94" i="13"/>
  <c r="C96" i="14" s="1"/>
  <c r="M95" i="13"/>
  <c r="C97" i="14" s="1"/>
  <c r="M96" i="13"/>
  <c r="C98" i="14" s="1"/>
  <c r="M97" i="13"/>
  <c r="C99" i="14" s="1"/>
  <c r="M98" i="13"/>
  <c r="C100" i="14" s="1"/>
  <c r="M99" i="13"/>
  <c r="C101" i="14" s="1"/>
  <c r="M100" i="13"/>
  <c r="C102" i="14" s="1"/>
  <c r="M101" i="13"/>
  <c r="C103" i="14" s="1"/>
  <c r="M102" i="13"/>
  <c r="C104" i="14" s="1"/>
  <c r="M103" i="13"/>
  <c r="C105" i="14" s="1"/>
  <c r="M104" i="13"/>
  <c r="C106" i="14" s="1"/>
  <c r="M105" i="13"/>
  <c r="C107" i="14" s="1"/>
  <c r="M106" i="13"/>
  <c r="C108" i="14" s="1"/>
  <c r="M107" i="13"/>
  <c r="C109" i="14" s="1"/>
  <c r="M108" i="13"/>
  <c r="C110" i="14" s="1"/>
  <c r="M109" i="13"/>
  <c r="C111" i="14" s="1"/>
  <c r="M110" i="13"/>
  <c r="C112" i="14" s="1"/>
  <c r="M111" i="13"/>
  <c r="C113" i="14" s="1"/>
  <c r="M112" i="13"/>
  <c r="C114" i="14" s="1"/>
  <c r="M113" i="13"/>
  <c r="C115" i="14" s="1"/>
  <c r="M114" i="13"/>
  <c r="C116" i="14" s="1"/>
  <c r="C10" i="14"/>
  <c r="M9" i="13"/>
  <c r="M10" i="13"/>
  <c r="C12" i="14" s="1"/>
  <c r="M46" i="23" l="1"/>
  <c r="C14" i="14"/>
  <c r="D14" i="14" s="1"/>
  <c r="ER107" i="23"/>
  <c r="ES107" i="23"/>
  <c r="D9" i="14"/>
  <c r="E9" i="14"/>
  <c r="E10" i="14"/>
  <c r="D10" i="14"/>
  <c r="D105" i="14"/>
  <c r="E105" i="14"/>
  <c r="D89" i="14"/>
  <c r="E89" i="14"/>
  <c r="D77" i="14"/>
  <c r="E77" i="14"/>
  <c r="D65" i="14"/>
  <c r="E65" i="14"/>
  <c r="D49" i="14"/>
  <c r="E49" i="14"/>
  <c r="D37" i="14"/>
  <c r="E37" i="14"/>
  <c r="D25" i="14"/>
  <c r="E25" i="14"/>
  <c r="E13" i="14"/>
  <c r="D13" i="14"/>
  <c r="C11" i="14"/>
  <c r="E11" i="14" s="1"/>
  <c r="D114" i="14"/>
  <c r="E114" i="14"/>
  <c r="D110" i="14"/>
  <c r="E110" i="14"/>
  <c r="E106" i="14"/>
  <c r="D106" i="14"/>
  <c r="D102" i="14"/>
  <c r="E102" i="14"/>
  <c r="D98" i="14"/>
  <c r="E98" i="14"/>
  <c r="D94" i="14"/>
  <c r="E94" i="14"/>
  <c r="E90" i="14"/>
  <c r="D90" i="14"/>
  <c r="D86" i="14"/>
  <c r="E86" i="14"/>
  <c r="D82" i="14"/>
  <c r="E82" i="14"/>
  <c r="D78" i="14"/>
  <c r="E78" i="14"/>
  <c r="E74" i="14"/>
  <c r="D74" i="14"/>
  <c r="D70" i="14"/>
  <c r="E70" i="14"/>
  <c r="D66" i="14"/>
  <c r="E66" i="14"/>
  <c r="D62" i="14"/>
  <c r="E62" i="14"/>
  <c r="E58" i="14"/>
  <c r="D58" i="14"/>
  <c r="D54" i="14"/>
  <c r="E54" i="14"/>
  <c r="D50" i="14"/>
  <c r="E50" i="14"/>
  <c r="D46" i="14"/>
  <c r="E46" i="14"/>
  <c r="E42" i="14"/>
  <c r="D42" i="14"/>
  <c r="D38" i="14"/>
  <c r="E38" i="14"/>
  <c r="D34" i="14"/>
  <c r="E34" i="14"/>
  <c r="D30" i="14"/>
  <c r="E30" i="14"/>
  <c r="E26" i="14"/>
  <c r="D26" i="14"/>
  <c r="E18" i="14"/>
  <c r="D18" i="14"/>
  <c r="E14" i="14"/>
  <c r="D97" i="14"/>
  <c r="E97" i="14"/>
  <c r="D113" i="14"/>
  <c r="E113" i="14"/>
  <c r="D101" i="14"/>
  <c r="E101" i="14"/>
  <c r="D81" i="14"/>
  <c r="E81" i="14"/>
  <c r="D69" i="14"/>
  <c r="E69" i="14"/>
  <c r="D57" i="14"/>
  <c r="E57" i="14"/>
  <c r="D45" i="14"/>
  <c r="E45" i="14"/>
  <c r="D33" i="14"/>
  <c r="E33" i="14"/>
  <c r="D21" i="14"/>
  <c r="E21" i="14"/>
  <c r="E116" i="14"/>
  <c r="D116" i="14"/>
  <c r="E108" i="14"/>
  <c r="D108" i="14"/>
  <c r="E100" i="14"/>
  <c r="D100" i="14"/>
  <c r="E92" i="14"/>
  <c r="D92" i="14"/>
  <c r="E84" i="14"/>
  <c r="D84" i="14"/>
  <c r="E80" i="14"/>
  <c r="D80" i="14"/>
  <c r="E76" i="14"/>
  <c r="D76" i="14"/>
  <c r="E72" i="14"/>
  <c r="D72" i="14"/>
  <c r="E68" i="14"/>
  <c r="D68" i="14"/>
  <c r="E64" i="14"/>
  <c r="D64" i="14"/>
  <c r="E60" i="14"/>
  <c r="D60" i="14"/>
  <c r="E56" i="14"/>
  <c r="D56" i="14"/>
  <c r="E52" i="14"/>
  <c r="D52" i="14"/>
  <c r="E48" i="14"/>
  <c r="D48" i="14"/>
  <c r="E44" i="14"/>
  <c r="D44" i="14"/>
  <c r="E40" i="14"/>
  <c r="D40" i="14"/>
  <c r="E36" i="14"/>
  <c r="D36" i="14"/>
  <c r="E32" i="14"/>
  <c r="D32" i="14"/>
  <c r="E28" i="14"/>
  <c r="D28" i="14"/>
  <c r="E24" i="14"/>
  <c r="F92" i="23" s="1"/>
  <c r="D24" i="14"/>
  <c r="C16" i="14"/>
  <c r="E16" i="14" s="1"/>
  <c r="E20" i="14"/>
  <c r="D109" i="14"/>
  <c r="E109" i="14"/>
  <c r="D93" i="14"/>
  <c r="E93" i="14"/>
  <c r="D85" i="14"/>
  <c r="E85" i="14"/>
  <c r="D73" i="14"/>
  <c r="E73" i="14"/>
  <c r="D61" i="14"/>
  <c r="E61" i="14"/>
  <c r="D53" i="14"/>
  <c r="E53" i="14"/>
  <c r="D41" i="14"/>
  <c r="E41" i="14"/>
  <c r="D29" i="14"/>
  <c r="E29" i="14"/>
  <c r="E17" i="14"/>
  <c r="D17" i="14"/>
  <c r="E112" i="14"/>
  <c r="D112" i="14"/>
  <c r="E104" i="14"/>
  <c r="D104" i="14"/>
  <c r="E96" i="14"/>
  <c r="D96" i="14"/>
  <c r="E88" i="14"/>
  <c r="D88" i="14"/>
  <c r="E12" i="14"/>
  <c r="D12" i="14"/>
  <c r="D115" i="14"/>
  <c r="E115" i="14"/>
  <c r="E111" i="14"/>
  <c r="D111" i="14"/>
  <c r="EM107" i="23"/>
  <c r="D107" i="14"/>
  <c r="EN107" i="23" s="1"/>
  <c r="E107" i="14"/>
  <c r="EO107" i="23" s="1"/>
  <c r="D103" i="14"/>
  <c r="E103" i="14"/>
  <c r="D99" i="14"/>
  <c r="E99" i="14"/>
  <c r="E95" i="14"/>
  <c r="D95" i="14"/>
  <c r="FD88" i="23"/>
  <c r="C91" i="14"/>
  <c r="D87" i="14"/>
  <c r="E87" i="14"/>
  <c r="D83" i="14"/>
  <c r="E83" i="14"/>
  <c r="E79" i="14"/>
  <c r="D79" i="14"/>
  <c r="D75" i="14"/>
  <c r="E75" i="14"/>
  <c r="D71" i="14"/>
  <c r="E71" i="14"/>
  <c r="D67" i="14"/>
  <c r="E67" i="14"/>
  <c r="E63" i="14"/>
  <c r="D63" i="14"/>
  <c r="D59" i="14"/>
  <c r="E59" i="14"/>
  <c r="D55" i="14"/>
  <c r="E55" i="14"/>
  <c r="D51" i="14"/>
  <c r="E51" i="14"/>
  <c r="E47" i="14"/>
  <c r="D47" i="14"/>
  <c r="D43" i="14"/>
  <c r="E43" i="14"/>
  <c r="D39" i="14"/>
  <c r="E39" i="14"/>
  <c r="D35" i="14"/>
  <c r="E35" i="14"/>
  <c r="E31" i="14"/>
  <c r="D31" i="14"/>
  <c r="D27" i="14"/>
  <c r="E27" i="14"/>
  <c r="D23" i="14"/>
  <c r="E23" i="14"/>
  <c r="E19" i="14"/>
  <c r="D19" i="14"/>
  <c r="C15" i="14"/>
  <c r="D22" i="14"/>
  <c r="D16" i="14" l="1"/>
  <c r="E15" i="14"/>
  <c r="D15" i="14"/>
  <c r="D91" i="14"/>
  <c r="E91" i="14"/>
  <c r="D11" i="14"/>
</calcChain>
</file>

<file path=xl/comments1.xml><?xml version="1.0" encoding="utf-8"?>
<comments xmlns="http://schemas.openxmlformats.org/spreadsheetml/2006/main">
  <authors>
    <author>Viviana de P. Soares</author>
  </authors>
  <commentList>
    <comment ref="I6" authorId="0">
      <text>
        <r>
          <rPr>
            <sz val="10"/>
            <color indexed="81"/>
            <rFont val="Arial"/>
            <family val="2"/>
          </rPr>
          <t xml:space="preserve"> Cicunferência da Panturrilha  inferior a 31 cm é considerado um  marcador de desnutrição e risco nutricional no idoso</t>
        </r>
        <r>
          <rPr>
            <sz val="9"/>
            <color indexed="81"/>
            <rFont val="Tahoma"/>
            <family val="2"/>
          </rPr>
          <t>.</t>
        </r>
      </text>
    </comment>
  </commentList>
</comments>
</file>

<file path=xl/sharedStrings.xml><?xml version="1.0" encoding="utf-8"?>
<sst xmlns="http://schemas.openxmlformats.org/spreadsheetml/2006/main" count="41" uniqueCount="37">
  <si>
    <t>Nome</t>
  </si>
  <si>
    <t>Idade (anos)</t>
  </si>
  <si>
    <t>Sexo</t>
  </si>
  <si>
    <t>Altura(m)</t>
  </si>
  <si>
    <t>Peso (kg)</t>
  </si>
  <si>
    <t>Altura do joelho</t>
  </si>
  <si>
    <t>Circunferência da Panturrilha</t>
  </si>
  <si>
    <t>Prega Cutânea Tricipital</t>
  </si>
  <si>
    <t>Circunferência do Braço</t>
  </si>
  <si>
    <t>Prega Cutânea Subescapular</t>
  </si>
  <si>
    <t>Circunferência Muscular do Braço</t>
  </si>
  <si>
    <t>Altura Estimada (m)</t>
  </si>
  <si>
    <t>Peso Estimado (Kg)</t>
  </si>
  <si>
    <t>IMC real MS*</t>
  </si>
  <si>
    <t xml:space="preserve">Clique em uma das variáveis ao lado para visualizar a técnica de medida correspondente. </t>
  </si>
  <si>
    <t>feminino</t>
  </si>
  <si>
    <t>masculino</t>
  </si>
  <si>
    <t>IMC estimado **</t>
  </si>
  <si>
    <t>Classificação OPAS 2011</t>
  </si>
  <si>
    <t>Classificação IMC - MS</t>
  </si>
  <si>
    <t>&lt;= 22</t>
  </si>
  <si>
    <t>baixo peso</t>
  </si>
  <si>
    <t xml:space="preserve">&gt;22 a &lt;27 </t>
  </si>
  <si>
    <t>eutrófico</t>
  </si>
  <si>
    <t>&gt;=27</t>
  </si>
  <si>
    <t>sobrepeso</t>
  </si>
  <si>
    <t>Classificação IMC - OPAS 2011</t>
  </si>
  <si>
    <t>&lt;23</t>
  </si>
  <si>
    <t xml:space="preserve"> = 23 a &lt; 28</t>
  </si>
  <si>
    <t>&gt; = 28 a &lt; 30</t>
  </si>
  <si>
    <t>risco obesidade</t>
  </si>
  <si>
    <t>&gt; = 30</t>
  </si>
  <si>
    <t>obesidade</t>
  </si>
  <si>
    <t>AAAAAD7udRg=</t>
  </si>
  <si>
    <t>AAAAAD7udRk=</t>
  </si>
  <si>
    <t>AAAAAD7udRo=</t>
  </si>
  <si>
    <t>Classificação 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</si>
</sst>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2" x14ac:knownFonts="1">
    <font>
      <sz val="10"/>
      <name val="Arial"/>
    </font>
    <font>
      <sz val="11"/>
      <color theme="1"/>
      <name val="Lucida Sans Unicode"/>
      <family val="2"/>
      <scheme val="minor"/>
    </font>
    <font>
      <sz val="11"/>
      <color theme="1"/>
      <name val="Lucida Sans Unicode"/>
      <family val="2"/>
      <scheme val="minor"/>
    </font>
    <font>
      <u/>
      <sz val="10"/>
      <color indexed="12"/>
      <name val="Arial"/>
    </font>
    <font>
      <sz val="8"/>
      <name val="Arial"/>
    </font>
    <font>
      <b/>
      <sz val="11"/>
      <color indexed="8"/>
      <name val="Calibri"/>
      <family val="2"/>
    </font>
    <font>
      <sz val="9"/>
      <name val="Arial"/>
      <family val="2"/>
    </font>
    <font>
      <b/>
      <sz val="12"/>
      <color rgb="FF0070C0"/>
      <name val="Arial"/>
      <family val="2"/>
    </font>
    <font>
      <sz val="10"/>
      <color theme="7" tint="0.79998168889431442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b/>
      <sz val="11"/>
      <color theme="4" tint="0.79998168889431442"/>
      <name val="Calibri"/>
      <family val="2"/>
    </font>
    <font>
      <sz val="10"/>
      <color rgb="FFFF000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name val="Calibri"/>
      <family val="2"/>
    </font>
    <font>
      <sz val="11"/>
      <color theme="0"/>
      <name val="Lucida Sans Unicode"/>
      <family val="2"/>
      <scheme val="minor"/>
    </font>
    <font>
      <sz val="12"/>
      <color theme="0"/>
      <name val="Lucida Sans Unicode"/>
      <family val="2"/>
      <scheme val="minor"/>
    </font>
    <font>
      <sz val="12"/>
      <color theme="1"/>
      <name val="Lucida Sans Unicode"/>
      <family val="2"/>
      <scheme val="minor"/>
    </font>
    <font>
      <b/>
      <sz val="11"/>
      <color rgb="FFFF0000"/>
      <name val="Calibri"/>
      <family val="2"/>
    </font>
    <font>
      <sz val="9"/>
      <color indexed="81"/>
      <name val="Tahoma"/>
      <family val="2"/>
    </font>
    <font>
      <sz val="10"/>
      <color indexed="8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68">
    <xf numFmtId="0" fontId="0" fillId="0" borderId="0" xfId="0"/>
    <xf numFmtId="0" fontId="0" fillId="2" borderId="0" xfId="0" applyFill="1"/>
    <xf numFmtId="0" fontId="3" fillId="2" borderId="0" xfId="1" applyFill="1" applyAlignment="1" applyProtection="1">
      <alignment horizontal="center"/>
    </xf>
    <xf numFmtId="0" fontId="0" fillId="2" borderId="0" xfId="0" applyFill="1" applyBorder="1"/>
    <xf numFmtId="0" fontId="6" fillId="2" borderId="0" xfId="0" applyFont="1" applyFill="1"/>
    <xf numFmtId="0" fontId="8" fillId="2" borderId="0" xfId="0" applyFont="1" applyFill="1"/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2" fontId="0" fillId="2" borderId="0" xfId="0" applyNumberFormat="1" applyFill="1" applyAlignment="1">
      <alignment horizontal="center"/>
    </xf>
    <xf numFmtId="0" fontId="10" fillId="2" borderId="0" xfId="0" applyFont="1" applyFill="1"/>
    <xf numFmtId="0" fontId="11" fillId="5" borderId="1" xfId="0" applyFont="1" applyFill="1" applyBorder="1" applyAlignment="1">
      <alignment horizontal="center" vertical="center" wrapText="1"/>
    </xf>
    <xf numFmtId="2" fontId="0" fillId="7" borderId="1" xfId="0" applyNumberForma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0" fontId="0" fillId="2" borderId="1" xfId="0" applyFill="1" applyBorder="1"/>
    <xf numFmtId="2" fontId="14" fillId="2" borderId="0" xfId="0" applyNumberFormat="1" applyFont="1" applyFill="1" applyAlignment="1">
      <alignment horizontal="center"/>
    </xf>
    <xf numFmtId="2" fontId="9" fillId="2" borderId="0" xfId="0" applyNumberFormat="1" applyFont="1" applyFill="1" applyAlignment="1">
      <alignment horizontal="center"/>
    </xf>
    <xf numFmtId="2" fontId="13" fillId="2" borderId="0" xfId="0" applyNumberFormat="1" applyFont="1" applyFill="1" applyAlignment="1">
      <alignment horizontal="center"/>
    </xf>
    <xf numFmtId="2" fontId="12" fillId="2" borderId="0" xfId="0" applyNumberFormat="1" applyFont="1" applyFill="1" applyAlignment="1">
      <alignment horizontal="center"/>
    </xf>
    <xf numFmtId="2" fontId="5" fillId="2" borderId="2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2" fontId="0" fillId="2" borderId="0" xfId="0" applyNumberFormat="1" applyFill="1"/>
    <xf numFmtId="2" fontId="5" fillId="2" borderId="0" xfId="0" applyNumberFormat="1" applyFont="1" applyFill="1" applyBorder="1" applyAlignment="1">
      <alignment horizontal="center" vertical="center"/>
    </xf>
    <xf numFmtId="2" fontId="0" fillId="2" borderId="1" xfId="0" applyNumberFormat="1" applyFill="1" applyBorder="1"/>
    <xf numFmtId="2" fontId="0" fillId="0" borderId="0" xfId="0" applyNumberFormat="1"/>
    <xf numFmtId="0" fontId="15" fillId="2" borderId="0" xfId="0" applyFont="1" applyFill="1"/>
    <xf numFmtId="0" fontId="17" fillId="2" borderId="0" xfId="2" applyFont="1" applyFill="1" applyAlignment="1">
      <alignment vertical="center"/>
    </xf>
    <xf numFmtId="0" fontId="18" fillId="2" borderId="0" xfId="2" applyFont="1" applyFill="1" applyAlignment="1">
      <alignment vertical="center"/>
    </xf>
    <xf numFmtId="0" fontId="0" fillId="2" borderId="0" xfId="0" applyFill="1" applyAlignment="1">
      <alignment vertical="center"/>
    </xf>
    <xf numFmtId="2" fontId="9" fillId="2" borderId="5" xfId="1" applyNumberFormat="1" applyFont="1" applyFill="1" applyBorder="1" applyAlignment="1" applyProtection="1">
      <alignment horizontal="center"/>
    </xf>
    <xf numFmtId="2" fontId="9" fillId="2" borderId="1" xfId="1" applyNumberFormat="1" applyFont="1" applyFill="1" applyBorder="1" applyAlignment="1" applyProtection="1"/>
    <xf numFmtId="0" fontId="9" fillId="2" borderId="1" xfId="0" applyFont="1" applyFill="1" applyBorder="1"/>
    <xf numFmtId="0" fontId="9" fillId="2" borderId="0" xfId="0" applyFont="1" applyFill="1"/>
    <xf numFmtId="2" fontId="9" fillId="2" borderId="0" xfId="0" applyNumberFormat="1" applyFont="1" applyFill="1"/>
    <xf numFmtId="0" fontId="5" fillId="2" borderId="0" xfId="0" applyFont="1" applyFill="1" applyBorder="1" applyAlignment="1">
      <alignment horizontal="center" vertical="center"/>
    </xf>
    <xf numFmtId="0" fontId="3" fillId="0" borderId="0" xfId="1" applyAlignment="1" applyProtection="1"/>
    <xf numFmtId="0" fontId="1" fillId="0" borderId="0" xfId="2" applyFont="1"/>
    <xf numFmtId="0" fontId="2" fillId="2" borderId="0" xfId="2" applyFill="1" applyAlignment="1">
      <alignment horizontal="center" vertical="center"/>
    </xf>
    <xf numFmtId="0" fontId="2" fillId="10" borderId="0" xfId="2" applyFill="1" applyAlignment="1">
      <alignment horizontal="center" vertical="center"/>
    </xf>
    <xf numFmtId="0" fontId="17" fillId="8" borderId="0" xfId="2" applyFont="1" applyFill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0" fontId="18" fillId="9" borderId="0" xfId="2" applyFont="1" applyFill="1" applyAlignment="1">
      <alignment horizontal="center" vertical="center"/>
    </xf>
    <xf numFmtId="0" fontId="16" fillId="11" borderId="0" xfId="2" applyFont="1" applyFill="1" applyAlignment="1">
      <alignment horizontal="center" vertical="center"/>
    </xf>
    <xf numFmtId="0" fontId="5" fillId="4" borderId="1" xfId="0" applyFont="1" applyFill="1" applyBorder="1" applyAlignment="1">
      <alignment horizontal="center" vertical="top" wrapText="1"/>
    </xf>
    <xf numFmtId="0" fontId="5" fillId="4" borderId="3" xfId="0" applyFont="1" applyFill="1" applyBorder="1" applyAlignment="1">
      <alignment horizontal="center" vertical="top" wrapText="1"/>
    </xf>
    <xf numFmtId="0" fontId="5" fillId="4" borderId="4" xfId="0" applyFont="1" applyFill="1" applyBorder="1" applyAlignment="1">
      <alignment horizontal="center" vertical="top" wrapText="1"/>
    </xf>
    <xf numFmtId="2" fontId="5" fillId="4" borderId="5" xfId="0" applyNumberFormat="1" applyFont="1" applyFill="1" applyBorder="1" applyAlignment="1">
      <alignment horizontal="center" vertical="top"/>
    </xf>
    <xf numFmtId="2" fontId="5" fillId="4" borderId="1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2" fontId="9" fillId="2" borderId="0" xfId="1" applyNumberFormat="1" applyFont="1" applyFill="1" applyBorder="1" applyAlignment="1" applyProtection="1"/>
    <xf numFmtId="0" fontId="19" fillId="2" borderId="0" xfId="0" applyFont="1" applyFill="1" applyBorder="1" applyAlignment="1">
      <alignment horizontal="center" vertical="top" wrapText="1"/>
    </xf>
    <xf numFmtId="0" fontId="0" fillId="2" borderId="0" xfId="0" applyFill="1" applyAlignment="1" applyProtection="1">
      <alignment horizontal="center"/>
      <protection locked="0"/>
    </xf>
    <xf numFmtId="164" fontId="0" fillId="2" borderId="0" xfId="0" applyNumberFormat="1" applyFill="1" applyAlignment="1" applyProtection="1">
      <alignment horizontal="center"/>
      <protection locked="0"/>
    </xf>
    <xf numFmtId="0" fontId="9" fillId="0" borderId="1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164" fontId="0" fillId="0" borderId="0" xfId="0" applyNumberFormat="1" applyAlignment="1" applyProtection="1">
      <alignment horizontal="center"/>
      <protection locked="0"/>
    </xf>
    <xf numFmtId="164" fontId="0" fillId="0" borderId="1" xfId="0" applyNumberFormat="1" applyBorder="1" applyAlignment="1" applyProtection="1">
      <alignment horizontal="center"/>
      <protection locked="0"/>
    </xf>
    <xf numFmtId="164" fontId="9" fillId="0" borderId="1" xfId="0" applyNumberFormat="1" applyFont="1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center"/>
      <protection locked="0"/>
    </xf>
    <xf numFmtId="164" fontId="0" fillId="0" borderId="1" xfId="0" applyNumberFormat="1" applyFill="1" applyBorder="1" applyAlignment="1" applyProtection="1">
      <alignment horizontal="center"/>
      <protection locked="0"/>
    </xf>
    <xf numFmtId="164" fontId="0" fillId="2" borderId="0" xfId="0" applyNumberForma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</xf>
    <xf numFmtId="164" fontId="0" fillId="2" borderId="0" xfId="0" applyNumberFormat="1" applyFill="1" applyAlignment="1" applyProtection="1">
      <alignment horizontal="center"/>
    </xf>
    <xf numFmtId="0" fontId="5" fillId="6" borderId="1" xfId="0" applyFont="1" applyFill="1" applyBorder="1" applyAlignment="1" applyProtection="1">
      <alignment horizontal="center" vertical="center" wrapText="1"/>
    </xf>
    <xf numFmtId="164" fontId="5" fillId="6" borderId="1" xfId="0" applyNumberFormat="1" applyFont="1" applyFill="1" applyBorder="1" applyAlignment="1" applyProtection="1">
      <alignment horizontal="center" vertical="center" wrapText="1"/>
    </xf>
  </cellXfs>
  <cellStyles count="3">
    <cellStyle name="Hiperlink" xfId="1" builtinId="8"/>
    <cellStyle name="Normal" xfId="0" builtinId="0"/>
    <cellStyle name="Normal 2" xfId="2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7D7D"/>
      <color rgb="FFFEF2E8"/>
      <color rgb="FFFFCC00"/>
      <color rgb="FFFFCC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FC54BDED-707E-43A9-BA7E-F9CB413334E1}" type="doc">
      <dgm:prSet loTypeId="urn:microsoft.com/office/officeart/2005/8/layout/default#1" loCatId="list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pt-BR"/>
        </a:p>
      </dgm:t>
    </dgm:pt>
    <dgm:pt modelId="{F567F732-0E24-440D-86D9-35E571D1CDAE}">
      <dgm:prSet phldrT="[Texto]" custT="1">
        <dgm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dgm:style>
      </dgm:prSet>
      <dgm:spPr/>
      <dgm:t>
        <a:bodyPr/>
        <a:lstStyle/>
        <a:p>
          <a:r>
            <a:rPr lang="pt-BR" sz="800"/>
            <a:t>Cálculos de estimativa e classificações</a:t>
          </a:r>
        </a:p>
      </dgm:t>
    </dgm:pt>
    <dgm:pt modelId="{109B601D-F857-404F-A854-798167382131}" type="sibTrans" cxnId="{FBEFECF2-6985-4441-82DD-B910DE42B595}">
      <dgm:prSet/>
      <dgm:spPr/>
      <dgm:t>
        <a:bodyPr/>
        <a:lstStyle/>
        <a:p>
          <a:endParaRPr lang="pt-BR"/>
        </a:p>
      </dgm:t>
    </dgm:pt>
    <dgm:pt modelId="{DE8377E1-7F93-4C9E-9634-4EAEBDD50F88}" type="parTrans" cxnId="{FBEFECF2-6985-4441-82DD-B910DE42B595}">
      <dgm:prSet/>
      <dgm:spPr/>
      <dgm:t>
        <a:bodyPr/>
        <a:lstStyle/>
        <a:p>
          <a:endParaRPr lang="pt-BR"/>
        </a:p>
      </dgm:t>
    </dgm:pt>
    <dgm:pt modelId="{3198E8D7-E385-4CEF-B071-089DA4E4F034}">
      <dgm:prSet phldrT="[Texto]" custT="1">
        <dgm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dgm:style>
      </dgm:prSet>
      <dgm:spPr/>
      <dgm:t>
        <a:bodyPr/>
        <a:lstStyle/>
        <a:p>
          <a:r>
            <a:rPr lang="pt-BR" sz="900"/>
            <a:t>Inserir medidas coletadas</a:t>
          </a:r>
        </a:p>
      </dgm:t>
    </dgm:pt>
    <dgm:pt modelId="{9D502BF0-8A52-4061-A34C-A214B50DA044}" type="sibTrans" cxnId="{F569C71D-9599-4FB8-B4D7-28E1D8028805}">
      <dgm:prSet/>
      <dgm:spPr/>
      <dgm:t>
        <a:bodyPr/>
        <a:lstStyle/>
        <a:p>
          <a:endParaRPr lang="pt-BR"/>
        </a:p>
      </dgm:t>
    </dgm:pt>
    <dgm:pt modelId="{3587C265-E3C8-490B-9204-9292E318423A}" type="parTrans" cxnId="{F569C71D-9599-4FB8-B4D7-28E1D8028805}">
      <dgm:prSet/>
      <dgm:spPr/>
      <dgm:t>
        <a:bodyPr/>
        <a:lstStyle/>
        <a:p>
          <a:endParaRPr lang="pt-BR"/>
        </a:p>
      </dgm:t>
    </dgm:pt>
    <dgm:pt modelId="{7F46A58D-3742-4A5C-BDCC-21E57184A547}">
      <dgm:prSet phldrT="[Texto]" custT="1">
        <dgm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dgm:style>
      </dgm:prSet>
      <dgm:spPr/>
      <dgm:t>
        <a:bodyPr/>
        <a:lstStyle/>
        <a:p>
          <a:r>
            <a:rPr lang="pt-BR" sz="900"/>
            <a:t>Técnicas antropométricas</a:t>
          </a:r>
        </a:p>
      </dgm:t>
    </dgm:pt>
    <dgm:pt modelId="{C6FCF0EC-0B8A-4B49-B970-2E93B437B1A6}" type="sibTrans" cxnId="{A7611333-DFC1-4DE0-AE53-78C89B343C49}">
      <dgm:prSet/>
      <dgm:spPr/>
      <dgm:t>
        <a:bodyPr/>
        <a:lstStyle/>
        <a:p>
          <a:endParaRPr lang="pt-BR"/>
        </a:p>
      </dgm:t>
    </dgm:pt>
    <dgm:pt modelId="{E8BA97F2-56F6-4EA2-9B2E-E616399A17F6}" type="parTrans" cxnId="{A7611333-DFC1-4DE0-AE53-78C89B343C49}">
      <dgm:prSet/>
      <dgm:spPr/>
      <dgm:t>
        <a:bodyPr/>
        <a:lstStyle/>
        <a:p>
          <a:endParaRPr lang="pt-BR"/>
        </a:p>
      </dgm:t>
    </dgm:pt>
    <dgm:pt modelId="{7A9AEEC6-11CE-4EE2-B0D0-42758784494F}">
      <dgm:prSet phldrT="[Texto]" custT="1">
        <dgm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dgm:style>
      </dgm:prSet>
      <dgm:spPr/>
      <dgm:t>
        <a:bodyPr/>
        <a:lstStyle/>
        <a:p>
          <a:r>
            <a:rPr lang="pt-BR" sz="900"/>
            <a:t>Fontes</a:t>
          </a:r>
        </a:p>
      </dgm:t>
    </dgm:pt>
    <dgm:pt modelId="{9575C861-6C77-4B9A-8DCF-35D8AB2F8946}" type="sibTrans" cxnId="{A3D1AFA2-BC09-4BF2-959C-0EE810478E59}">
      <dgm:prSet/>
      <dgm:spPr/>
      <dgm:t>
        <a:bodyPr/>
        <a:lstStyle/>
        <a:p>
          <a:endParaRPr lang="pt-BR"/>
        </a:p>
      </dgm:t>
    </dgm:pt>
    <dgm:pt modelId="{7895112F-7DB8-4C5B-9A5F-AC28D0339DC7}" type="parTrans" cxnId="{A3D1AFA2-BC09-4BF2-959C-0EE810478E59}">
      <dgm:prSet/>
      <dgm:spPr/>
      <dgm:t>
        <a:bodyPr/>
        <a:lstStyle/>
        <a:p>
          <a:endParaRPr lang="pt-BR"/>
        </a:p>
      </dgm:t>
    </dgm:pt>
    <dgm:pt modelId="{10779BC3-3023-4DCA-A2E1-8615DE16F6B7}">
      <dgm:prSet custT="1">
        <dgm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dgm:style>
      </dgm:prSet>
      <dgm:spPr/>
      <dgm:t>
        <a:bodyPr/>
        <a:lstStyle/>
        <a:p>
          <a:r>
            <a:rPr lang="pt-BR" sz="900"/>
            <a:t>Créditos e Contato</a:t>
          </a:r>
        </a:p>
      </dgm:t>
    </dgm:pt>
    <dgm:pt modelId="{11FBC174-E02D-4B0A-A9FB-6529C231B900}" type="parTrans" cxnId="{80BEDC59-83B8-4C09-9C92-0C75D661DE4D}">
      <dgm:prSet/>
      <dgm:spPr/>
      <dgm:t>
        <a:bodyPr/>
        <a:lstStyle/>
        <a:p>
          <a:endParaRPr lang="pt-BR"/>
        </a:p>
      </dgm:t>
    </dgm:pt>
    <dgm:pt modelId="{BB732497-12CE-4DF1-8741-FF1C28ADFBF3}" type="sibTrans" cxnId="{80BEDC59-83B8-4C09-9C92-0C75D661DE4D}">
      <dgm:prSet/>
      <dgm:spPr/>
      <dgm:t>
        <a:bodyPr/>
        <a:lstStyle/>
        <a:p>
          <a:endParaRPr lang="pt-BR"/>
        </a:p>
      </dgm:t>
    </dgm:pt>
    <dgm:pt modelId="{3233D048-572E-48DC-9823-419E421C6220}">
      <dgm:prSet phldrT="[Texto]" custT="1">
        <dgm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dgm:style>
      </dgm:prSet>
      <dgm:spPr/>
      <dgm:t>
        <a:bodyPr/>
        <a:lstStyle/>
        <a:p>
          <a:r>
            <a:rPr lang="pt-BR" sz="900"/>
            <a:t>Instruções de uso do material</a:t>
          </a:r>
        </a:p>
      </dgm:t>
    </dgm:pt>
    <dgm:pt modelId="{26F4FDB1-CBC9-4498-B063-040E790472CB}" type="sibTrans" cxnId="{29247D0F-42A3-46F6-AB28-786927A63C83}">
      <dgm:prSet/>
      <dgm:spPr/>
      <dgm:t>
        <a:bodyPr/>
        <a:lstStyle/>
        <a:p>
          <a:endParaRPr lang="pt-BR"/>
        </a:p>
      </dgm:t>
    </dgm:pt>
    <dgm:pt modelId="{B02FF88C-F3DF-4833-A116-8518466FD970}" type="parTrans" cxnId="{29247D0F-42A3-46F6-AB28-786927A63C83}">
      <dgm:prSet/>
      <dgm:spPr/>
      <dgm:t>
        <a:bodyPr/>
        <a:lstStyle/>
        <a:p>
          <a:endParaRPr lang="pt-BR"/>
        </a:p>
      </dgm:t>
    </dgm:pt>
    <dgm:pt modelId="{7DC7CBC0-0330-4F15-BAFA-A04516E4AEA3}" type="pres">
      <dgm:prSet presAssocID="{FC54BDED-707E-43A9-BA7E-F9CB413334E1}" presName="diagram" presStyleCnt="0">
        <dgm:presLayoutVars>
          <dgm:dir/>
          <dgm:resizeHandles val="exact"/>
        </dgm:presLayoutVars>
      </dgm:prSet>
      <dgm:spPr/>
      <dgm:t>
        <a:bodyPr/>
        <a:lstStyle/>
        <a:p>
          <a:endParaRPr lang="pt-BR"/>
        </a:p>
      </dgm:t>
    </dgm:pt>
    <dgm:pt modelId="{2D04C5E0-C0F6-44CD-A7AA-4D42B34F5F03}" type="pres">
      <dgm:prSet presAssocID="{3233D048-572E-48DC-9823-419E421C6220}" presName="node" presStyleLbl="node1" presStyleIdx="0" presStyleCnt="6" custScaleX="87314" custScaleY="46304" custLinFactNeighborX="-2197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E15EC88F-9402-44D0-8ADD-8461E078EFCF}" type="pres">
      <dgm:prSet presAssocID="{26F4FDB1-CBC9-4498-B063-040E790472CB}" presName="sibTrans" presStyleCnt="0"/>
      <dgm:spPr/>
    </dgm:pt>
    <dgm:pt modelId="{6505E549-BB77-4B43-8527-FE65686B664B}" type="pres">
      <dgm:prSet presAssocID="{F567F732-0E24-440D-86D9-35E571D1CDAE}" presName="node" presStyleLbl="node1" presStyleIdx="1" presStyleCnt="6" custScaleX="90600" custScaleY="46304" custLinFactNeighborX="-3443" custLinFactNeighborY="-126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05AB4402-65B1-4AF6-8C91-DE2D634786D5}" type="pres">
      <dgm:prSet presAssocID="{109B601D-F857-404F-A854-798167382131}" presName="sibTrans" presStyleCnt="0"/>
      <dgm:spPr/>
    </dgm:pt>
    <dgm:pt modelId="{C6E27E08-16DC-4633-B4ED-B5271ADDDBD7}" type="pres">
      <dgm:prSet presAssocID="{3198E8D7-E385-4CEF-B071-089DA4E4F034}" presName="node" presStyleLbl="node1" presStyleIdx="2" presStyleCnt="6" custScaleX="91285" custScaleY="46803" custLinFactNeighborX="-4922" custLinFactNeighborY="-109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5D025289-3EAF-4746-9737-71F34386EF1C}" type="pres">
      <dgm:prSet presAssocID="{9D502BF0-8A52-4061-A34C-A214B50DA044}" presName="sibTrans" presStyleCnt="0"/>
      <dgm:spPr/>
    </dgm:pt>
    <dgm:pt modelId="{610AD2F0-347D-4D66-B40B-BE75DC01C98F}" type="pres">
      <dgm:prSet presAssocID="{7F46A58D-3742-4A5C-BDCC-21E57184A547}" presName="node" presStyleLbl="node1" presStyleIdx="3" presStyleCnt="6" custScaleX="86337" custScaleY="43290" custLinFactNeighborX="-365" custLinFactNeighborY="3922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D6FF91B-2837-4B54-8C5C-ED21ADD1F8B4}" type="pres">
      <dgm:prSet presAssocID="{C6FCF0EC-0B8A-4B49-B970-2E93B437B1A6}" presName="sibTrans" presStyleCnt="0"/>
      <dgm:spPr/>
    </dgm:pt>
    <dgm:pt modelId="{1C425243-2E1D-44CC-A311-661ABC136EC9}" type="pres">
      <dgm:prSet presAssocID="{7A9AEEC6-11CE-4EE2-B0D0-42758784494F}" presName="node" presStyleLbl="node1" presStyleIdx="4" presStyleCnt="6" custAng="10800000" custFlipVert="1" custScaleX="90928" custScaleY="42286" custLinFactNeighborX="-3469" custLinFactNeighborY="4300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D564D1D3-1589-468C-BA05-7E3E281728A9}" type="pres">
      <dgm:prSet presAssocID="{9575C861-6C77-4B9A-8DCF-35D8AB2F8946}" presName="sibTrans" presStyleCnt="0"/>
      <dgm:spPr/>
    </dgm:pt>
    <dgm:pt modelId="{50C2CDC9-3692-4AD5-8E69-E7E22CDEB38D}" type="pres">
      <dgm:prSet presAssocID="{10779BC3-3023-4DCA-A2E1-8615DE16F6B7}" presName="node" presStyleLbl="node1" presStyleIdx="5" presStyleCnt="6" custScaleX="91270" custScaleY="43306" custLinFactNeighborX="-3685" custLinFactNeighborY="3519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</dgm:ptLst>
  <dgm:cxnLst>
    <dgm:cxn modelId="{80BEDC59-83B8-4C09-9C92-0C75D661DE4D}" srcId="{FC54BDED-707E-43A9-BA7E-F9CB413334E1}" destId="{10779BC3-3023-4DCA-A2E1-8615DE16F6B7}" srcOrd="5" destOrd="0" parTransId="{11FBC174-E02D-4B0A-A9FB-6529C231B900}" sibTransId="{BB732497-12CE-4DF1-8741-FF1C28ADFBF3}"/>
    <dgm:cxn modelId="{29247D0F-42A3-46F6-AB28-786927A63C83}" srcId="{FC54BDED-707E-43A9-BA7E-F9CB413334E1}" destId="{3233D048-572E-48DC-9823-419E421C6220}" srcOrd="0" destOrd="0" parTransId="{B02FF88C-F3DF-4833-A116-8518466FD970}" sibTransId="{26F4FDB1-CBC9-4498-B063-040E790472CB}"/>
    <dgm:cxn modelId="{E6318FAA-1C81-43DE-96D2-F3110B8C6EFE}" type="presOf" srcId="{10779BC3-3023-4DCA-A2E1-8615DE16F6B7}" destId="{50C2CDC9-3692-4AD5-8E69-E7E22CDEB38D}" srcOrd="0" destOrd="0" presId="urn:microsoft.com/office/officeart/2005/8/layout/default#1"/>
    <dgm:cxn modelId="{F569C71D-9599-4FB8-B4D7-28E1D8028805}" srcId="{FC54BDED-707E-43A9-BA7E-F9CB413334E1}" destId="{3198E8D7-E385-4CEF-B071-089DA4E4F034}" srcOrd="2" destOrd="0" parTransId="{3587C265-E3C8-490B-9204-9292E318423A}" sibTransId="{9D502BF0-8A52-4061-A34C-A214B50DA044}"/>
    <dgm:cxn modelId="{3675CD04-F4DB-4BBD-829D-21840655C9C1}" type="presOf" srcId="{7F46A58D-3742-4A5C-BDCC-21E57184A547}" destId="{610AD2F0-347D-4D66-B40B-BE75DC01C98F}" srcOrd="0" destOrd="0" presId="urn:microsoft.com/office/officeart/2005/8/layout/default#1"/>
    <dgm:cxn modelId="{FBEFECF2-6985-4441-82DD-B910DE42B595}" srcId="{FC54BDED-707E-43A9-BA7E-F9CB413334E1}" destId="{F567F732-0E24-440D-86D9-35E571D1CDAE}" srcOrd="1" destOrd="0" parTransId="{DE8377E1-7F93-4C9E-9634-4EAEBDD50F88}" sibTransId="{109B601D-F857-404F-A854-798167382131}"/>
    <dgm:cxn modelId="{D0D3285B-643E-4550-BEAC-E9D00117B82B}" type="presOf" srcId="{3198E8D7-E385-4CEF-B071-089DA4E4F034}" destId="{C6E27E08-16DC-4633-B4ED-B5271ADDDBD7}" srcOrd="0" destOrd="0" presId="urn:microsoft.com/office/officeart/2005/8/layout/default#1"/>
    <dgm:cxn modelId="{73F53244-76A7-41BA-82CE-2BBAC0BE1B13}" type="presOf" srcId="{3233D048-572E-48DC-9823-419E421C6220}" destId="{2D04C5E0-C0F6-44CD-A7AA-4D42B34F5F03}" srcOrd="0" destOrd="0" presId="urn:microsoft.com/office/officeart/2005/8/layout/default#1"/>
    <dgm:cxn modelId="{8F653A97-004E-409B-99F6-C9ADCB13F8B4}" type="presOf" srcId="{FC54BDED-707E-43A9-BA7E-F9CB413334E1}" destId="{7DC7CBC0-0330-4F15-BAFA-A04516E4AEA3}" srcOrd="0" destOrd="0" presId="urn:microsoft.com/office/officeart/2005/8/layout/default#1"/>
    <dgm:cxn modelId="{A3D1AFA2-BC09-4BF2-959C-0EE810478E59}" srcId="{FC54BDED-707E-43A9-BA7E-F9CB413334E1}" destId="{7A9AEEC6-11CE-4EE2-B0D0-42758784494F}" srcOrd="4" destOrd="0" parTransId="{7895112F-7DB8-4C5B-9A5F-AC28D0339DC7}" sibTransId="{9575C861-6C77-4B9A-8DCF-35D8AB2F8946}"/>
    <dgm:cxn modelId="{04C9305B-1F16-4F46-9EB9-F59D12F6F31E}" type="presOf" srcId="{F567F732-0E24-440D-86D9-35E571D1CDAE}" destId="{6505E549-BB77-4B43-8527-FE65686B664B}" srcOrd="0" destOrd="0" presId="urn:microsoft.com/office/officeart/2005/8/layout/default#1"/>
    <dgm:cxn modelId="{A7611333-DFC1-4DE0-AE53-78C89B343C49}" srcId="{FC54BDED-707E-43A9-BA7E-F9CB413334E1}" destId="{7F46A58D-3742-4A5C-BDCC-21E57184A547}" srcOrd="3" destOrd="0" parTransId="{E8BA97F2-56F6-4EA2-9B2E-E616399A17F6}" sibTransId="{C6FCF0EC-0B8A-4B49-B970-2E93B437B1A6}"/>
    <dgm:cxn modelId="{BB7A521E-7BA1-4710-A556-F7C4961CA33C}" type="presOf" srcId="{7A9AEEC6-11CE-4EE2-B0D0-42758784494F}" destId="{1C425243-2E1D-44CC-A311-661ABC136EC9}" srcOrd="0" destOrd="0" presId="urn:microsoft.com/office/officeart/2005/8/layout/default#1"/>
    <dgm:cxn modelId="{C34B76F4-4A9D-4307-A2D9-A7CCCAFDB968}" type="presParOf" srcId="{7DC7CBC0-0330-4F15-BAFA-A04516E4AEA3}" destId="{2D04C5E0-C0F6-44CD-A7AA-4D42B34F5F03}" srcOrd="0" destOrd="0" presId="urn:microsoft.com/office/officeart/2005/8/layout/default#1"/>
    <dgm:cxn modelId="{75E8D93D-E9E4-4049-B6ED-939856124846}" type="presParOf" srcId="{7DC7CBC0-0330-4F15-BAFA-A04516E4AEA3}" destId="{E15EC88F-9402-44D0-8ADD-8461E078EFCF}" srcOrd="1" destOrd="0" presId="urn:microsoft.com/office/officeart/2005/8/layout/default#1"/>
    <dgm:cxn modelId="{934FD9A7-8EBE-47A1-8F80-9E69FF2AA22B}" type="presParOf" srcId="{7DC7CBC0-0330-4F15-BAFA-A04516E4AEA3}" destId="{6505E549-BB77-4B43-8527-FE65686B664B}" srcOrd="2" destOrd="0" presId="urn:microsoft.com/office/officeart/2005/8/layout/default#1"/>
    <dgm:cxn modelId="{BD9CFD91-4A46-410A-9613-2527DF4E4F73}" type="presParOf" srcId="{7DC7CBC0-0330-4F15-BAFA-A04516E4AEA3}" destId="{05AB4402-65B1-4AF6-8C91-DE2D634786D5}" srcOrd="3" destOrd="0" presId="urn:microsoft.com/office/officeart/2005/8/layout/default#1"/>
    <dgm:cxn modelId="{AE21C3CA-3D33-4281-AA2D-F0D76575CC6C}" type="presParOf" srcId="{7DC7CBC0-0330-4F15-BAFA-A04516E4AEA3}" destId="{C6E27E08-16DC-4633-B4ED-B5271ADDDBD7}" srcOrd="4" destOrd="0" presId="urn:microsoft.com/office/officeart/2005/8/layout/default#1"/>
    <dgm:cxn modelId="{6B246289-55B2-467D-A1DF-32DBECB1E4C5}" type="presParOf" srcId="{7DC7CBC0-0330-4F15-BAFA-A04516E4AEA3}" destId="{5D025289-3EAF-4746-9737-71F34386EF1C}" srcOrd="5" destOrd="0" presId="urn:microsoft.com/office/officeart/2005/8/layout/default#1"/>
    <dgm:cxn modelId="{2FD19797-5EB6-4CBC-909D-8A9101A44F4F}" type="presParOf" srcId="{7DC7CBC0-0330-4F15-BAFA-A04516E4AEA3}" destId="{610AD2F0-347D-4D66-B40B-BE75DC01C98F}" srcOrd="6" destOrd="0" presId="urn:microsoft.com/office/officeart/2005/8/layout/default#1"/>
    <dgm:cxn modelId="{E5311048-F88F-4A41-9A52-DE8A092C4623}" type="presParOf" srcId="{7DC7CBC0-0330-4F15-BAFA-A04516E4AEA3}" destId="{4D6FF91B-2837-4B54-8C5C-ED21ADD1F8B4}" srcOrd="7" destOrd="0" presId="urn:microsoft.com/office/officeart/2005/8/layout/default#1"/>
    <dgm:cxn modelId="{277E83BD-C1C1-4635-9DA3-8BDC78B4C4D3}" type="presParOf" srcId="{7DC7CBC0-0330-4F15-BAFA-A04516E4AEA3}" destId="{1C425243-2E1D-44CC-A311-661ABC136EC9}" srcOrd="8" destOrd="0" presId="urn:microsoft.com/office/officeart/2005/8/layout/default#1"/>
    <dgm:cxn modelId="{7F6B63E3-F459-4579-85EC-E19F27C642BB}" type="presParOf" srcId="{7DC7CBC0-0330-4F15-BAFA-A04516E4AEA3}" destId="{D564D1D3-1589-468C-BA05-7E3E281728A9}" srcOrd="9" destOrd="0" presId="urn:microsoft.com/office/officeart/2005/8/layout/default#1"/>
    <dgm:cxn modelId="{650DAC4E-537E-446F-BD8E-05203E5DB268}" type="presParOf" srcId="{7DC7CBC0-0330-4F15-BAFA-A04516E4AEA3}" destId="{50C2CDC9-3692-4AD5-8E69-E7E22CDEB38D}" srcOrd="10" destOrd="0" presId="urn:microsoft.com/office/officeart/2005/8/layout/default#1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2D04C5E0-C0F6-44CD-A7AA-4D42B34F5F03}">
      <dsp:nvSpPr>
        <dsp:cNvPr id="0" name=""/>
        <dsp:cNvSpPr/>
      </dsp:nvSpPr>
      <dsp:spPr>
        <a:xfrm>
          <a:off x="493078" y="2195"/>
          <a:ext cx="1193895" cy="379884"/>
        </a:xfrm>
        <a:prstGeom prst="rect">
          <a:avLst/>
        </a:prstGeom>
        <a:gradFill rotWithShape="1">
          <a:gsLst>
            <a:gs pos="0">
              <a:schemeClr val="accent3">
                <a:shade val="51000"/>
                <a:satMod val="130000"/>
              </a:schemeClr>
            </a:gs>
            <a:gs pos="80000">
              <a:schemeClr val="accent3">
                <a:shade val="93000"/>
                <a:satMod val="130000"/>
              </a:schemeClr>
            </a:gs>
            <a:gs pos="100000">
              <a:schemeClr val="accent3"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dsp:spPr>
      <dsp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dsp:style>
      <dsp:txBody>
        <a:bodyPr spcFirstLastPara="0" vert="horz" wrap="square" lIns="34290" tIns="34290" rIns="34290" bIns="34290" numCol="1" spcCol="1270" anchor="ctr" anchorCtr="0">
          <a:noAutofit/>
        </a:bodyPr>
        <a:lstStyle/>
        <a:p>
          <a:pPr lvl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900" kern="1200"/>
            <a:t>Instruções de uso do material</a:t>
          </a:r>
        </a:p>
      </dsp:txBody>
      <dsp:txXfrm>
        <a:off x="493078" y="2195"/>
        <a:ext cx="1193895" cy="379884"/>
      </dsp:txXfrm>
    </dsp:sp>
    <dsp:sp modelId="{6505E549-BB77-4B43-8527-FE65686B664B}">
      <dsp:nvSpPr>
        <dsp:cNvPr id="0" name=""/>
        <dsp:cNvSpPr/>
      </dsp:nvSpPr>
      <dsp:spPr>
        <a:xfrm>
          <a:off x="1806671" y="1161"/>
          <a:ext cx="1238826" cy="379884"/>
        </a:xfrm>
        <a:prstGeom prst="rect">
          <a:avLst/>
        </a:prstGeom>
        <a:gradFill rotWithShape="1">
          <a:gsLst>
            <a:gs pos="0">
              <a:schemeClr val="accent3">
                <a:shade val="51000"/>
                <a:satMod val="130000"/>
              </a:schemeClr>
            </a:gs>
            <a:gs pos="80000">
              <a:schemeClr val="accent3">
                <a:shade val="93000"/>
                <a:satMod val="130000"/>
              </a:schemeClr>
            </a:gs>
            <a:gs pos="100000">
              <a:schemeClr val="accent3"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dsp:spPr>
      <dsp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dsp:style>
      <dsp:txBody>
        <a:bodyPr spcFirstLastPara="0" vert="horz" wrap="square" lIns="30480" tIns="30480" rIns="30480" bIns="30480" numCol="1" spcCol="1270" anchor="ctr" anchorCtr="0">
          <a:noAutofit/>
        </a:bodyPr>
        <a:lstStyle/>
        <a:p>
          <a:pPr lvl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800" kern="1200"/>
            <a:t>Cálculos de estimativa e classificações</a:t>
          </a:r>
        </a:p>
      </dsp:txBody>
      <dsp:txXfrm>
        <a:off x="1806671" y="1161"/>
        <a:ext cx="1238826" cy="379884"/>
      </dsp:txXfrm>
    </dsp:sp>
    <dsp:sp modelId="{C6E27E08-16DC-4633-B4ED-B5271ADDDBD7}">
      <dsp:nvSpPr>
        <dsp:cNvPr id="0" name=""/>
        <dsp:cNvSpPr/>
      </dsp:nvSpPr>
      <dsp:spPr>
        <a:xfrm>
          <a:off x="3162010" y="0"/>
          <a:ext cx="1248192" cy="383978"/>
        </a:xfrm>
        <a:prstGeom prst="rect">
          <a:avLst/>
        </a:prstGeom>
        <a:gradFill rotWithShape="1">
          <a:gsLst>
            <a:gs pos="0">
              <a:schemeClr val="accent3">
                <a:shade val="51000"/>
                <a:satMod val="130000"/>
              </a:schemeClr>
            </a:gs>
            <a:gs pos="80000">
              <a:schemeClr val="accent3">
                <a:shade val="93000"/>
                <a:satMod val="130000"/>
              </a:schemeClr>
            </a:gs>
            <a:gs pos="100000">
              <a:schemeClr val="accent3"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dsp:spPr>
      <dsp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dsp:style>
      <dsp:txBody>
        <a:bodyPr spcFirstLastPara="0" vert="horz" wrap="square" lIns="34290" tIns="34290" rIns="34290" bIns="34290" numCol="1" spcCol="1270" anchor="ctr" anchorCtr="0">
          <a:noAutofit/>
        </a:bodyPr>
        <a:lstStyle/>
        <a:p>
          <a:pPr lvl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900" kern="1200"/>
            <a:t>Inserir medidas coletadas</a:t>
          </a:r>
        </a:p>
      </dsp:txBody>
      <dsp:txXfrm>
        <a:off x="3162010" y="0"/>
        <a:ext cx="1248192" cy="383978"/>
      </dsp:txXfrm>
    </dsp:sp>
    <dsp:sp modelId="{610AD2F0-347D-4D66-B40B-BE75DC01C98F}">
      <dsp:nvSpPr>
        <dsp:cNvPr id="0" name=""/>
        <dsp:cNvSpPr/>
      </dsp:nvSpPr>
      <dsp:spPr>
        <a:xfrm>
          <a:off x="522667" y="521142"/>
          <a:ext cx="1180535" cy="355157"/>
        </a:xfrm>
        <a:prstGeom prst="rect">
          <a:avLst/>
        </a:prstGeom>
        <a:gradFill rotWithShape="1">
          <a:gsLst>
            <a:gs pos="0">
              <a:schemeClr val="accent3">
                <a:shade val="51000"/>
                <a:satMod val="130000"/>
              </a:schemeClr>
            </a:gs>
            <a:gs pos="80000">
              <a:schemeClr val="accent3">
                <a:shade val="93000"/>
                <a:satMod val="130000"/>
              </a:schemeClr>
            </a:gs>
            <a:gs pos="100000">
              <a:schemeClr val="accent3"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dsp:spPr>
      <dsp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dsp:style>
      <dsp:txBody>
        <a:bodyPr spcFirstLastPara="0" vert="horz" wrap="square" lIns="34290" tIns="34290" rIns="34290" bIns="34290" numCol="1" spcCol="1270" anchor="ctr" anchorCtr="0">
          <a:noAutofit/>
        </a:bodyPr>
        <a:lstStyle/>
        <a:p>
          <a:pPr lvl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900" kern="1200"/>
            <a:t>Técnicas antropométricas</a:t>
          </a:r>
        </a:p>
      </dsp:txBody>
      <dsp:txXfrm>
        <a:off x="522667" y="521142"/>
        <a:ext cx="1180535" cy="355157"/>
      </dsp:txXfrm>
    </dsp:sp>
    <dsp:sp modelId="{1C425243-2E1D-44CC-A311-661ABC136EC9}">
      <dsp:nvSpPr>
        <dsp:cNvPr id="0" name=""/>
        <dsp:cNvSpPr/>
      </dsp:nvSpPr>
      <dsp:spPr>
        <a:xfrm rot="10800000" flipV="1">
          <a:off x="1797496" y="529379"/>
          <a:ext cx="1243311" cy="346920"/>
        </a:xfrm>
        <a:prstGeom prst="rect">
          <a:avLst/>
        </a:prstGeom>
        <a:gradFill rotWithShape="1">
          <a:gsLst>
            <a:gs pos="0">
              <a:schemeClr val="accent3">
                <a:shade val="51000"/>
                <a:satMod val="130000"/>
              </a:schemeClr>
            </a:gs>
            <a:gs pos="80000">
              <a:schemeClr val="accent3">
                <a:shade val="93000"/>
                <a:satMod val="130000"/>
              </a:schemeClr>
            </a:gs>
            <a:gs pos="100000">
              <a:schemeClr val="accent3"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dsp:spPr>
      <dsp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dsp:style>
      <dsp:txBody>
        <a:bodyPr spcFirstLastPara="0" vert="horz" wrap="square" lIns="34290" tIns="34290" rIns="34290" bIns="34290" numCol="1" spcCol="1270" anchor="ctr" anchorCtr="0">
          <a:noAutofit/>
        </a:bodyPr>
        <a:lstStyle/>
        <a:p>
          <a:pPr lvl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900" kern="1200"/>
            <a:t>Fontes</a:t>
          </a:r>
        </a:p>
      </dsp:txBody>
      <dsp:txXfrm rot="-10800000">
        <a:off x="1797496" y="529379"/>
        <a:ext cx="1243311" cy="346920"/>
      </dsp:txXfrm>
    </dsp:sp>
    <dsp:sp modelId="{50C2CDC9-3692-4AD5-8E69-E7E22CDEB38D}">
      <dsp:nvSpPr>
        <dsp:cNvPr id="0" name=""/>
        <dsp:cNvSpPr/>
      </dsp:nvSpPr>
      <dsp:spPr>
        <a:xfrm>
          <a:off x="3174590" y="521011"/>
          <a:ext cx="1247987" cy="355288"/>
        </a:xfrm>
        <a:prstGeom prst="rect">
          <a:avLst/>
        </a:prstGeom>
        <a:gradFill rotWithShape="1">
          <a:gsLst>
            <a:gs pos="0">
              <a:schemeClr val="accent3">
                <a:shade val="51000"/>
                <a:satMod val="130000"/>
              </a:schemeClr>
            </a:gs>
            <a:gs pos="80000">
              <a:schemeClr val="accent3">
                <a:shade val="93000"/>
                <a:satMod val="130000"/>
              </a:schemeClr>
            </a:gs>
            <a:gs pos="100000">
              <a:schemeClr val="accent3"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dsp:spPr>
      <dsp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dsp:style>
      <dsp:txBody>
        <a:bodyPr spcFirstLastPara="0" vert="horz" wrap="square" lIns="34290" tIns="34290" rIns="34290" bIns="34290" numCol="1" spcCol="1270" anchor="ctr" anchorCtr="0">
          <a:noAutofit/>
        </a:bodyPr>
        <a:lstStyle/>
        <a:p>
          <a:pPr lvl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900" kern="1200"/>
            <a:t>Créditos e Contato</a:t>
          </a:r>
        </a:p>
      </dsp:txBody>
      <dsp:txXfrm>
        <a:off x="3174590" y="521011"/>
        <a:ext cx="1247987" cy="35528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default#1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wmf"/><Relationship Id="rId3" Type="http://schemas.openxmlformats.org/officeDocument/2006/relationships/hyperlink" Target="#instru!A1"/><Relationship Id="rId7" Type="http://schemas.openxmlformats.org/officeDocument/2006/relationships/hyperlink" Target="#inserir_med!A1"/><Relationship Id="rId12" Type="http://schemas.openxmlformats.org/officeDocument/2006/relationships/image" Target="../media/image6.wmf"/><Relationship Id="rId2" Type="http://schemas.openxmlformats.org/officeDocument/2006/relationships/image" Target="../media/image1.wmf"/><Relationship Id="rId1" Type="http://schemas.openxmlformats.org/officeDocument/2006/relationships/hyperlink" Target="#cr&#233;ditos!A1"/><Relationship Id="rId6" Type="http://schemas.openxmlformats.org/officeDocument/2006/relationships/image" Target="../media/image3.png"/><Relationship Id="rId11" Type="http://schemas.openxmlformats.org/officeDocument/2006/relationships/hyperlink" Target="#fontes!A1"/><Relationship Id="rId5" Type="http://schemas.openxmlformats.org/officeDocument/2006/relationships/hyperlink" Target="#calcest!A1"/><Relationship Id="rId10" Type="http://schemas.openxmlformats.org/officeDocument/2006/relationships/image" Target="../media/image5.wmf"/><Relationship Id="rId4" Type="http://schemas.openxmlformats.org/officeDocument/2006/relationships/image" Target="../media/image2.wmf"/><Relationship Id="rId9" Type="http://schemas.openxmlformats.org/officeDocument/2006/relationships/hyperlink" Target="#tecantrop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png"/><Relationship Id="rId1" Type="http://schemas.openxmlformats.org/officeDocument/2006/relationships/hyperlink" Target="#apresenta&#231;&#227;o!L1C1"/><Relationship Id="rId4" Type="http://schemas.openxmlformats.org/officeDocument/2006/relationships/hyperlink" Target="#calcest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apresenta&#231;&#227;o!L1C1"/><Relationship Id="rId2" Type="http://schemas.openxmlformats.org/officeDocument/2006/relationships/hyperlink" Target="#resultados!L1C1"/><Relationship Id="rId1" Type="http://schemas.openxmlformats.org/officeDocument/2006/relationships/hyperlink" Target="#inserir_med!A1"/><Relationship Id="rId5" Type="http://schemas.openxmlformats.org/officeDocument/2006/relationships/image" Target="../media/image4.wmf"/><Relationship Id="rId4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presenta&#231;&#227;o!L1C1"/><Relationship Id="rId1" Type="http://schemas.openxmlformats.org/officeDocument/2006/relationships/hyperlink" Target="#inserir_med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apresenta&#231;&#227;o!L1C1"/><Relationship Id="rId3" Type="http://schemas.openxmlformats.org/officeDocument/2006/relationships/hyperlink" Target="#cc!A1"/><Relationship Id="rId7" Type="http://schemas.openxmlformats.org/officeDocument/2006/relationships/hyperlink" Target="#'altura do joelho'!L1C1"/><Relationship Id="rId2" Type="http://schemas.openxmlformats.org/officeDocument/2006/relationships/image" Target="../media/image11.gif"/><Relationship Id="rId1" Type="http://schemas.openxmlformats.org/officeDocument/2006/relationships/hyperlink" Target="#estatura!A1"/><Relationship Id="rId6" Type="http://schemas.openxmlformats.org/officeDocument/2006/relationships/image" Target="../media/image5.wmf"/><Relationship Id="rId5" Type="http://schemas.openxmlformats.org/officeDocument/2006/relationships/hyperlink" Target="#circunfpanturr!A1"/><Relationship Id="rId10" Type="http://schemas.openxmlformats.org/officeDocument/2006/relationships/hyperlink" Target="#outra!L1C1"/><Relationship Id="rId4" Type="http://schemas.openxmlformats.org/officeDocument/2006/relationships/hyperlink" Target="#pregacuta!A1"/><Relationship Id="rId9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wmf"/><Relationship Id="rId3" Type="http://schemas.openxmlformats.org/officeDocument/2006/relationships/hyperlink" Target="#cc!A1"/><Relationship Id="rId7" Type="http://schemas.openxmlformats.org/officeDocument/2006/relationships/image" Target="../media/image13.emf"/><Relationship Id="rId12" Type="http://schemas.openxmlformats.org/officeDocument/2006/relationships/hyperlink" Target="#'altura do joelho'!L1C1"/><Relationship Id="rId2" Type="http://schemas.openxmlformats.org/officeDocument/2006/relationships/image" Target="../media/image11.gif"/><Relationship Id="rId1" Type="http://schemas.openxmlformats.org/officeDocument/2006/relationships/hyperlink" Target="#estatura!A1"/><Relationship Id="rId6" Type="http://schemas.openxmlformats.org/officeDocument/2006/relationships/image" Target="../media/image12.emf"/><Relationship Id="rId11" Type="http://schemas.openxmlformats.org/officeDocument/2006/relationships/hyperlink" Target="#outra!L1C1"/><Relationship Id="rId5" Type="http://schemas.openxmlformats.org/officeDocument/2006/relationships/hyperlink" Target="#circunfpanturr!A1"/><Relationship Id="rId10" Type="http://schemas.openxmlformats.org/officeDocument/2006/relationships/image" Target="../media/image7.png"/><Relationship Id="rId4" Type="http://schemas.openxmlformats.org/officeDocument/2006/relationships/hyperlink" Target="#pregacuta!A1"/><Relationship Id="rId9" Type="http://schemas.openxmlformats.org/officeDocument/2006/relationships/hyperlink" Target="#apresenta&#231;&#227;o!L1C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apresenta&#231;&#227;o!L1C1"/><Relationship Id="rId3" Type="http://schemas.openxmlformats.org/officeDocument/2006/relationships/hyperlink" Target="#cc!A1"/><Relationship Id="rId7" Type="http://schemas.openxmlformats.org/officeDocument/2006/relationships/hyperlink" Target="#outra!L1C1"/><Relationship Id="rId2" Type="http://schemas.openxmlformats.org/officeDocument/2006/relationships/image" Target="../media/image11.gif"/><Relationship Id="rId1" Type="http://schemas.openxmlformats.org/officeDocument/2006/relationships/hyperlink" Target="#estatura!A1"/><Relationship Id="rId6" Type="http://schemas.openxmlformats.org/officeDocument/2006/relationships/image" Target="../media/image5.wmf"/><Relationship Id="rId5" Type="http://schemas.openxmlformats.org/officeDocument/2006/relationships/hyperlink" Target="#circunfpanturr!A1"/><Relationship Id="rId10" Type="http://schemas.openxmlformats.org/officeDocument/2006/relationships/hyperlink" Target="#'altura do joelho'!L1C1"/><Relationship Id="rId4" Type="http://schemas.openxmlformats.org/officeDocument/2006/relationships/hyperlink" Target="#pregacuta!A1"/><Relationship Id="rId9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apresenta&#231;&#227;o!L1C1"/><Relationship Id="rId3" Type="http://schemas.openxmlformats.org/officeDocument/2006/relationships/hyperlink" Target="#cc!A1"/><Relationship Id="rId7" Type="http://schemas.openxmlformats.org/officeDocument/2006/relationships/image" Target="../media/image5.wmf"/><Relationship Id="rId2" Type="http://schemas.openxmlformats.org/officeDocument/2006/relationships/image" Target="../media/image11.gif"/><Relationship Id="rId1" Type="http://schemas.openxmlformats.org/officeDocument/2006/relationships/hyperlink" Target="#estatura!A1"/><Relationship Id="rId6" Type="http://schemas.openxmlformats.org/officeDocument/2006/relationships/image" Target="../media/image15.emf"/><Relationship Id="rId11" Type="http://schemas.openxmlformats.org/officeDocument/2006/relationships/hyperlink" Target="#'altura do joelho'!L1C1"/><Relationship Id="rId5" Type="http://schemas.openxmlformats.org/officeDocument/2006/relationships/image" Target="../media/image14.emf"/><Relationship Id="rId10" Type="http://schemas.openxmlformats.org/officeDocument/2006/relationships/hyperlink" Target="#outra!L1C1"/><Relationship Id="rId4" Type="http://schemas.openxmlformats.org/officeDocument/2006/relationships/hyperlink" Target="#circunfpanturr!A1"/><Relationship Id="rId9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outra!L1C1"/><Relationship Id="rId3" Type="http://schemas.openxmlformats.org/officeDocument/2006/relationships/hyperlink" Target="#cc!A1"/><Relationship Id="rId7" Type="http://schemas.openxmlformats.org/officeDocument/2006/relationships/image" Target="../media/image7.png"/><Relationship Id="rId2" Type="http://schemas.openxmlformats.org/officeDocument/2006/relationships/image" Target="../media/image11.gif"/><Relationship Id="rId1" Type="http://schemas.openxmlformats.org/officeDocument/2006/relationships/hyperlink" Target="#estatura!A1"/><Relationship Id="rId6" Type="http://schemas.openxmlformats.org/officeDocument/2006/relationships/hyperlink" Target="#apresenta&#231;&#227;o!L1C1"/><Relationship Id="rId5" Type="http://schemas.openxmlformats.org/officeDocument/2006/relationships/image" Target="../media/image5.wmf"/><Relationship Id="rId4" Type="http://schemas.openxmlformats.org/officeDocument/2006/relationships/hyperlink" Target="#pregacuta!A1"/><Relationship Id="rId9" Type="http://schemas.openxmlformats.org/officeDocument/2006/relationships/hyperlink" Target="#'altura do joelho'!L1C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apresenta&#231;&#227;o!L1C1"/><Relationship Id="rId3" Type="http://schemas.openxmlformats.org/officeDocument/2006/relationships/hyperlink" Target="#cc!A1"/><Relationship Id="rId7" Type="http://schemas.openxmlformats.org/officeDocument/2006/relationships/hyperlink" Target="#'altura do joelho'!L1C1"/><Relationship Id="rId2" Type="http://schemas.openxmlformats.org/officeDocument/2006/relationships/image" Target="../media/image11.gif"/><Relationship Id="rId1" Type="http://schemas.openxmlformats.org/officeDocument/2006/relationships/hyperlink" Target="#estatura!A1"/><Relationship Id="rId6" Type="http://schemas.openxmlformats.org/officeDocument/2006/relationships/hyperlink" Target="#outra!L1C1"/><Relationship Id="rId5" Type="http://schemas.openxmlformats.org/officeDocument/2006/relationships/hyperlink" Target="#circunfpanturr!A1"/><Relationship Id="rId10" Type="http://schemas.openxmlformats.org/officeDocument/2006/relationships/image" Target="../media/image5.wmf"/><Relationship Id="rId4" Type="http://schemas.openxmlformats.org/officeDocument/2006/relationships/hyperlink" Target="#pregacuta!A1"/><Relationship Id="rId9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apresenta&#231;&#227;o!L1C1"/><Relationship Id="rId3" Type="http://schemas.openxmlformats.org/officeDocument/2006/relationships/hyperlink" Target="#cc!A1"/><Relationship Id="rId7" Type="http://schemas.openxmlformats.org/officeDocument/2006/relationships/image" Target="../media/image5.wmf"/><Relationship Id="rId2" Type="http://schemas.openxmlformats.org/officeDocument/2006/relationships/image" Target="../media/image11.gif"/><Relationship Id="rId1" Type="http://schemas.openxmlformats.org/officeDocument/2006/relationships/hyperlink" Target="#estatura!A1"/><Relationship Id="rId6" Type="http://schemas.openxmlformats.org/officeDocument/2006/relationships/hyperlink" Target="http://www.fsp.usp.br/site/paginas/mostrar/56" TargetMode="External"/><Relationship Id="rId5" Type="http://schemas.openxmlformats.org/officeDocument/2006/relationships/hyperlink" Target="#circunfpanturr!A1"/><Relationship Id="rId10" Type="http://schemas.openxmlformats.org/officeDocument/2006/relationships/hyperlink" Target="#'altura do joelho'!L1C1"/><Relationship Id="rId4" Type="http://schemas.openxmlformats.org/officeDocument/2006/relationships/hyperlink" Target="#pregacuta!A1"/><Relationship Id="rId9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apresenta&#231;&#227;o!L1C1"/><Relationship Id="rId2" Type="http://schemas.openxmlformats.org/officeDocument/2006/relationships/hyperlink" Target="#compre!A1"/><Relationship Id="rId1" Type="http://schemas.openxmlformats.org/officeDocument/2006/relationships/hyperlink" Target="#estado!A1"/><Relationship Id="rId6" Type="http://schemas.openxmlformats.org/officeDocument/2006/relationships/image" Target="../media/image2.wmf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presenta&#231;&#227;o!L1C1"/><Relationship Id="rId1" Type="http://schemas.openxmlformats.org/officeDocument/2006/relationships/hyperlink" Target="#calcest!A1"/><Relationship Id="rId6" Type="http://schemas.openxmlformats.org/officeDocument/2006/relationships/hyperlink" Target="#class!A1"/><Relationship Id="rId5" Type="http://schemas.openxmlformats.org/officeDocument/2006/relationships/image" Target="../media/image3.png"/><Relationship Id="rId4" Type="http://schemas.openxmlformats.org/officeDocument/2006/relationships/hyperlink" Target="#calcu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apresenta&#231;&#227;o!L1C1"/><Relationship Id="rId2" Type="http://schemas.openxmlformats.org/officeDocument/2006/relationships/hyperlink" Target="#calcu!A1"/><Relationship Id="rId1" Type="http://schemas.openxmlformats.org/officeDocument/2006/relationships/hyperlink" Target="#medidas!A1"/><Relationship Id="rId5" Type="http://schemas.openxmlformats.org/officeDocument/2006/relationships/image" Target="../media/image4.wmf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presenta&#231;&#227;o!L1C1"/><Relationship Id="rId1" Type="http://schemas.openxmlformats.org/officeDocument/2006/relationships/hyperlink" Target="#fontes!A1"/><Relationship Id="rId4" Type="http://schemas.openxmlformats.org/officeDocument/2006/relationships/image" Target="../media/image6.w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wmf"/><Relationship Id="rId3" Type="http://schemas.openxmlformats.org/officeDocument/2006/relationships/hyperlink" Target="mailto:lanpop.hnt@gmail.com" TargetMode="External"/><Relationship Id="rId7" Type="http://schemas.openxmlformats.org/officeDocument/2006/relationships/image" Target="../media/image10.gif"/><Relationship Id="rId2" Type="http://schemas.openxmlformats.org/officeDocument/2006/relationships/hyperlink" Target="http://www.fsp.usp.br/lanpop/" TargetMode="External"/><Relationship Id="rId1" Type="http://schemas.openxmlformats.org/officeDocument/2006/relationships/image" Target="../media/image9.jpeg"/><Relationship Id="rId6" Type="http://schemas.openxmlformats.org/officeDocument/2006/relationships/hyperlink" Target="http://www.fsp.usp.br/" TargetMode="External"/><Relationship Id="rId5" Type="http://schemas.openxmlformats.org/officeDocument/2006/relationships/image" Target="../media/image7.png"/><Relationship Id="rId10" Type="http://schemas.openxmlformats.org/officeDocument/2006/relationships/hyperlink" Target="mailto:lapi@fsp.usp.br" TargetMode="External"/><Relationship Id="rId4" Type="http://schemas.openxmlformats.org/officeDocument/2006/relationships/hyperlink" Target="#apresenta&#231;&#227;o!L1C1"/><Relationship Id="rId9" Type="http://schemas.openxmlformats.org/officeDocument/2006/relationships/hyperlink" Target="http://www.fsp.usp.br/site/paginas/mostrar/60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apresenta&#231;&#227;o!L1C1"/><Relationship Id="rId2" Type="http://schemas.openxmlformats.org/officeDocument/2006/relationships/hyperlink" Target="#instru!A1"/><Relationship Id="rId1" Type="http://schemas.openxmlformats.org/officeDocument/2006/relationships/hyperlink" Target="#estado!A1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apresenta&#231;&#227;o!L1C1"/><Relationship Id="rId3" Type="http://schemas.openxmlformats.org/officeDocument/2006/relationships/diagramQuickStyle" Target="../diagrams/quickStyle1.xml"/><Relationship Id="rId7" Type="http://schemas.openxmlformats.org/officeDocument/2006/relationships/hyperlink" Target="#compre!A1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hyperlink" Target="#instru!A1"/><Relationship Id="rId5" Type="http://schemas.microsoft.com/office/2007/relationships/diagramDrawing" Target="../diagrams/drawing1.xml"/><Relationship Id="rId10" Type="http://schemas.openxmlformats.org/officeDocument/2006/relationships/image" Target="../media/image8.png"/><Relationship Id="rId4" Type="http://schemas.openxmlformats.org/officeDocument/2006/relationships/diagramColors" Target="../diagrams/colors1.xml"/><Relationship Id="rId9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png"/><Relationship Id="rId1" Type="http://schemas.openxmlformats.org/officeDocument/2006/relationships/hyperlink" Target="#apresenta&#231;&#227;o!L1C1"/><Relationship Id="rId4" Type="http://schemas.openxmlformats.org/officeDocument/2006/relationships/hyperlink" Target="#calcest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38101</xdr:colOff>
      <xdr:row>3</xdr:row>
      <xdr:rowOff>152400</xdr:rowOff>
    </xdr:from>
    <xdr:to>
      <xdr:col>14</xdr:col>
      <xdr:colOff>400051</xdr:colOff>
      <xdr:row>9</xdr:row>
      <xdr:rowOff>57150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647701" y="314325"/>
          <a:ext cx="7067550" cy="876300"/>
        </a:xfrm>
        <a:prstGeom prst="roundRect">
          <a:avLst>
            <a:gd name="adj" fmla="val 16667"/>
          </a:avLst>
        </a:prstGeom>
        <a:ln>
          <a:headEnd/>
          <a:tailEnd/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wrap="square" lIns="45720" tIns="45720" rIns="45720" bIns="45720" anchor="ctr" upright="1"/>
        <a:lstStyle/>
        <a:p>
          <a:pPr algn="ctr" rtl="1">
            <a:defRPr sz="1000"/>
          </a:pPr>
          <a:r>
            <a:rPr lang="pt-BR" sz="1800" b="1" i="0" strike="noStrike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/>
              <a:latin typeface="Book Antiqua" pitchFamily="18" charset="0"/>
            </a:rPr>
            <a:t>Planilha para estimativa do estado nutricional de idosos com 60 anos ou mais</a:t>
          </a:r>
        </a:p>
      </xdr:txBody>
    </xdr:sp>
    <xdr:clientData/>
  </xdr:twoCellAnchor>
  <xdr:twoCellAnchor>
    <xdr:from>
      <xdr:col>11</xdr:col>
      <xdr:colOff>9525</xdr:colOff>
      <xdr:row>17</xdr:row>
      <xdr:rowOff>0</xdr:rowOff>
    </xdr:from>
    <xdr:to>
      <xdr:col>13</xdr:col>
      <xdr:colOff>485775</xdr:colOff>
      <xdr:row>21</xdr:row>
      <xdr:rowOff>19050</xdr:rowOff>
    </xdr:to>
    <xdr:sp macro="" textlink="">
      <xdr:nvSpPr>
        <xdr:cNvPr id="7" name="Retângulo de cantos arredondados 6">
          <a:hlinkClick xmlns:r="http://schemas.openxmlformats.org/officeDocument/2006/relationships" r:id="rId1"/>
        </xdr:cNvPr>
        <xdr:cNvSpPr/>
      </xdr:nvSpPr>
      <xdr:spPr>
        <a:xfrm>
          <a:off x="5495925" y="2428875"/>
          <a:ext cx="1695450" cy="666750"/>
        </a:xfrm>
        <a:prstGeom prst="round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>
            <a:lnSpc>
              <a:spcPts val="1400"/>
            </a:lnSpc>
          </a:pPr>
          <a:r>
            <a:rPr lang="pt-BR" sz="1100">
              <a:solidFill>
                <a:sysClr val="windowText" lastClr="000000"/>
              </a:solidFill>
            </a:rPr>
            <a:t>Crédito</a:t>
          </a:r>
          <a:r>
            <a:rPr lang="pt-BR" sz="1100" baseline="0">
              <a:solidFill>
                <a:sysClr val="windowText" lastClr="000000"/>
              </a:solidFill>
            </a:rPr>
            <a:t>s e Contato</a:t>
          </a:r>
        </a:p>
        <a:p>
          <a:pPr algn="ctr">
            <a:lnSpc>
              <a:spcPts val="1400"/>
            </a:lnSpc>
          </a:pPr>
          <a:endParaRPr lang="pt-BR" sz="1100"/>
        </a:p>
      </xdr:txBody>
    </xdr:sp>
    <xdr:clientData/>
  </xdr:twoCellAnchor>
  <xdr:twoCellAnchor>
    <xdr:from>
      <xdr:col>13</xdr:col>
      <xdr:colOff>133350</xdr:colOff>
      <xdr:row>19</xdr:row>
      <xdr:rowOff>95250</xdr:rowOff>
    </xdr:from>
    <xdr:to>
      <xdr:col>13</xdr:col>
      <xdr:colOff>491976</xdr:colOff>
      <xdr:row>22</xdr:row>
      <xdr:rowOff>15317</xdr:rowOff>
    </xdr:to>
    <xdr:pic>
      <xdr:nvPicPr>
        <xdr:cNvPr id="8" name="Picture 1107" descr="C:\Users\Lanpop\AppData\Local\Microsoft\Windows\Temporary Internet Files\Content.IE5\J5H9SAEO\MC900354013[1].wm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38950" y="2847975"/>
          <a:ext cx="358626" cy="40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485775</xdr:colOff>
      <xdr:row>11</xdr:row>
      <xdr:rowOff>28575</xdr:rowOff>
    </xdr:from>
    <xdr:to>
      <xdr:col>6</xdr:col>
      <xdr:colOff>352425</xdr:colOff>
      <xdr:row>15</xdr:row>
      <xdr:rowOff>47625</xdr:rowOff>
    </xdr:to>
    <xdr:sp macro="" textlink="">
      <xdr:nvSpPr>
        <xdr:cNvPr id="11" name="Retângulo de cantos arredondados 10">
          <a:hlinkClick xmlns:r="http://schemas.openxmlformats.org/officeDocument/2006/relationships" r:id="rId3"/>
        </xdr:cNvPr>
        <xdr:cNvSpPr/>
      </xdr:nvSpPr>
      <xdr:spPr>
        <a:xfrm>
          <a:off x="1095375" y="1485900"/>
          <a:ext cx="1695450" cy="666750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lnSpc>
              <a:spcPts val="1400"/>
            </a:lnSpc>
          </a:pPr>
          <a:r>
            <a:rPr lang="pt-BR" sz="1100">
              <a:solidFill>
                <a:sysClr val="windowText" lastClr="000000"/>
              </a:solidFill>
            </a:rPr>
            <a:t>Instruções</a:t>
          </a:r>
          <a:r>
            <a:rPr lang="pt-BR" sz="1100" baseline="0">
              <a:solidFill>
                <a:sysClr val="windowText" lastClr="000000"/>
              </a:solidFill>
            </a:rPr>
            <a:t> de uso do material</a:t>
          </a:r>
          <a:endParaRPr lang="pt-BR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28574</xdr:colOff>
      <xdr:row>13</xdr:row>
      <xdr:rowOff>94806</xdr:rowOff>
    </xdr:from>
    <xdr:to>
      <xdr:col>4</xdr:col>
      <xdr:colOff>314325</xdr:colOff>
      <xdr:row>16</xdr:row>
      <xdr:rowOff>88679</xdr:rowOff>
    </xdr:to>
    <xdr:pic>
      <xdr:nvPicPr>
        <xdr:cNvPr id="12" name="Picture 70" descr="C:\Program Files\Microsoft Office\MEDIA\CAGCAT10\j0299125.wm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47774" y="1875981"/>
          <a:ext cx="285751" cy="479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314325</xdr:colOff>
      <xdr:row>11</xdr:row>
      <xdr:rowOff>9525</xdr:rowOff>
    </xdr:from>
    <xdr:to>
      <xdr:col>10</xdr:col>
      <xdr:colOff>266700</xdr:colOff>
      <xdr:row>15</xdr:row>
      <xdr:rowOff>47625</xdr:rowOff>
    </xdr:to>
    <xdr:sp macro="" textlink="">
      <xdr:nvSpPr>
        <xdr:cNvPr id="15" name="Retângulo de cantos arredondados 14">
          <a:hlinkClick xmlns:r="http://schemas.openxmlformats.org/officeDocument/2006/relationships" r:id="rId5"/>
        </xdr:cNvPr>
        <xdr:cNvSpPr/>
      </xdr:nvSpPr>
      <xdr:spPr>
        <a:xfrm>
          <a:off x="3362325" y="1466850"/>
          <a:ext cx="1781175" cy="685800"/>
        </a:xfrm>
        <a:prstGeom prst="roundRect">
          <a:avLst/>
        </a:prstGeom>
        <a:solidFill>
          <a:schemeClr val="accent6"/>
        </a:solidFill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solidFill>
                <a:sysClr val="windowText" lastClr="000000"/>
              </a:solidFill>
            </a:rPr>
            <a:t>Cálculos</a:t>
          </a:r>
          <a:r>
            <a:rPr lang="pt-BR" sz="1050" baseline="0">
              <a:solidFill>
                <a:sysClr val="windowText" lastClr="000000"/>
              </a:solidFill>
            </a:rPr>
            <a:t>  de estimativa e classificações</a:t>
          </a:r>
          <a:r>
            <a:rPr lang="pt-BR" sz="1000" baseline="0">
              <a:solidFill>
                <a:sysClr val="windowText" lastClr="000000"/>
              </a:solidFill>
            </a:rPr>
            <a:t> </a:t>
          </a:r>
        </a:p>
        <a:p>
          <a:pPr algn="ctr"/>
          <a:r>
            <a:rPr lang="pt-BR" sz="1050" baseline="0">
              <a:solidFill>
                <a:sysClr val="windowText" lastClr="000000"/>
              </a:solidFill>
            </a:rPr>
            <a:t> </a:t>
          </a:r>
          <a:endParaRPr lang="pt-BR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561975</xdr:colOff>
      <xdr:row>12</xdr:row>
      <xdr:rowOff>155484</xdr:rowOff>
    </xdr:from>
    <xdr:to>
      <xdr:col>8</xdr:col>
      <xdr:colOff>9525</xdr:colOff>
      <xdr:row>17</xdr:row>
      <xdr:rowOff>39171</xdr:rowOff>
    </xdr:to>
    <xdr:pic>
      <xdr:nvPicPr>
        <xdr:cNvPr id="16" name="Picture 55" descr="C:\Users\Natália\AppData\Local\Microsoft\Windows\Temporary Internet Files\Content.IE5\8DW2NJPU\MC900433845[1]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00375" y="1774734"/>
          <a:ext cx="666750" cy="69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28575</xdr:colOff>
      <xdr:row>11</xdr:row>
      <xdr:rowOff>19050</xdr:rowOff>
    </xdr:from>
    <xdr:to>
      <xdr:col>13</xdr:col>
      <xdr:colOff>504825</xdr:colOff>
      <xdr:row>15</xdr:row>
      <xdr:rowOff>38100</xdr:rowOff>
    </xdr:to>
    <xdr:sp macro="" textlink="">
      <xdr:nvSpPr>
        <xdr:cNvPr id="17" name="Retângulo de cantos arredondados 16">
          <a:hlinkClick xmlns:r="http://schemas.openxmlformats.org/officeDocument/2006/relationships" r:id="rId7"/>
        </xdr:cNvPr>
        <xdr:cNvSpPr/>
      </xdr:nvSpPr>
      <xdr:spPr>
        <a:xfrm>
          <a:off x="5514975" y="1476375"/>
          <a:ext cx="1695450" cy="666750"/>
        </a:xfrm>
        <a:prstGeom prst="roundRect">
          <a:avLst/>
        </a:prstGeom>
        <a:solidFill>
          <a:srgbClr val="FFCC00"/>
        </a:solidFill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lnSpc>
              <a:spcPts val="1400"/>
            </a:lnSpc>
          </a:pPr>
          <a:r>
            <a:rPr lang="pt-BR" sz="1100">
              <a:solidFill>
                <a:sysClr val="windowText" lastClr="000000"/>
              </a:solidFill>
            </a:rPr>
            <a:t>Avaliação nutricional</a:t>
          </a:r>
        </a:p>
      </xdr:txBody>
    </xdr:sp>
    <xdr:clientData/>
  </xdr:twoCellAnchor>
  <xdr:twoCellAnchor>
    <xdr:from>
      <xdr:col>13</xdr:col>
      <xdr:colOff>314325</xdr:colOff>
      <xdr:row>13</xdr:row>
      <xdr:rowOff>38100</xdr:rowOff>
    </xdr:from>
    <xdr:to>
      <xdr:col>14</xdr:col>
      <xdr:colOff>65120</xdr:colOff>
      <xdr:row>16</xdr:row>
      <xdr:rowOff>72152</xdr:rowOff>
    </xdr:to>
    <xdr:pic>
      <xdr:nvPicPr>
        <xdr:cNvPr id="18" name="Picture 94" descr="C:\Users\Natália\AppData\Local\Microsoft\Windows\Temporary Internet Files\Content.IE5\LT00TPWD\MC900088888[1].wm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019925" y="1819275"/>
          <a:ext cx="360395" cy="519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466725</xdr:colOff>
      <xdr:row>17</xdr:row>
      <xdr:rowOff>9525</xdr:rowOff>
    </xdr:from>
    <xdr:to>
      <xdr:col>6</xdr:col>
      <xdr:colOff>333375</xdr:colOff>
      <xdr:row>21</xdr:row>
      <xdr:rowOff>28575</xdr:rowOff>
    </xdr:to>
    <xdr:sp macro="" textlink="">
      <xdr:nvSpPr>
        <xdr:cNvPr id="20" name="Retângulo de cantos arredondados 19">
          <a:hlinkClick xmlns:r="http://schemas.openxmlformats.org/officeDocument/2006/relationships" r:id="rId9"/>
        </xdr:cNvPr>
        <xdr:cNvSpPr/>
      </xdr:nvSpPr>
      <xdr:spPr>
        <a:xfrm>
          <a:off x="1076325" y="2438400"/>
          <a:ext cx="1695450" cy="666750"/>
        </a:xfrm>
        <a:prstGeom prst="roundRect">
          <a:avLst/>
        </a:prstGeom>
        <a:solidFill>
          <a:schemeClr val="accent3">
            <a:lumMod val="75000"/>
          </a:schemeClr>
        </a:solidFill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lnSpc>
              <a:spcPts val="1400"/>
            </a:lnSpc>
          </a:pPr>
          <a:r>
            <a:rPr lang="pt-BR" sz="1100">
              <a:solidFill>
                <a:sysClr val="windowText" lastClr="000000"/>
              </a:solidFill>
            </a:rPr>
            <a:t>Técnicas</a:t>
          </a:r>
          <a:r>
            <a:rPr lang="pt-BR" sz="1100" baseline="0">
              <a:solidFill>
                <a:sysClr val="windowText" lastClr="000000"/>
              </a:solidFill>
            </a:rPr>
            <a:t> antropométricas</a:t>
          </a:r>
          <a:endParaRPr lang="pt-BR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3</xdr:col>
      <xdr:colOff>209550</xdr:colOff>
      <xdr:row>19</xdr:row>
      <xdr:rowOff>95250</xdr:rowOff>
    </xdr:from>
    <xdr:to>
      <xdr:col>4</xdr:col>
      <xdr:colOff>66675</xdr:colOff>
      <xdr:row>22</xdr:row>
      <xdr:rowOff>95250</xdr:rowOff>
    </xdr:to>
    <xdr:pic>
      <xdr:nvPicPr>
        <xdr:cNvPr id="21" name="Picture 1" descr="C:\Users\Lanpop\AppData\Local\Microsoft\Windows\Temporary Internet Files\Content.IE5\FJAY0NAO\MC900352217[1].wm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19150" y="2847975"/>
          <a:ext cx="4667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352425</xdr:colOff>
      <xdr:row>17</xdr:row>
      <xdr:rowOff>19050</xdr:rowOff>
    </xdr:from>
    <xdr:to>
      <xdr:col>10</xdr:col>
      <xdr:colOff>219075</xdr:colOff>
      <xdr:row>21</xdr:row>
      <xdr:rowOff>38100</xdr:rowOff>
    </xdr:to>
    <xdr:sp macro="" textlink="">
      <xdr:nvSpPr>
        <xdr:cNvPr id="25" name="Retângulo de cantos arredondados 24">
          <a:hlinkClick xmlns:r="http://schemas.openxmlformats.org/officeDocument/2006/relationships" r:id="rId11"/>
        </xdr:cNvPr>
        <xdr:cNvSpPr/>
      </xdr:nvSpPr>
      <xdr:spPr>
        <a:xfrm>
          <a:off x="3400425" y="2447925"/>
          <a:ext cx="1695450" cy="666750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aseline="0">
              <a:solidFill>
                <a:sysClr val="windowText" lastClr="000000"/>
              </a:solidFill>
            </a:rPr>
            <a:t>Bibliografia</a:t>
          </a:r>
          <a:r>
            <a:rPr lang="pt-BR" sz="1100" baseline="0"/>
            <a:t> </a:t>
          </a:r>
          <a:endParaRPr lang="pt-BR" sz="1100"/>
        </a:p>
      </xdr:txBody>
    </xdr:sp>
    <xdr:clientData/>
  </xdr:twoCellAnchor>
  <xdr:twoCellAnchor>
    <xdr:from>
      <xdr:col>9</xdr:col>
      <xdr:colOff>600074</xdr:colOff>
      <xdr:row>17</xdr:row>
      <xdr:rowOff>157248</xdr:rowOff>
    </xdr:from>
    <xdr:to>
      <xdr:col>10</xdr:col>
      <xdr:colOff>276225</xdr:colOff>
      <xdr:row>22</xdr:row>
      <xdr:rowOff>73410</xdr:rowOff>
    </xdr:to>
    <xdr:pic>
      <xdr:nvPicPr>
        <xdr:cNvPr id="28" name="Picture 1086" descr="C:\Users\Lanpop\AppData\Local\Microsoft\Windows\Temporary Internet Files\Content.IE5\J5H9SAEO\MC900078711[1].wm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867274" y="2586123"/>
          <a:ext cx="285751" cy="725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295274</xdr:colOff>
      <xdr:row>1</xdr:row>
      <xdr:rowOff>47624</xdr:rowOff>
    </xdr:from>
    <xdr:to>
      <xdr:col>9</xdr:col>
      <xdr:colOff>228599</xdr:colOff>
      <xdr:row>6</xdr:row>
      <xdr:rowOff>142875</xdr:rowOff>
    </xdr:to>
    <xdr:sp macro="" textlink="">
      <xdr:nvSpPr>
        <xdr:cNvPr id="2" name="Elipse 1"/>
        <xdr:cNvSpPr/>
      </xdr:nvSpPr>
      <xdr:spPr>
        <a:xfrm>
          <a:off x="2733674" y="209549"/>
          <a:ext cx="2981325" cy="904876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Classificações</a:t>
          </a:r>
          <a:endParaRPr lang="pt-BR" sz="1200"/>
        </a:p>
      </xdr:txBody>
    </xdr:sp>
    <xdr:clientData/>
  </xdr:twoCellAnchor>
  <xdr:twoCellAnchor editAs="oneCell">
    <xdr:from>
      <xdr:col>0</xdr:col>
      <xdr:colOff>95250</xdr:colOff>
      <xdr:row>0</xdr:row>
      <xdr:rowOff>57150</xdr:rowOff>
    </xdr:from>
    <xdr:to>
      <xdr:col>0</xdr:col>
      <xdr:colOff>590550</xdr:colOff>
      <xdr:row>3</xdr:row>
      <xdr:rowOff>66675</xdr:rowOff>
    </xdr:to>
    <xdr:pic>
      <xdr:nvPicPr>
        <xdr:cNvPr id="5" name="Picture 57" descr="C:\Users\Natália\AppData\Local\Microsoft\Windows\Temporary Internet Files\Content.IE5\3WYPPG2D\MC900442122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95250" y="57150"/>
          <a:ext cx="4953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400049</xdr:colOff>
      <xdr:row>3</xdr:row>
      <xdr:rowOff>19049</xdr:rowOff>
    </xdr:from>
    <xdr:to>
      <xdr:col>8</xdr:col>
      <xdr:colOff>457199</xdr:colOff>
      <xdr:row>7</xdr:row>
      <xdr:rowOff>64661</xdr:rowOff>
    </xdr:to>
    <xdr:pic>
      <xdr:nvPicPr>
        <xdr:cNvPr id="6" name="Picture 55" descr="C:\Users\Natália\AppData\Local\Microsoft\Windows\Temporary Internet Files\Content.IE5\8DW2NJPU\MC900433845[1]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67249" y="504824"/>
          <a:ext cx="666750" cy="69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20</xdr:row>
      <xdr:rowOff>9526</xdr:rowOff>
    </xdr:from>
    <xdr:to>
      <xdr:col>1</xdr:col>
      <xdr:colOff>416175</xdr:colOff>
      <xdr:row>22</xdr:row>
      <xdr:rowOff>117676</xdr:rowOff>
    </xdr:to>
    <xdr:sp macro="" textlink="">
      <xdr:nvSpPr>
        <xdr:cNvPr id="7" name="Seta para a esquerda 6">
          <a:hlinkClick xmlns:r="http://schemas.openxmlformats.org/officeDocument/2006/relationships" r:id="rId4"/>
        </xdr:cNvPr>
        <xdr:cNvSpPr/>
      </xdr:nvSpPr>
      <xdr:spPr>
        <a:xfrm>
          <a:off x="485775" y="3248026"/>
          <a:ext cx="540000" cy="432000"/>
        </a:xfrm>
        <a:prstGeom prst="lef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7641</xdr:colOff>
      <xdr:row>1</xdr:row>
      <xdr:rowOff>31401</xdr:rowOff>
    </xdr:from>
    <xdr:to>
      <xdr:col>10</xdr:col>
      <xdr:colOff>805962</xdr:colOff>
      <xdr:row>4</xdr:row>
      <xdr:rowOff>69501</xdr:rowOff>
    </xdr:to>
    <xdr:sp macro="" textlink="">
      <xdr:nvSpPr>
        <xdr:cNvPr id="2" name="Retângulo de cantos arredondados 1"/>
        <xdr:cNvSpPr/>
      </xdr:nvSpPr>
      <xdr:spPr>
        <a:xfrm>
          <a:off x="2938410" y="31401"/>
          <a:ext cx="5487552" cy="509116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tx2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Insira</a:t>
          </a:r>
          <a:r>
            <a:rPr lang="pt-BR" sz="1400" b="1" baseline="0">
              <a:solidFill>
                <a:schemeClr val="tx2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as medidas coletadas</a:t>
          </a:r>
          <a:endParaRPr lang="pt-BR" sz="1400" b="1">
            <a:solidFill>
              <a:schemeClr val="tx2">
                <a:lumMod val="5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12</xdr:col>
      <xdr:colOff>419100</xdr:colOff>
      <xdr:row>1</xdr:row>
      <xdr:rowOff>0</xdr:rowOff>
    </xdr:from>
    <xdr:to>
      <xdr:col>13</xdr:col>
      <xdr:colOff>209550</xdr:colOff>
      <xdr:row>4</xdr:row>
      <xdr:rowOff>38099</xdr:rowOff>
    </xdr:to>
    <xdr:sp macro="" textlink="">
      <xdr:nvSpPr>
        <xdr:cNvPr id="6" name="Seta para a esquerda 5">
          <a:hlinkClick xmlns:r="http://schemas.openxmlformats.org/officeDocument/2006/relationships" r:id="rId1"/>
        </xdr:cNvPr>
        <xdr:cNvSpPr/>
      </xdr:nvSpPr>
      <xdr:spPr>
        <a:xfrm>
          <a:off x="8848725" y="133349"/>
          <a:ext cx="457200" cy="390525"/>
        </a:xfrm>
        <a:prstGeom prst="lef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13</xdr:col>
      <xdr:colOff>323849</xdr:colOff>
      <xdr:row>1</xdr:row>
      <xdr:rowOff>0</xdr:rowOff>
    </xdr:from>
    <xdr:to>
      <xdr:col>14</xdr:col>
      <xdr:colOff>180974</xdr:colOff>
      <xdr:row>4</xdr:row>
      <xdr:rowOff>38100</xdr:rowOff>
    </xdr:to>
    <xdr:sp macro="" textlink="">
      <xdr:nvSpPr>
        <xdr:cNvPr id="8" name="Seta para a esquerda 7">
          <a:hlinkClick xmlns:r="http://schemas.openxmlformats.org/officeDocument/2006/relationships" r:id="rId2"/>
        </xdr:cNvPr>
        <xdr:cNvSpPr/>
      </xdr:nvSpPr>
      <xdr:spPr>
        <a:xfrm flipH="1">
          <a:off x="9420224" y="133350"/>
          <a:ext cx="466725" cy="390525"/>
        </a:xfrm>
        <a:prstGeom prst="lef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 editAs="oneCell">
    <xdr:from>
      <xdr:col>0</xdr:col>
      <xdr:colOff>74316</xdr:colOff>
      <xdr:row>1</xdr:row>
      <xdr:rowOff>0</xdr:rowOff>
    </xdr:from>
    <xdr:to>
      <xdr:col>0</xdr:col>
      <xdr:colOff>565220</xdr:colOff>
      <xdr:row>4</xdr:row>
      <xdr:rowOff>2401</xdr:rowOff>
    </xdr:to>
    <xdr:pic>
      <xdr:nvPicPr>
        <xdr:cNvPr id="9" name="Picture 57" descr="C:\Users\Natália\AppData\Local\Microsoft\Windows\Temporary Internet Files\Content.IE5\3WYPPG2D\MC900442122[1].pn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74316" y="106659"/>
          <a:ext cx="490904" cy="4734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677530</xdr:colOff>
      <xdr:row>1</xdr:row>
      <xdr:rowOff>31401</xdr:rowOff>
    </xdr:from>
    <xdr:to>
      <xdr:col>11</xdr:col>
      <xdr:colOff>211030</xdr:colOff>
      <xdr:row>4</xdr:row>
      <xdr:rowOff>112136</xdr:rowOff>
    </xdr:to>
    <xdr:pic>
      <xdr:nvPicPr>
        <xdr:cNvPr id="10" name="Picture 94" descr="C:\Users\Natália\AppData\Local\Microsoft\Windows\Temporary Internet Files\Content.IE5\LT00TPWD\MC900088888[1].wm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97530" y="31401"/>
          <a:ext cx="360396" cy="551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833508</xdr:colOff>
      <xdr:row>0</xdr:row>
      <xdr:rowOff>218400</xdr:rowOff>
    </xdr:from>
    <xdr:to>
      <xdr:col>7</xdr:col>
      <xdr:colOff>831236</xdr:colOff>
      <xdr:row>5</xdr:row>
      <xdr:rowOff>19312</xdr:rowOff>
    </xdr:to>
    <xdr:sp macro="" textlink="">
      <xdr:nvSpPr>
        <xdr:cNvPr id="2" name="Retângulo de cantos arredondados 1"/>
        <xdr:cNvSpPr/>
      </xdr:nvSpPr>
      <xdr:spPr>
        <a:xfrm>
          <a:off x="2500383" y="218400"/>
          <a:ext cx="4649670" cy="838457"/>
        </a:xfrm>
        <a:prstGeom prst="round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* O IMC real é baseado em peso e altura aferidos</a:t>
          </a:r>
        </a:p>
        <a:p>
          <a:pPr algn="l"/>
          <a:endParaRPr lang="pt-BR" sz="1100"/>
        </a:p>
        <a:p>
          <a:pPr algn="ctr"/>
          <a:r>
            <a:rPr lang="pt-BR" sz="1100"/>
            <a:t>**O IMC estimado é baseado em estimativa do peso e da altura</a:t>
          </a:r>
        </a:p>
        <a:p>
          <a:pPr algn="l"/>
          <a:endParaRPr lang="pt-BR" sz="1100"/>
        </a:p>
      </xdr:txBody>
    </xdr:sp>
    <xdr:clientData/>
  </xdr:twoCellAnchor>
  <xdr:twoCellAnchor>
    <xdr:from>
      <xdr:col>1</xdr:col>
      <xdr:colOff>291470</xdr:colOff>
      <xdr:row>2</xdr:row>
      <xdr:rowOff>153081</xdr:rowOff>
    </xdr:from>
    <xdr:to>
      <xdr:col>2</xdr:col>
      <xdr:colOff>0</xdr:colOff>
      <xdr:row>5</xdr:row>
      <xdr:rowOff>23786</xdr:rowOff>
    </xdr:to>
    <xdr:sp macro="" textlink="">
      <xdr:nvSpPr>
        <xdr:cNvPr id="3" name="Seta para a esquerda 2">
          <a:hlinkClick xmlns:r="http://schemas.openxmlformats.org/officeDocument/2006/relationships" r:id="rId1"/>
        </xdr:cNvPr>
        <xdr:cNvSpPr/>
      </xdr:nvSpPr>
      <xdr:spPr>
        <a:xfrm>
          <a:off x="903791" y="629331"/>
          <a:ext cx="540000" cy="432000"/>
        </a:xfrm>
        <a:prstGeom prst="lef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 editAs="oneCell">
    <xdr:from>
      <xdr:col>0</xdr:col>
      <xdr:colOff>102053</xdr:colOff>
      <xdr:row>0</xdr:row>
      <xdr:rowOff>59531</xdr:rowOff>
    </xdr:from>
    <xdr:to>
      <xdr:col>0</xdr:col>
      <xdr:colOff>510267</xdr:colOff>
      <xdr:row>1</xdr:row>
      <xdr:rowOff>215080</xdr:rowOff>
    </xdr:to>
    <xdr:pic>
      <xdr:nvPicPr>
        <xdr:cNvPr id="4" name="Picture 57" descr="C:\Users\Natália\AppData\Local\Microsoft\Windows\Temporary Internet Files\Content.IE5\3WYPPG2D\MC900442122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2053" y="59531"/>
          <a:ext cx="408214" cy="393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107770</xdr:rowOff>
    </xdr:from>
    <xdr:to>
      <xdr:col>3</xdr:col>
      <xdr:colOff>85744</xdr:colOff>
      <xdr:row>9</xdr:row>
      <xdr:rowOff>69715</xdr:rowOff>
    </xdr:to>
    <xdr:grpSp>
      <xdr:nvGrpSpPr>
        <xdr:cNvPr id="2" name="Grupo 1"/>
        <xdr:cNvGrpSpPr/>
      </xdr:nvGrpSpPr>
      <xdr:grpSpPr>
        <a:xfrm>
          <a:off x="612321" y="933918"/>
          <a:ext cx="1310387" cy="622863"/>
          <a:chOff x="612321" y="933918"/>
          <a:chExt cx="1310387" cy="622863"/>
        </a:xfrm>
      </xdr:grpSpPr>
      <xdr:pic>
        <xdr:nvPicPr>
          <xdr:cNvPr id="3" name="Picture 42" descr="C:\Users\Natália\AppData\Local\Microsoft\Windows\Temporary Internet Files\Content.IE5\LT00TPWD\MM900336967[1].gif">
            <a:hlinkClick xmlns:r="http://schemas.openxmlformats.org/officeDocument/2006/relationships" r:id="rId1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1096494" y="1176046"/>
            <a:ext cx="353779" cy="3807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CaixaDeTexto 3"/>
          <xdr:cNvSpPr txBox="1"/>
        </xdr:nvSpPr>
        <xdr:spPr bwMode="auto">
          <a:xfrm>
            <a:off x="612321" y="933918"/>
            <a:ext cx="1310387" cy="4070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</xdr:grpSp>
    <xdr:clientData/>
  </xdr:twoCellAnchor>
  <xdr:twoCellAnchor>
    <xdr:from>
      <xdr:col>1</xdr:col>
      <xdr:colOff>19037</xdr:colOff>
      <xdr:row>9</xdr:row>
      <xdr:rowOff>155537</xdr:rowOff>
    </xdr:from>
    <xdr:to>
      <xdr:col>3</xdr:col>
      <xdr:colOff>95262</xdr:colOff>
      <xdr:row>14</xdr:row>
      <xdr:rowOff>127734</xdr:rowOff>
    </xdr:to>
    <xdr:grpSp>
      <xdr:nvGrpSpPr>
        <xdr:cNvPr id="12" name="Grupo 11"/>
        <xdr:cNvGrpSpPr/>
      </xdr:nvGrpSpPr>
      <xdr:grpSpPr>
        <a:xfrm>
          <a:off x="631358" y="1642603"/>
          <a:ext cx="1300868" cy="798345"/>
          <a:chOff x="631358" y="1642603"/>
          <a:chExt cx="1300868" cy="798345"/>
        </a:xfrm>
      </xdr:grpSpPr>
      <xdr:pic>
        <xdr:nvPicPr>
          <xdr:cNvPr id="5" name="Picture 42" descr="C:\Users\Natália\AppData\Local\Microsoft\Windows\Temporary Internet Files\Content.IE5\LT00TPWD\MM900336967[1].gif">
            <a:hlinkClick xmlns:r="http://schemas.openxmlformats.org/officeDocument/2006/relationships" r:id="rId3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1097746" y="2084412"/>
            <a:ext cx="353778" cy="3565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CaixaDeTexto 5"/>
          <xdr:cNvSpPr txBox="1"/>
        </xdr:nvSpPr>
        <xdr:spPr bwMode="auto">
          <a:xfrm>
            <a:off x="631358" y="1642603"/>
            <a:ext cx="1300868" cy="4853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</xdr:grpSp>
    <xdr:clientData/>
  </xdr:twoCellAnchor>
  <xdr:twoCellAnchor>
    <xdr:from>
      <xdr:col>1</xdr:col>
      <xdr:colOff>0</xdr:colOff>
      <xdr:row>15</xdr:row>
      <xdr:rowOff>76199</xdr:rowOff>
    </xdr:from>
    <xdr:to>
      <xdr:col>3</xdr:col>
      <xdr:colOff>85744</xdr:colOff>
      <xdr:row>20</xdr:row>
      <xdr:rowOff>55644</xdr:rowOff>
    </xdr:to>
    <xdr:grpSp>
      <xdr:nvGrpSpPr>
        <xdr:cNvPr id="19" name="Grupo 18"/>
        <xdr:cNvGrpSpPr/>
      </xdr:nvGrpSpPr>
      <xdr:grpSpPr>
        <a:xfrm>
          <a:off x="612321" y="2554643"/>
          <a:ext cx="1310387" cy="805593"/>
          <a:chOff x="612321" y="2554643"/>
          <a:chExt cx="1310387" cy="805593"/>
        </a:xfrm>
      </xdr:grpSpPr>
      <xdr:pic>
        <xdr:nvPicPr>
          <xdr:cNvPr id="7" name="Picture 42" descr="C:\Users\Natália\AppData\Local\Microsoft\Windows\Temporary Internet Files\Content.IE5\LT00TPWD\MM900336967[1].gif">
            <a:hlinkClick xmlns:r="http://schemas.openxmlformats.org/officeDocument/2006/relationships" r:id="rId4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1098971" y="3004776"/>
            <a:ext cx="352719" cy="3554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CaixaDeTexto 7"/>
          <xdr:cNvSpPr txBox="1"/>
        </xdr:nvSpPr>
        <xdr:spPr bwMode="auto">
          <a:xfrm>
            <a:off x="612321" y="2554643"/>
            <a:ext cx="1310387" cy="4560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Pegra cutânea triciptal</a:t>
            </a:r>
          </a:p>
        </xdr:txBody>
      </xdr:sp>
    </xdr:grpSp>
    <xdr:clientData/>
  </xdr:twoCellAnchor>
  <xdr:twoCellAnchor>
    <xdr:from>
      <xdr:col>1</xdr:col>
      <xdr:colOff>38075</xdr:colOff>
      <xdr:row>20</xdr:row>
      <xdr:rowOff>16593</xdr:rowOff>
    </xdr:from>
    <xdr:to>
      <xdr:col>3</xdr:col>
      <xdr:colOff>114300</xdr:colOff>
      <xdr:row>24</xdr:row>
      <xdr:rowOff>152400</xdr:rowOff>
    </xdr:to>
    <xdr:grpSp>
      <xdr:nvGrpSpPr>
        <xdr:cNvPr id="22" name="Grupo 21"/>
        <xdr:cNvGrpSpPr/>
      </xdr:nvGrpSpPr>
      <xdr:grpSpPr>
        <a:xfrm>
          <a:off x="650396" y="3321185"/>
          <a:ext cx="1300868" cy="796725"/>
          <a:chOff x="650396" y="3321185"/>
          <a:chExt cx="1300868" cy="796725"/>
        </a:xfrm>
      </xdr:grpSpPr>
      <xdr:pic>
        <xdr:nvPicPr>
          <xdr:cNvPr id="9" name="Picture 42" descr="C:\Users\Natália\AppData\Local\Microsoft\Windows\Temporary Internet Files\Content.IE5\LT00TPWD\MM900336967[1].gif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1094995" y="3752367"/>
            <a:ext cx="353778" cy="3655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CaixaDeTexto 9"/>
          <xdr:cNvSpPr txBox="1"/>
        </xdr:nvSpPr>
        <xdr:spPr bwMode="auto">
          <a:xfrm>
            <a:off x="650396" y="3321185"/>
            <a:ext cx="1300868" cy="46668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Circunferência</a:t>
            </a:r>
            <a:r>
              <a:rPr lang="pt-BR" sz="1000" b="0" baseline="0">
                <a:solidFill>
                  <a:srgbClr val="640000"/>
                </a:solidFill>
                <a:latin typeface="Comic Sans MS" pitchFamily="66" charset="0"/>
              </a:rPr>
              <a:t> da panturrilha</a:t>
            </a:r>
            <a:endParaRPr lang="pt-BR" sz="1000" b="0">
              <a:solidFill>
                <a:srgbClr val="640000"/>
              </a:solidFill>
              <a:latin typeface="Comic Sans MS" pitchFamily="66" charset="0"/>
            </a:endParaRPr>
          </a:p>
        </xdr:txBody>
      </xdr:sp>
    </xdr:grpSp>
    <xdr:clientData/>
  </xdr:twoCellAnchor>
  <xdr:twoCellAnchor>
    <xdr:from>
      <xdr:col>3</xdr:col>
      <xdr:colOff>142875</xdr:colOff>
      <xdr:row>6</xdr:row>
      <xdr:rowOff>133351</xdr:rowOff>
    </xdr:from>
    <xdr:to>
      <xdr:col>3</xdr:col>
      <xdr:colOff>514350</xdr:colOff>
      <xdr:row>32</xdr:row>
      <xdr:rowOff>142875</xdr:rowOff>
    </xdr:to>
    <xdr:sp macro="" textlink="">
      <xdr:nvSpPr>
        <xdr:cNvPr id="11" name="Chave direita 10"/>
        <xdr:cNvSpPr/>
      </xdr:nvSpPr>
      <xdr:spPr>
        <a:xfrm>
          <a:off x="1971675" y="1104901"/>
          <a:ext cx="371475" cy="4219574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438150</xdr:colOff>
      <xdr:row>1</xdr:row>
      <xdr:rowOff>76200</xdr:rowOff>
    </xdr:from>
    <xdr:to>
      <xdr:col>10</xdr:col>
      <xdr:colOff>533400</xdr:colOff>
      <xdr:row>5</xdr:row>
      <xdr:rowOff>76200</xdr:rowOff>
    </xdr:to>
    <xdr:grpSp>
      <xdr:nvGrpSpPr>
        <xdr:cNvPr id="13" name="Grupo 16"/>
        <xdr:cNvGrpSpPr>
          <a:grpSpLocks/>
        </xdr:cNvGrpSpPr>
      </xdr:nvGrpSpPr>
      <xdr:grpSpPr bwMode="auto">
        <a:xfrm>
          <a:off x="4112079" y="241430"/>
          <a:ext cx="2544535" cy="660918"/>
          <a:chOff x="0" y="0"/>
          <a:chExt cx="2533650" cy="647700"/>
        </a:xfrm>
      </xdr:grpSpPr>
      <xdr:sp macro="" textlink="">
        <xdr:nvSpPr>
          <xdr:cNvPr id="14" name="AutoShape 4"/>
          <xdr:cNvSpPr>
            <a:spLocks noChangeArrowheads="1"/>
          </xdr:cNvSpPr>
        </xdr:nvSpPr>
        <xdr:spPr bwMode="auto">
          <a:xfrm>
            <a:off x="66675" y="57150"/>
            <a:ext cx="2466975" cy="590550"/>
          </a:xfrm>
          <a:prstGeom prst="roundRect">
            <a:avLst>
              <a:gd name="adj" fmla="val 16667"/>
            </a:avLst>
          </a:prstGeom>
          <a:solidFill>
            <a:srgbClr val="FFCC66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36576" tIns="45720" rIns="36576" bIns="45720" anchor="ctr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Técnicas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Antropométricas 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15" name="Picture 1" descr="C:\Users\Lanpop\AppData\Local\Microsoft\Windows\Temporary Internet Files\Content.IE5\FJAY0NAO\MC900352217[1].wmf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0" y="0"/>
            <a:ext cx="466725" cy="4848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457200</xdr:colOff>
      <xdr:row>26</xdr:row>
      <xdr:rowOff>93208</xdr:rowOff>
    </xdr:from>
    <xdr:to>
      <xdr:col>2</xdr:col>
      <xdr:colOff>198446</xdr:colOff>
      <xdr:row>28</xdr:row>
      <xdr:rowOff>127854</xdr:rowOff>
    </xdr:to>
    <xdr:pic>
      <xdr:nvPicPr>
        <xdr:cNvPr id="16" name="Picture 42" descr="C:\Users\Natália\AppData\Local\Microsoft\Windows\Temporary Internet Files\Content.IE5\LT00TPWD\MM900336967[1].gif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69521" y="4294413"/>
          <a:ext cx="353568" cy="357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0</xdr:row>
      <xdr:rowOff>133350</xdr:rowOff>
    </xdr:from>
    <xdr:to>
      <xdr:col>0</xdr:col>
      <xdr:colOff>495689</xdr:colOff>
      <xdr:row>3</xdr:row>
      <xdr:rowOff>47681</xdr:rowOff>
    </xdr:to>
    <xdr:pic>
      <xdr:nvPicPr>
        <xdr:cNvPr id="18" name="Picture 57" descr="C:\Users\Natália\AppData\Local\Microsoft\Windows\Temporary Internet Files\Content.IE5\3WYPPG2D\MC900442122[1].png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95250" y="133350"/>
          <a:ext cx="400439" cy="410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34178</xdr:colOff>
      <xdr:row>25</xdr:row>
      <xdr:rowOff>16808</xdr:rowOff>
    </xdr:from>
    <xdr:to>
      <xdr:col>3</xdr:col>
      <xdr:colOff>84044</xdr:colOff>
      <xdr:row>26</xdr:row>
      <xdr:rowOff>98051</xdr:rowOff>
    </xdr:to>
    <xdr:sp macro="" textlink="">
      <xdr:nvSpPr>
        <xdr:cNvPr id="17" name="CaixaDeTexto 16"/>
        <xdr:cNvSpPr txBox="1"/>
      </xdr:nvSpPr>
      <xdr:spPr>
        <a:xfrm>
          <a:off x="646499" y="4056429"/>
          <a:ext cx="1274509" cy="242827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50">
              <a:solidFill>
                <a:schemeClr val="accent5">
                  <a:lumMod val="75000"/>
                </a:schemeClr>
              </a:solidFill>
              <a:latin typeface="Comic Sans MS" pitchFamily="66" charset="0"/>
            </a:rPr>
            <a:t>Altura</a:t>
          </a:r>
          <a:r>
            <a:rPr lang="pt-BR" sz="1050">
              <a:solidFill>
                <a:schemeClr val="accent1">
                  <a:lumMod val="75000"/>
                </a:schemeClr>
              </a:solidFill>
              <a:latin typeface="Comic Sans MS" pitchFamily="66" charset="0"/>
            </a:rPr>
            <a:t> </a:t>
          </a:r>
          <a:r>
            <a:rPr lang="pt-BR" sz="1050">
              <a:solidFill>
                <a:schemeClr val="accent5">
                  <a:lumMod val="75000"/>
                </a:schemeClr>
              </a:solidFill>
              <a:latin typeface="Comic Sans MS" pitchFamily="66" charset="0"/>
            </a:rPr>
            <a:t>do joelho</a:t>
          </a:r>
        </a:p>
      </xdr:txBody>
    </xdr:sp>
    <xdr:clientData/>
  </xdr:twoCellAnchor>
  <xdr:twoCellAnchor>
    <xdr:from>
      <xdr:col>1</xdr:col>
      <xdr:colOff>437793</xdr:colOff>
      <xdr:row>30</xdr:row>
      <xdr:rowOff>68567</xdr:rowOff>
    </xdr:from>
    <xdr:to>
      <xdr:col>2</xdr:col>
      <xdr:colOff>175614</xdr:colOff>
      <xdr:row>32</xdr:row>
      <xdr:rowOff>105242</xdr:rowOff>
    </xdr:to>
    <xdr:pic>
      <xdr:nvPicPr>
        <xdr:cNvPr id="20" name="Picture 42" descr="C:\Users\Natália\AppData\Local\Microsoft\Windows\Temporary Internet Files\Content.IE5\LT00TPWD\MM900336967[1].gif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46950" y="5052579"/>
          <a:ext cx="346978" cy="3689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51546</xdr:colOff>
      <xdr:row>29</xdr:row>
      <xdr:rowOff>4261</xdr:rowOff>
    </xdr:from>
    <xdr:to>
      <xdr:col>3</xdr:col>
      <xdr:colOff>1200</xdr:colOff>
      <xdr:row>30</xdr:row>
      <xdr:rowOff>48254</xdr:rowOff>
    </xdr:to>
    <xdr:sp macro="" textlink="">
      <xdr:nvSpPr>
        <xdr:cNvPr id="21" name="CaixaDeTexto 20"/>
        <xdr:cNvSpPr txBox="1"/>
      </xdr:nvSpPr>
      <xdr:spPr>
        <a:xfrm>
          <a:off x="660703" y="4822139"/>
          <a:ext cx="1167968" cy="210127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>
              <a:solidFill>
                <a:schemeClr val="accent1">
                  <a:lumMod val="75000"/>
                </a:schemeClr>
              </a:solidFill>
              <a:latin typeface="Comic Sans MS" pitchFamily="66" charset="0"/>
            </a:rPr>
            <a:t>Outras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465733</xdr:colOff>
      <xdr:row>7</xdr:row>
      <xdr:rowOff>95871</xdr:rowOff>
    </xdr:from>
    <xdr:to>
      <xdr:col>2</xdr:col>
      <xdr:colOff>206438</xdr:colOff>
      <xdr:row>9</xdr:row>
      <xdr:rowOff>78515</xdr:rowOff>
    </xdr:to>
    <xdr:pic>
      <xdr:nvPicPr>
        <xdr:cNvPr id="3" name="Picture 42" descr="C:\Users\Natália\AppData\Local\Microsoft\Windows\Temporary Internet Files\Content.IE5\LT00TPWD\MM900336967[1]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78054" y="1252478"/>
          <a:ext cx="353027" cy="332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590550</xdr:colOff>
      <xdr:row>6</xdr:row>
      <xdr:rowOff>19050</xdr:rowOff>
    </xdr:from>
    <xdr:to>
      <xdr:col>3</xdr:col>
      <xdr:colOff>0</xdr:colOff>
      <xdr:row>8</xdr:row>
      <xdr:rowOff>34246</xdr:rowOff>
    </xdr:to>
    <xdr:sp macro="" textlink="">
      <xdr:nvSpPr>
        <xdr:cNvPr id="4" name="CaixaDeTexto 3"/>
        <xdr:cNvSpPr txBox="1"/>
      </xdr:nvSpPr>
      <xdr:spPr bwMode="auto">
        <a:xfrm>
          <a:off x="590550" y="1010428"/>
          <a:ext cx="1313030" cy="3553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 b="0">
              <a:solidFill>
                <a:schemeClr val="accent6">
                  <a:lumMod val="50000"/>
                </a:schemeClr>
              </a:solidFill>
              <a:latin typeface="Comic Sans MS" pitchFamily="66" charset="0"/>
            </a:rPr>
            <a:t>Estatura</a:t>
          </a:r>
        </a:p>
      </xdr:txBody>
    </xdr:sp>
    <xdr:clientData/>
  </xdr:twoCellAnchor>
  <xdr:twoCellAnchor>
    <xdr:from>
      <xdr:col>1</xdr:col>
      <xdr:colOff>466993</xdr:colOff>
      <xdr:row>12</xdr:row>
      <xdr:rowOff>99775</xdr:rowOff>
    </xdr:from>
    <xdr:to>
      <xdr:col>2</xdr:col>
      <xdr:colOff>207697</xdr:colOff>
      <xdr:row>14</xdr:row>
      <xdr:rowOff>122026</xdr:rowOff>
    </xdr:to>
    <xdr:pic>
      <xdr:nvPicPr>
        <xdr:cNvPr id="5" name="Picture 42" descr="C:\Users\Natália\AppData\Local\Microsoft\Windows\Temporary Internet Files\Content.IE5\LT00TPWD\MM900336967[1].gif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79314" y="2121408"/>
          <a:ext cx="353026" cy="36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609718</xdr:colOff>
      <xdr:row>9</xdr:row>
      <xdr:rowOff>165315</xdr:rowOff>
    </xdr:from>
    <xdr:to>
      <xdr:col>3</xdr:col>
      <xdr:colOff>0</xdr:colOff>
      <xdr:row>12</xdr:row>
      <xdr:rowOff>143763</xdr:rowOff>
    </xdr:to>
    <xdr:sp macro="" textlink="">
      <xdr:nvSpPr>
        <xdr:cNvPr id="6" name="CaixaDeTexto 5"/>
        <xdr:cNvSpPr txBox="1"/>
      </xdr:nvSpPr>
      <xdr:spPr bwMode="auto">
        <a:xfrm>
          <a:off x="609718" y="1671820"/>
          <a:ext cx="1303446" cy="4935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 b="0">
              <a:solidFill>
                <a:srgbClr val="512373"/>
              </a:solidFill>
              <a:latin typeface="Comic Sans MS" pitchFamily="66" charset="0"/>
            </a:rPr>
            <a:t>Circunferência de cintura</a:t>
          </a:r>
        </a:p>
      </xdr:txBody>
    </xdr:sp>
    <xdr:clientData/>
  </xdr:twoCellAnchor>
  <xdr:twoCellAnchor>
    <xdr:from>
      <xdr:col>1</xdr:col>
      <xdr:colOff>468227</xdr:colOff>
      <xdr:row>18</xdr:row>
      <xdr:rowOff>35020</xdr:rowOff>
    </xdr:from>
    <xdr:to>
      <xdr:col>2</xdr:col>
      <xdr:colOff>207864</xdr:colOff>
      <xdr:row>20</xdr:row>
      <xdr:rowOff>65901</xdr:rowOff>
    </xdr:to>
    <xdr:pic>
      <xdr:nvPicPr>
        <xdr:cNvPr id="7" name="Picture 42" descr="C:\Users\Natália\AppData\Local\Microsoft\Windows\Temporary Internet Files\Content.IE5\LT00TPWD\MM900336967[1].gif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3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80548" y="3057750"/>
          <a:ext cx="351959" cy="361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590550</xdr:colOff>
      <xdr:row>15</xdr:row>
      <xdr:rowOff>72701</xdr:rowOff>
    </xdr:from>
    <xdr:to>
      <xdr:col>3</xdr:col>
      <xdr:colOff>0</xdr:colOff>
      <xdr:row>18</xdr:row>
      <xdr:rowOff>40974</xdr:rowOff>
    </xdr:to>
    <xdr:sp macro="" textlink="">
      <xdr:nvSpPr>
        <xdr:cNvPr id="8" name="CaixaDeTexto 7"/>
        <xdr:cNvSpPr txBox="1"/>
      </xdr:nvSpPr>
      <xdr:spPr bwMode="auto">
        <a:xfrm>
          <a:off x="590550" y="2599742"/>
          <a:ext cx="1313030" cy="4639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 b="0">
              <a:solidFill>
                <a:schemeClr val="accent3">
                  <a:lumMod val="50000"/>
                </a:schemeClr>
              </a:solidFill>
              <a:latin typeface="Comic Sans MS" pitchFamily="66" charset="0"/>
            </a:rPr>
            <a:t>Pegra cutânea triciptal</a:t>
          </a:r>
        </a:p>
      </xdr:txBody>
    </xdr:sp>
    <xdr:clientData/>
  </xdr:twoCellAnchor>
  <xdr:twoCellAnchor>
    <xdr:from>
      <xdr:col>1</xdr:col>
      <xdr:colOff>118</xdr:colOff>
      <xdr:row>20</xdr:row>
      <xdr:rowOff>3113</xdr:rowOff>
    </xdr:from>
    <xdr:to>
      <xdr:col>3</xdr:col>
      <xdr:colOff>0</xdr:colOff>
      <xdr:row>25</xdr:row>
      <xdr:rowOff>0</xdr:rowOff>
    </xdr:to>
    <xdr:grpSp>
      <xdr:nvGrpSpPr>
        <xdr:cNvPr id="2" name="Grupo 1"/>
        <xdr:cNvGrpSpPr/>
      </xdr:nvGrpSpPr>
      <xdr:grpSpPr>
        <a:xfrm>
          <a:off x="609718" y="3289238"/>
          <a:ext cx="1219082" cy="806512"/>
          <a:chOff x="609718" y="3289238"/>
          <a:chExt cx="1219082" cy="806512"/>
        </a:xfrm>
      </xdr:grpSpPr>
      <xdr:pic>
        <xdr:nvPicPr>
          <xdr:cNvPr id="9" name="Picture 42" descr="C:\Users\Natália\AppData\Local\Microsoft\Windows\Temporary Internet Files\Content.IE5\LT00TPWD\MM900336967[1].gif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1092993" y="3734126"/>
            <a:ext cx="350304" cy="3616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CaixaDeTexto 9"/>
          <xdr:cNvSpPr txBox="1"/>
        </xdr:nvSpPr>
        <xdr:spPr bwMode="auto">
          <a:xfrm>
            <a:off x="609718" y="3289238"/>
            <a:ext cx="1219082" cy="4859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Circunferênci</a:t>
            </a:r>
            <a:r>
              <a:rPr lang="pt-BR" sz="1000" b="0" baseline="0">
                <a:solidFill>
                  <a:srgbClr val="640000"/>
                </a:solidFill>
                <a:latin typeface="Comic Sans MS" pitchFamily="66" charset="0"/>
              </a:rPr>
              <a:t>a da panturrilha</a:t>
            </a:r>
            <a:endParaRPr lang="pt-BR" sz="1000" b="0">
              <a:solidFill>
                <a:srgbClr val="640000"/>
              </a:solidFill>
              <a:latin typeface="Comic Sans MS" pitchFamily="66" charset="0"/>
            </a:endParaRPr>
          </a:p>
        </xdr:txBody>
      </xdr:sp>
    </xdr:grpSp>
    <xdr:clientData/>
  </xdr:twoCellAnchor>
  <xdr:twoCellAnchor>
    <xdr:from>
      <xdr:col>2</xdr:col>
      <xdr:colOff>409577</xdr:colOff>
      <xdr:row>8</xdr:row>
      <xdr:rowOff>142875</xdr:rowOff>
    </xdr:from>
    <xdr:to>
      <xdr:col>3</xdr:col>
      <xdr:colOff>590553</xdr:colOff>
      <xdr:row>11</xdr:row>
      <xdr:rowOff>161925</xdr:rowOff>
    </xdr:to>
    <xdr:cxnSp macro="">
      <xdr:nvCxnSpPr>
        <xdr:cNvPr id="12" name="Conector angulado 11"/>
        <xdr:cNvCxnSpPr/>
      </xdr:nvCxnSpPr>
      <xdr:spPr>
        <a:xfrm>
          <a:off x="1628777" y="1447800"/>
          <a:ext cx="790576" cy="523875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552450</xdr:colOff>
      <xdr:row>5</xdr:row>
      <xdr:rowOff>123825</xdr:rowOff>
    </xdr:from>
    <xdr:to>
      <xdr:col>12</xdr:col>
      <xdr:colOff>428625</xdr:colOff>
      <xdr:row>24</xdr:row>
      <xdr:rowOff>95250</xdr:rowOff>
    </xdr:to>
    <xdr:grpSp>
      <xdr:nvGrpSpPr>
        <xdr:cNvPr id="13" name="Grupo 20"/>
        <xdr:cNvGrpSpPr>
          <a:grpSpLocks/>
        </xdr:cNvGrpSpPr>
      </xdr:nvGrpSpPr>
      <xdr:grpSpPr bwMode="auto">
        <a:xfrm>
          <a:off x="2381250" y="933450"/>
          <a:ext cx="5362575" cy="3095625"/>
          <a:chOff x="1724025" y="1228725"/>
          <a:chExt cx="5362575" cy="3067051"/>
        </a:xfrm>
      </xdr:grpSpPr>
      <xdr:sp macro="" textlink="">
        <xdr:nvSpPr>
          <xdr:cNvPr id="14" name="Retângulo de cantos arredondados 13"/>
          <xdr:cNvSpPr/>
        </xdr:nvSpPr>
        <xdr:spPr bwMode="auto">
          <a:xfrm>
            <a:off x="1781175" y="1247775"/>
            <a:ext cx="5305425" cy="2800351"/>
          </a:xfrm>
          <a:prstGeom prst="roundRect">
            <a:avLst/>
          </a:prstGeom>
          <a:solidFill>
            <a:schemeClr val="accent6">
              <a:lumMod val="20000"/>
              <a:lumOff val="80000"/>
            </a:schemeClr>
          </a:solidFill>
          <a:ln>
            <a:headEnd type="none" w="med" len="med"/>
            <a:tailEnd type="none" w="med" len="me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18288" tIns="0" rIns="0" bIns="0" rtlCol="0" anchor="ctr" upright="1"/>
          <a:lstStyle/>
          <a:p>
            <a:endParaRPr lang="pt-BR" sz="1000">
              <a:solidFill>
                <a:schemeClr val="dk1"/>
              </a:solidFill>
              <a:latin typeface="Comic Sans MS" pitchFamily="66" charset="0"/>
              <a:ea typeface="+mn-ea"/>
              <a:cs typeface="+mn-cs"/>
            </a:endParaRPr>
          </a:p>
          <a:p>
            <a:pPr algn="ctr"/>
            <a:endParaRPr lang="pt-BR" sz="800">
              <a:latin typeface="Comic Sans MS" pitchFamily="66" charset="0"/>
            </a:endParaRPr>
          </a:p>
        </xdr:txBody>
      </xdr:sp>
      <xdr:sp macro="" textlink="">
        <xdr:nvSpPr>
          <xdr:cNvPr id="15" name="Retângulo de cantos arredondados 14"/>
          <xdr:cNvSpPr/>
        </xdr:nvSpPr>
        <xdr:spPr bwMode="auto">
          <a:xfrm>
            <a:off x="4305300" y="1257300"/>
            <a:ext cx="2686050" cy="1466850"/>
          </a:xfrm>
          <a:prstGeom prst="roundRect">
            <a:avLst/>
          </a:prstGeom>
          <a:noFill/>
          <a:ln>
            <a:noFill/>
            <a:headEnd type="none" w="med" len="med"/>
            <a:tailEnd type="none" w="med" len="me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18288" tIns="0" rIns="0" bIns="0" rtlCol="0" anchor="t" upright="1"/>
          <a:lstStyle/>
          <a:p>
            <a:pPr algn="ctr"/>
            <a:r>
              <a:rPr lang="pt-BR" sz="800" b="1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Técnica:</a:t>
            </a:r>
          </a:p>
          <a:p>
            <a:pPr lvl="0"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O indivíduo</a:t>
            </a:r>
            <a:r>
              <a:rPr lang="pt-BR" sz="800" baseline="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 deve estar com os p</a:t>
            </a:r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és juntos</a:t>
            </a:r>
            <a:r>
              <a:rPr lang="pt-BR" sz="800" baseline="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 e j</a:t>
            </a:r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oelhos estendidos. Encostar na superfície vertical</a:t>
            </a:r>
            <a:r>
              <a:rPr lang="pt-BR" sz="800" baseline="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 a</a:t>
            </a:r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 parte de trás da cabeça,</a:t>
            </a:r>
            <a:r>
              <a:rPr lang="pt-BR" sz="800" baseline="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 o</a:t>
            </a:r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s ombros, as nádegas,</a:t>
            </a:r>
            <a:r>
              <a:rPr lang="pt-BR" sz="800" baseline="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 a</a:t>
            </a:r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s panturrilhas</a:t>
            </a:r>
            <a:r>
              <a:rPr lang="pt-BR" sz="800" baseline="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 e o</a:t>
            </a:r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s calcanhares.</a:t>
            </a:r>
            <a:r>
              <a:rPr lang="pt-BR" sz="800">
                <a:latin typeface="Comic Sans MS" pitchFamily="66" charset="0"/>
              </a:rPr>
              <a:t> </a:t>
            </a:r>
          </a:p>
          <a:p>
            <a:pPr lvl="0"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Posicionar a cabeça do indivíduo no plano de Frankfurt: “Linha imaginária do canal auditivo externo até a órbita inferior do olho.”</a:t>
            </a:r>
          </a:p>
        </xdr:txBody>
      </xdr:sp>
      <xdr:sp macro="" textlink="">
        <xdr:nvSpPr>
          <xdr:cNvPr id="16" name="Retângulo de cantos arredondados 15"/>
          <xdr:cNvSpPr/>
        </xdr:nvSpPr>
        <xdr:spPr bwMode="auto">
          <a:xfrm>
            <a:off x="1857375" y="1228725"/>
            <a:ext cx="2619375" cy="2114551"/>
          </a:xfrm>
          <a:prstGeom prst="roundRect">
            <a:avLst/>
          </a:prstGeom>
          <a:noFill/>
          <a:ln>
            <a:noFill/>
            <a:headEnd type="none" w="med" len="med"/>
            <a:tailEnd type="none" w="med" len="me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18288" tIns="0" rIns="0" bIns="0" rtlCol="0" anchor="t" upright="1"/>
          <a:lstStyle/>
          <a:p>
            <a:pPr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A </a:t>
            </a:r>
            <a:r>
              <a:rPr lang="pt-BR" sz="800" b="1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estatura</a:t>
            </a:r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 é a distância entre a parte mais alta da cabeça e a sola dos pés, cuja medida é realizada em posição vertical.</a:t>
            </a:r>
          </a:p>
          <a:p>
            <a:pPr algn="ctr"/>
            <a:endPara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endParaRPr>
          </a:p>
          <a:p>
            <a:pPr algn="ctr"/>
            <a:endPara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endParaRPr>
          </a:p>
        </xdr:txBody>
      </xdr:sp>
      <xdr:pic>
        <xdr:nvPicPr>
          <xdr:cNvPr id="17" name="Imagem 16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 l="56856" t="50953" r="18281" b="10572"/>
          <a:stretch>
            <a:fillRect/>
          </a:stretch>
        </xdr:blipFill>
        <xdr:spPr bwMode="auto">
          <a:xfrm>
            <a:off x="3152775" y="1857375"/>
            <a:ext cx="1190625" cy="1943101"/>
          </a:xfrm>
          <a:prstGeom prst="rect">
            <a:avLst/>
          </a:prstGeom>
          <a:ln w="3175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pic>
        <xdr:nvPicPr>
          <xdr:cNvPr id="18" name="Imagem 17"/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5067300" y="2524125"/>
            <a:ext cx="1400175" cy="657225"/>
          </a:xfrm>
          <a:prstGeom prst="rect">
            <a:avLst/>
          </a:prstGeom>
          <a:ln w="3175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19" name="Retângulo de cantos arredondados 18"/>
          <xdr:cNvSpPr/>
        </xdr:nvSpPr>
        <xdr:spPr bwMode="auto">
          <a:xfrm>
            <a:off x="4419600" y="2943226"/>
            <a:ext cx="2619375" cy="1352550"/>
          </a:xfrm>
          <a:prstGeom prst="roundRect">
            <a:avLst/>
          </a:prstGeom>
          <a:noFill/>
          <a:ln>
            <a:noFill/>
            <a:headEnd type="none" w="med" len="med"/>
            <a:tailEnd type="none" w="med" len="me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18288" tIns="0" rIns="0" bIns="0" rtlCol="0" anchor="ctr" upright="1"/>
          <a:lstStyle/>
          <a:p>
            <a:pPr lvl="0"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Levar o cursor até a parte superior da cabeça, exercendo leve  pressão. </a:t>
            </a:r>
          </a:p>
          <a:p>
            <a:pPr lvl="0"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Realizar a leitura</a:t>
            </a:r>
            <a:r>
              <a:rPr lang="pt-BR" sz="800" baseline="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 e r</a:t>
            </a:r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egistrar a medida.</a:t>
            </a:r>
          </a:p>
          <a:p>
            <a:pPr lvl="0"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Repetir o processo para obtenção de uma segunda medida.</a:t>
            </a:r>
            <a:endParaRPr lang="pt-BR" sz="800">
              <a:latin typeface="Comic Sans MS" pitchFamily="66" charset="0"/>
            </a:endParaRPr>
          </a:p>
        </xdr:txBody>
      </xdr:sp>
      <xdr:sp macro="" textlink="">
        <xdr:nvSpPr>
          <xdr:cNvPr id="20" name="Retângulo de cantos arredondados 19"/>
          <xdr:cNvSpPr/>
        </xdr:nvSpPr>
        <xdr:spPr bwMode="auto">
          <a:xfrm>
            <a:off x="1724025" y="1971675"/>
            <a:ext cx="1466850" cy="1466850"/>
          </a:xfrm>
          <a:prstGeom prst="roundRect">
            <a:avLst/>
          </a:prstGeom>
          <a:noFill/>
          <a:ln>
            <a:noFill/>
            <a:headEnd type="none" w="med" len="med"/>
            <a:tailEnd type="none" w="med" len="me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800" b="1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Equipamento: </a:t>
            </a:r>
            <a:endParaRPr lang="pt-BR" sz="800">
              <a:latin typeface="Comic Sans MS" pitchFamily="66" charset="0"/>
            </a:endParaRPr>
          </a:p>
          <a:p>
            <a:pPr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Estadiômetro</a:t>
            </a:r>
            <a:endParaRPr lang="pt-BR" sz="800">
              <a:latin typeface="Comic Sans MS" pitchFamily="66" charset="0"/>
            </a:endParaRPr>
          </a:p>
          <a:p>
            <a:pPr algn="ctr"/>
            <a:endPara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endParaRPr>
          </a:p>
          <a:p>
            <a:pPr algn="ctr"/>
            <a:r>
              <a:rPr lang="pt-BR" sz="800" b="1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 Indivíduo: </a:t>
            </a:r>
            <a:endParaRPr lang="pt-BR" sz="800">
              <a:latin typeface="Comic Sans MS" pitchFamily="66" charset="0"/>
            </a:endParaRPr>
          </a:p>
          <a:p>
            <a:pPr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Roupas leves.</a:t>
            </a:r>
            <a:endParaRPr lang="pt-BR" sz="800">
              <a:latin typeface="Comic Sans MS" pitchFamily="66" charset="0"/>
            </a:endParaRPr>
          </a:p>
          <a:p>
            <a:pPr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Sem adereços na cabeça.</a:t>
            </a:r>
            <a:endParaRPr lang="pt-BR" sz="800">
              <a:latin typeface="Comic Sans MS" pitchFamily="66" charset="0"/>
            </a:endParaRPr>
          </a:p>
          <a:p>
            <a:pPr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Penteado desfeito.</a:t>
            </a:r>
            <a:endParaRPr lang="pt-BR" sz="800">
              <a:latin typeface="Comic Sans MS" pitchFamily="66" charset="0"/>
            </a:endParaRPr>
          </a:p>
          <a:p>
            <a:pPr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Pés descalços.</a:t>
            </a:r>
          </a:p>
        </xdr:txBody>
      </xdr:sp>
    </xdr:grpSp>
    <xdr:clientData/>
  </xdr:twoCellAnchor>
  <xdr:twoCellAnchor>
    <xdr:from>
      <xdr:col>13</xdr:col>
      <xdr:colOff>0</xdr:colOff>
      <xdr:row>8</xdr:row>
      <xdr:rowOff>0</xdr:rowOff>
    </xdr:from>
    <xdr:to>
      <xdr:col>18</xdr:col>
      <xdr:colOff>104776</xdr:colOff>
      <xdr:row>20</xdr:row>
      <xdr:rowOff>114300</xdr:rowOff>
    </xdr:to>
    <xdr:sp macro="" textlink="">
      <xdr:nvSpPr>
        <xdr:cNvPr id="21" name="CaixaDeTexto 20"/>
        <xdr:cNvSpPr txBox="1"/>
      </xdr:nvSpPr>
      <xdr:spPr>
        <a:xfrm>
          <a:off x="8534400" y="1304925"/>
          <a:ext cx="3152776" cy="209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800" u="sng">
              <a:solidFill>
                <a:schemeClr val="tx1">
                  <a:lumMod val="75000"/>
                  <a:lumOff val="25000"/>
                </a:schemeClr>
              </a:solidFill>
              <a:latin typeface="Comic Sans MS" pitchFamily="66" charset="0"/>
            </a:rPr>
            <a:t>Referências das figuras :</a:t>
          </a:r>
        </a:p>
        <a:p>
          <a:pPr algn="ctr"/>
          <a:endParaRPr lang="pt-BR" sz="800" u="sng">
            <a:solidFill>
              <a:schemeClr val="tx1">
                <a:lumMod val="75000"/>
                <a:lumOff val="25000"/>
              </a:schemeClr>
            </a:solidFill>
            <a:latin typeface="Comic Sans MS" pitchFamily="66" charset="0"/>
          </a:endParaRPr>
        </a:p>
        <a:p>
          <a:pPr lvl="0" algn="ctr"/>
          <a:r>
            <a:rPr lang="pt-BR" sz="800" u="sng">
              <a:solidFill>
                <a:schemeClr val="tx1">
                  <a:lumMod val="75000"/>
                  <a:lumOff val="25000"/>
                </a:schemeClr>
              </a:solidFill>
              <a:latin typeface="Comic Sans MS" pitchFamily="66" charset="0"/>
              <a:ea typeface="+mn-ea"/>
              <a:cs typeface="+mn-cs"/>
            </a:rPr>
            <a:t>Figura 1: </a:t>
          </a:r>
          <a:r>
            <a:rPr lang="pt-BR" sz="800">
              <a:solidFill>
                <a:schemeClr val="tx1">
                  <a:lumMod val="75000"/>
                  <a:lumOff val="25000"/>
                </a:schemeClr>
              </a:solidFill>
              <a:latin typeface="Comic Sans MS" pitchFamily="66" charset="0"/>
              <a:ea typeface="+mn-ea"/>
              <a:cs typeface="+mn-cs"/>
            </a:rPr>
            <a:t>Cogill B. Guide de mesure dês indicateurs anthropométrics. Projet de Assistance Technique pour l’Alimentation et la Nutrition, Académie pour le Développement de l’Éducation, Washington, D.C., 2003. </a:t>
          </a:r>
          <a:r>
            <a:rPr lang="en-US" sz="800">
              <a:solidFill>
                <a:schemeClr val="tx1">
                  <a:lumMod val="75000"/>
                  <a:lumOff val="25000"/>
                </a:schemeClr>
              </a:solidFill>
              <a:latin typeface="Comic Sans MS" pitchFamily="66" charset="0"/>
              <a:ea typeface="+mn-ea"/>
              <a:cs typeface="+mn-cs"/>
            </a:rPr>
            <a:t>Original: United Nations, departement of Technical Co-operation for Development and Statistical Office. How to Weigh and Measure Children: Assessing the Nutritional Status of Young in Household Surveys. New York, 1986.  </a:t>
          </a:r>
          <a:endParaRPr lang="pt-BR" sz="800">
            <a:solidFill>
              <a:schemeClr val="tx1">
                <a:lumMod val="75000"/>
                <a:lumOff val="25000"/>
              </a:schemeClr>
            </a:solidFill>
            <a:latin typeface="Comic Sans MS" pitchFamily="66" charset="0"/>
            <a:ea typeface="+mn-ea"/>
            <a:cs typeface="+mn-cs"/>
          </a:endParaRPr>
        </a:p>
        <a:p>
          <a:pPr lvl="0" algn="ctr"/>
          <a:endParaRPr lang="en-US" sz="800" u="sng">
            <a:solidFill>
              <a:schemeClr val="tx1">
                <a:lumMod val="75000"/>
                <a:lumOff val="25000"/>
              </a:schemeClr>
            </a:solidFill>
            <a:latin typeface="Comic Sans MS" pitchFamily="66" charset="0"/>
            <a:ea typeface="+mn-ea"/>
            <a:cs typeface="+mn-cs"/>
          </a:endParaRPr>
        </a:p>
        <a:p>
          <a:pPr lvl="0" algn="ctr"/>
          <a:r>
            <a:rPr lang="en-US" sz="800" u="sng">
              <a:solidFill>
                <a:schemeClr val="tx1">
                  <a:lumMod val="75000"/>
                  <a:lumOff val="25000"/>
                </a:schemeClr>
              </a:solidFill>
              <a:latin typeface="Comic Sans MS" pitchFamily="66" charset="0"/>
              <a:ea typeface="+mn-ea"/>
              <a:cs typeface="+mn-cs"/>
            </a:rPr>
            <a:t>Figura</a:t>
          </a:r>
          <a:r>
            <a:rPr lang="en-US" sz="800" u="sng" baseline="0">
              <a:solidFill>
                <a:schemeClr val="tx1">
                  <a:lumMod val="75000"/>
                  <a:lumOff val="25000"/>
                </a:schemeClr>
              </a:solidFill>
              <a:latin typeface="Comic Sans MS" pitchFamily="66" charset="0"/>
              <a:ea typeface="+mn-ea"/>
              <a:cs typeface="+mn-cs"/>
            </a:rPr>
            <a:t> 2: </a:t>
          </a:r>
          <a:r>
            <a:rPr lang="en-US" sz="800">
              <a:solidFill>
                <a:schemeClr val="tx1">
                  <a:lumMod val="75000"/>
                  <a:lumOff val="25000"/>
                </a:schemeClr>
              </a:solidFill>
              <a:latin typeface="Comic Sans MS" pitchFamily="66" charset="0"/>
              <a:ea typeface="+mn-ea"/>
              <a:cs typeface="+mn-cs"/>
            </a:rPr>
            <a:t>National Health and Nutrition Examination Survey (NHANES). Anthropometry Procedures Manual. 2007.</a:t>
          </a:r>
          <a:endParaRPr lang="pt-BR" sz="800">
            <a:solidFill>
              <a:schemeClr val="tx1">
                <a:lumMod val="75000"/>
                <a:lumOff val="25000"/>
              </a:schemeClr>
            </a:solidFill>
            <a:latin typeface="Comic Sans MS" pitchFamily="66" charset="0"/>
            <a:ea typeface="+mn-ea"/>
            <a:cs typeface="+mn-cs"/>
          </a:endParaRPr>
        </a:p>
        <a:p>
          <a:pPr algn="ctr"/>
          <a:endParaRPr lang="pt-BR" sz="800">
            <a:solidFill>
              <a:schemeClr val="tx1">
                <a:lumMod val="75000"/>
                <a:lumOff val="25000"/>
              </a:schemeClr>
            </a:solidFill>
            <a:latin typeface="Comic Sans MS" pitchFamily="66" charset="0"/>
          </a:endParaRPr>
        </a:p>
      </xdr:txBody>
    </xdr:sp>
    <xdr:clientData/>
  </xdr:twoCellAnchor>
  <xdr:twoCellAnchor>
    <xdr:from>
      <xdr:col>10</xdr:col>
      <xdr:colOff>542925</xdr:colOff>
      <xdr:row>2</xdr:row>
      <xdr:rowOff>133350</xdr:rowOff>
    </xdr:from>
    <xdr:to>
      <xdr:col>15</xdr:col>
      <xdr:colOff>28575</xdr:colOff>
      <xdr:row>6</xdr:row>
      <xdr:rowOff>133350</xdr:rowOff>
    </xdr:to>
    <xdr:grpSp>
      <xdr:nvGrpSpPr>
        <xdr:cNvPr id="22" name="Grupo 32"/>
        <xdr:cNvGrpSpPr>
          <a:grpSpLocks/>
        </xdr:cNvGrpSpPr>
      </xdr:nvGrpSpPr>
      <xdr:grpSpPr bwMode="auto">
        <a:xfrm>
          <a:off x="6638925" y="457200"/>
          <a:ext cx="2533650" cy="647700"/>
          <a:chOff x="0" y="0"/>
          <a:chExt cx="2533650" cy="647700"/>
        </a:xfrm>
      </xdr:grpSpPr>
      <xdr:sp macro="" textlink="">
        <xdr:nvSpPr>
          <xdr:cNvPr id="23" name="AutoShape 4"/>
          <xdr:cNvSpPr>
            <a:spLocks noChangeArrowheads="1"/>
          </xdr:cNvSpPr>
        </xdr:nvSpPr>
        <xdr:spPr bwMode="auto">
          <a:xfrm>
            <a:off x="66675" y="57150"/>
            <a:ext cx="2466975" cy="590550"/>
          </a:xfrm>
          <a:prstGeom prst="roundRect">
            <a:avLst>
              <a:gd name="adj" fmla="val 16667"/>
            </a:avLst>
          </a:prstGeom>
          <a:solidFill>
            <a:schemeClr val="bg2">
              <a:lumMod val="90000"/>
            </a:schemeClr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36576" tIns="45720" rIns="36576" bIns="45720" anchor="ctr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Técnicas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Antropométricas 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24" name="Picture 1" descr="C:\Users\Lanpop\AppData\Local\Microsoft\Windows\Temporary Internet Files\Content.IE5\FJAY0NAO\MC900352217[1].wmf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0" y="0"/>
            <a:ext cx="466725" cy="4848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95250</xdr:colOff>
      <xdr:row>24</xdr:row>
      <xdr:rowOff>152400</xdr:rowOff>
    </xdr:from>
    <xdr:to>
      <xdr:col>2</xdr:col>
      <xdr:colOff>428625</xdr:colOff>
      <xdr:row>26</xdr:row>
      <xdr:rowOff>28575</xdr:rowOff>
    </xdr:to>
    <xdr:sp macro="" textlink="">
      <xdr:nvSpPr>
        <xdr:cNvPr id="26" name="CaixaDeTexto 25"/>
        <xdr:cNvSpPr txBox="1"/>
      </xdr:nvSpPr>
      <xdr:spPr>
        <a:xfrm>
          <a:off x="704850" y="4086225"/>
          <a:ext cx="942975" cy="2000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pt-BR" sz="1000">
            <a:solidFill>
              <a:schemeClr val="accent1">
                <a:lumMod val="75000"/>
              </a:schemeClr>
            </a:solidFill>
            <a:latin typeface="Comic Sans MS" pitchFamily="66" charset="0"/>
          </a:endParaRPr>
        </a:p>
      </xdr:txBody>
    </xdr:sp>
    <xdr:clientData/>
  </xdr:twoCellAnchor>
  <xdr:twoCellAnchor editAs="oneCell">
    <xdr:from>
      <xdr:col>0</xdr:col>
      <xdr:colOff>85725</xdr:colOff>
      <xdr:row>0</xdr:row>
      <xdr:rowOff>104775</xdr:rowOff>
    </xdr:from>
    <xdr:to>
      <xdr:col>0</xdr:col>
      <xdr:colOff>514350</xdr:colOff>
      <xdr:row>3</xdr:row>
      <xdr:rowOff>47625</xdr:rowOff>
    </xdr:to>
    <xdr:pic>
      <xdr:nvPicPr>
        <xdr:cNvPr id="27" name="Picture 57" descr="C:\Users\Natália\AppData\Local\Microsoft\Windows\Temporary Internet Files\Content.IE5\3WYPPG2D\MC900442122[1].png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85725" y="104775"/>
          <a:ext cx="4286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427218</xdr:colOff>
      <xdr:row>30</xdr:row>
      <xdr:rowOff>98840</xdr:rowOff>
    </xdr:from>
    <xdr:to>
      <xdr:col>2</xdr:col>
      <xdr:colOff>163754</xdr:colOff>
      <xdr:row>32</xdr:row>
      <xdr:rowOff>128923</xdr:rowOff>
    </xdr:to>
    <xdr:pic>
      <xdr:nvPicPr>
        <xdr:cNvPr id="37" name="Picture 42" descr="C:\Users\Natália\AppData\Local\Microsoft\Windows\Temporary Internet Files\Content.IE5\LT00TPWD\MM900336967[1].gif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39539" y="5104325"/>
          <a:ext cx="348858" cy="360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38878</xdr:colOff>
      <xdr:row>29</xdr:row>
      <xdr:rowOff>38877</xdr:rowOff>
    </xdr:from>
    <xdr:to>
      <xdr:col>2</xdr:col>
      <xdr:colOff>600853</xdr:colOff>
      <xdr:row>30</xdr:row>
      <xdr:rowOff>78990</xdr:rowOff>
    </xdr:to>
    <xdr:sp macro="" textlink="">
      <xdr:nvSpPr>
        <xdr:cNvPr id="38" name="CaixaDeTexto 37"/>
        <xdr:cNvSpPr txBox="1"/>
      </xdr:nvSpPr>
      <xdr:spPr>
        <a:xfrm>
          <a:off x="651199" y="4879132"/>
          <a:ext cx="1174297" cy="20534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>
              <a:solidFill>
                <a:schemeClr val="accent1">
                  <a:lumMod val="75000"/>
                </a:schemeClr>
              </a:solidFill>
              <a:latin typeface="Comic Sans MS" pitchFamily="66" charset="0"/>
            </a:rPr>
            <a:t>Outras</a:t>
          </a:r>
        </a:p>
      </xdr:txBody>
    </xdr:sp>
    <xdr:clientData/>
  </xdr:twoCellAnchor>
  <xdr:twoCellAnchor>
    <xdr:from>
      <xdr:col>1</xdr:col>
      <xdr:colOff>442460</xdr:colOff>
      <xdr:row>26</xdr:row>
      <xdr:rowOff>131073</xdr:rowOff>
    </xdr:from>
    <xdr:to>
      <xdr:col>2</xdr:col>
      <xdr:colOff>183706</xdr:colOff>
      <xdr:row>28</xdr:row>
      <xdr:rowOff>158429</xdr:rowOff>
    </xdr:to>
    <xdr:pic>
      <xdr:nvPicPr>
        <xdr:cNvPr id="39" name="Picture 42" descr="C:\Users\Natália\AppData\Local\Microsoft\Windows\Temporary Internet Files\Content.IE5\LT00TPWD\MM900336967[1].gif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54781" y="4475639"/>
          <a:ext cx="353568" cy="357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19438</xdr:colOff>
      <xdr:row>25</xdr:row>
      <xdr:rowOff>58318</xdr:rowOff>
    </xdr:from>
    <xdr:to>
      <xdr:col>3</xdr:col>
      <xdr:colOff>0</xdr:colOff>
      <xdr:row>26</xdr:row>
      <xdr:rowOff>135916</xdr:rowOff>
    </xdr:to>
    <xdr:sp macro="" textlink="">
      <xdr:nvSpPr>
        <xdr:cNvPr id="40" name="CaixaDeTexto 39"/>
        <xdr:cNvSpPr txBox="1"/>
      </xdr:nvSpPr>
      <xdr:spPr>
        <a:xfrm>
          <a:off x="631759" y="4237655"/>
          <a:ext cx="1274509" cy="242827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50">
              <a:solidFill>
                <a:schemeClr val="accent5">
                  <a:lumMod val="75000"/>
                </a:schemeClr>
              </a:solidFill>
              <a:latin typeface="Comic Sans MS" pitchFamily="66" charset="0"/>
            </a:rPr>
            <a:t>Altura do joelho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323850</xdr:colOff>
      <xdr:row>4</xdr:row>
      <xdr:rowOff>152400</xdr:rowOff>
    </xdr:from>
    <xdr:to>
      <xdr:col>13</xdr:col>
      <xdr:colOff>142875</xdr:colOff>
      <xdr:row>22</xdr:row>
      <xdr:rowOff>38100</xdr:rowOff>
    </xdr:to>
    <xdr:sp macro="" textlink="">
      <xdr:nvSpPr>
        <xdr:cNvPr id="2" name="Retângulo de cantos arredondados 1"/>
        <xdr:cNvSpPr/>
      </xdr:nvSpPr>
      <xdr:spPr bwMode="auto">
        <a:xfrm>
          <a:off x="2762250" y="800100"/>
          <a:ext cx="5305425" cy="2800350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ln>
          <a:solidFill>
            <a:schemeClr val="tx2">
              <a:lumMod val="60000"/>
              <a:lumOff val="40000"/>
            </a:schemeClr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endParaRPr lang="pt-BR" sz="100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pPr algn="ctr"/>
          <a:endParaRPr lang="pt-BR" sz="800">
            <a:latin typeface="Comic Sans MS" pitchFamily="66" charset="0"/>
          </a:endParaRPr>
        </a:p>
      </xdr:txBody>
    </xdr:sp>
    <xdr:clientData/>
  </xdr:twoCellAnchor>
  <xdr:twoCellAnchor>
    <xdr:from>
      <xdr:col>5</xdr:col>
      <xdr:colOff>38100</xdr:colOff>
      <xdr:row>5</xdr:row>
      <xdr:rowOff>76201</xdr:rowOff>
    </xdr:from>
    <xdr:to>
      <xdr:col>8</xdr:col>
      <xdr:colOff>295275</xdr:colOff>
      <xdr:row>9</xdr:row>
      <xdr:rowOff>38101</xdr:rowOff>
    </xdr:to>
    <xdr:sp macro="" textlink="">
      <xdr:nvSpPr>
        <xdr:cNvPr id="3" name="Retângulo de cantos arredondados 2"/>
        <xdr:cNvSpPr/>
      </xdr:nvSpPr>
      <xdr:spPr bwMode="auto">
        <a:xfrm>
          <a:off x="3086100" y="885826"/>
          <a:ext cx="2085975" cy="609600"/>
        </a:xfrm>
        <a:prstGeom prst="round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t" upright="1"/>
        <a:lstStyle/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A </a:t>
          </a:r>
          <a:r>
            <a:rPr lang="pt-BR" sz="800" b="1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circunferência de cintura</a:t>
          </a:r>
          <a:r>
            <a:rPr lang="pt-BR" sz="800" b="1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</a:t>
          </a:r>
          <a:r>
            <a:rPr lang="pt-BR" sz="800" b="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é a medida realizada sobre o ponto médio entre </a:t>
          </a:r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a última costela</a:t>
          </a:r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e a crista ilíaca.</a:t>
          </a:r>
          <a:endParaRPr lang="pt-BR" sz="80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pPr algn="ctr"/>
          <a:endParaRPr lang="pt-BR" sz="80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pPr algn="ctr"/>
          <a:endParaRPr lang="pt-BR" sz="80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85725</xdr:colOff>
      <xdr:row>9</xdr:row>
      <xdr:rowOff>9525</xdr:rowOff>
    </xdr:from>
    <xdr:to>
      <xdr:col>7</xdr:col>
      <xdr:colOff>600075</xdr:colOff>
      <xdr:row>20</xdr:row>
      <xdr:rowOff>142875</xdr:rowOff>
    </xdr:to>
    <xdr:sp macro="" textlink="">
      <xdr:nvSpPr>
        <xdr:cNvPr id="7" name="CaixaDeTexto 6"/>
        <xdr:cNvSpPr txBox="1"/>
      </xdr:nvSpPr>
      <xdr:spPr>
        <a:xfrm>
          <a:off x="3133725" y="1466850"/>
          <a:ext cx="1733550" cy="191452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800" b="1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Equipamento: </a:t>
          </a:r>
          <a:endParaRPr lang="pt-BR" sz="80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Fita inelástica</a:t>
          </a:r>
        </a:p>
        <a:p>
          <a:pPr algn="ctr"/>
          <a:endParaRPr lang="pt-BR" sz="80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pPr algn="ctr"/>
          <a:r>
            <a:rPr lang="pt-BR" sz="800" b="1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 Indivíduo: </a:t>
          </a:r>
          <a:endParaRPr lang="pt-BR" sz="80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Região da cintura livre de roupas.</a:t>
          </a:r>
          <a:endParaRPr lang="pt-BR" sz="800">
            <a:latin typeface="Comic Sans MS" pitchFamily="66" charset="0"/>
          </a:endParaRP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Indivíduo ereto.</a:t>
          </a:r>
          <a:endParaRPr lang="pt-BR" sz="800">
            <a:latin typeface="Comic Sans MS" pitchFamily="66" charset="0"/>
          </a:endParaRP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Pés afastados.</a:t>
          </a:r>
          <a:endParaRPr lang="pt-BR" sz="800">
            <a:latin typeface="Comic Sans MS" pitchFamily="66" charset="0"/>
          </a:endParaRP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Peso distribuído em ambos os pés.</a:t>
          </a:r>
          <a:endParaRPr lang="pt-BR" sz="800">
            <a:latin typeface="Comic Sans MS" pitchFamily="66" charset="0"/>
          </a:endParaRP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Abdômen relaxado.</a:t>
          </a:r>
          <a:endParaRPr lang="pt-BR" sz="800">
            <a:latin typeface="Comic Sans MS" pitchFamily="66" charset="0"/>
          </a:endParaRP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Respiração normal.</a:t>
          </a:r>
          <a:endParaRPr lang="pt-BR" sz="800">
            <a:latin typeface="Comic Sans MS" pitchFamily="66" charset="0"/>
          </a:endParaRPr>
        </a:p>
        <a:p>
          <a:endParaRPr lang="pt-BR" sz="1100"/>
        </a:p>
      </xdr:txBody>
    </xdr:sp>
    <xdr:clientData/>
  </xdr:twoCellAnchor>
  <xdr:twoCellAnchor>
    <xdr:from>
      <xdr:col>8</xdr:col>
      <xdr:colOff>438150</xdr:colOff>
      <xdr:row>5</xdr:row>
      <xdr:rowOff>38100</xdr:rowOff>
    </xdr:from>
    <xdr:to>
      <xdr:col>12</xdr:col>
      <xdr:colOff>476250</xdr:colOff>
      <xdr:row>21</xdr:row>
      <xdr:rowOff>152400</xdr:rowOff>
    </xdr:to>
    <xdr:sp macro="" textlink="">
      <xdr:nvSpPr>
        <xdr:cNvPr id="8" name="CaixaDeTexto 7"/>
        <xdr:cNvSpPr txBox="1"/>
      </xdr:nvSpPr>
      <xdr:spPr>
        <a:xfrm>
          <a:off x="5314950" y="847725"/>
          <a:ext cx="2476500" cy="27051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800" b="1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Ponto Médio:</a:t>
          </a:r>
          <a:endParaRPr lang="pt-BR" sz="800">
            <a:latin typeface="Comic Sans MS" pitchFamily="66" charset="0"/>
          </a:endParaRPr>
        </a:p>
        <a:p>
          <a:pPr algn="ctr"/>
          <a:r>
            <a:rPr lang="pt-BR" sz="800" u="sng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Técnica:</a:t>
          </a:r>
          <a:endParaRPr lang="pt-BR" sz="800">
            <a:latin typeface="Comic Sans MS" pitchFamily="66" charset="0"/>
          </a:endParaRP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Localizar e marcar a última costela,  para isso o indivíduo deve inspirar. Localizar e marcar a crista ilíaca. Medir a distância entre os dois pontos anatômicos. Calcular e marcar o ponto médio</a:t>
          </a:r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.</a:t>
          </a:r>
        </a:p>
        <a:p>
          <a:pPr algn="ctr"/>
          <a:endParaRPr lang="pt-BR" sz="80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pPr algn="ctr"/>
          <a:r>
            <a:rPr lang="pt-BR" sz="800" b="1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Circunferência da Cintura</a:t>
          </a:r>
          <a:endParaRPr lang="pt-BR" sz="800">
            <a:latin typeface="Comic Sans MS" pitchFamily="66" charset="0"/>
          </a:endParaRPr>
        </a:p>
        <a:p>
          <a:pPr algn="ctr"/>
          <a:r>
            <a:rPr lang="pt-BR" sz="800" u="sng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Técnica:</a:t>
          </a:r>
          <a:endParaRPr lang="pt-BR" sz="800">
            <a:latin typeface="Comic Sans MS" pitchFamily="66" charset="0"/>
          </a:endParaRP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Posicionar a fita</a:t>
          </a:r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s</a:t>
          </a:r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obre o ponto médio marcado, paralela ao solo. Evitar “abraçar” o indivíduo durante o posicionamento da fita. A fita deve estar ajustada ao redor da cintura, sem enrugar a pele ou comprimir os tecidos subcutâneos. Realizar a leitura no final da respiração. Registrar a medida. Repetir o processo para obtenção de uma segunda medida.</a:t>
          </a:r>
          <a:endParaRPr lang="pt-BR" sz="800">
            <a:latin typeface="Comic Sans MS" pitchFamily="66" charset="0"/>
          </a:endParaRPr>
        </a:p>
        <a:p>
          <a:pPr algn="ctr"/>
          <a:endParaRPr lang="pt-BR" sz="800">
            <a:latin typeface="Comic Sans MS" pitchFamily="66" charset="0"/>
          </a:endParaRPr>
        </a:p>
      </xdr:txBody>
    </xdr:sp>
    <xdr:clientData/>
  </xdr:twoCellAnchor>
  <xdr:twoCellAnchor>
    <xdr:from>
      <xdr:col>0</xdr:col>
      <xdr:colOff>552450</xdr:colOff>
      <xdr:row>4</xdr:row>
      <xdr:rowOff>85725</xdr:rowOff>
    </xdr:from>
    <xdr:to>
      <xdr:col>3</xdr:col>
      <xdr:colOff>28576</xdr:colOff>
      <xdr:row>7</xdr:row>
      <xdr:rowOff>154372</xdr:rowOff>
    </xdr:to>
    <xdr:grpSp>
      <xdr:nvGrpSpPr>
        <xdr:cNvPr id="4" name="Grupo 3"/>
        <xdr:cNvGrpSpPr/>
      </xdr:nvGrpSpPr>
      <xdr:grpSpPr>
        <a:xfrm>
          <a:off x="552450" y="733425"/>
          <a:ext cx="1304926" cy="554422"/>
          <a:chOff x="552450" y="733425"/>
          <a:chExt cx="1304926" cy="554422"/>
        </a:xfrm>
      </xdr:grpSpPr>
      <xdr:pic>
        <xdr:nvPicPr>
          <xdr:cNvPr id="10" name="Picture 42" descr="C:\Users\Natália\AppData\Local\Microsoft\Windows\Temporary Internet Files\Content.IE5\LT00TPWD\MM900336967[1].gif">
            <a:hlinkClick xmlns:r="http://schemas.openxmlformats.org/officeDocument/2006/relationships" r:id="rId1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1036945" y="966978"/>
            <a:ext cx="350848" cy="32086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CaixaDeTexto 10"/>
          <xdr:cNvSpPr txBox="1"/>
        </xdr:nvSpPr>
        <xdr:spPr bwMode="auto">
          <a:xfrm>
            <a:off x="552450" y="733425"/>
            <a:ext cx="1304926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</xdr:grpSp>
    <xdr:clientData/>
  </xdr:twoCellAnchor>
  <xdr:twoCellAnchor>
    <xdr:from>
      <xdr:col>1</xdr:col>
      <xdr:colOff>428598</xdr:colOff>
      <xdr:row>11</xdr:row>
      <xdr:rowOff>24232</xdr:rowOff>
    </xdr:from>
    <xdr:to>
      <xdr:col>2</xdr:col>
      <xdr:colOff>169845</xdr:colOff>
      <xdr:row>13</xdr:row>
      <xdr:rowOff>50088</xdr:rowOff>
    </xdr:to>
    <xdr:pic>
      <xdr:nvPicPr>
        <xdr:cNvPr id="12" name="Picture 42" descr="C:\Users\Natália\AppData\Local\Microsoft\Windows\Temporary Internet Files\Content.IE5\LT00TPWD\MM900336967[1].gif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38198" y="1805407"/>
          <a:ext cx="350847" cy="349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571500</xdr:colOff>
      <xdr:row>7</xdr:row>
      <xdr:rowOff>152400</xdr:rowOff>
    </xdr:from>
    <xdr:to>
      <xdr:col>3</xdr:col>
      <xdr:colOff>38100</xdr:colOff>
      <xdr:row>11</xdr:row>
      <xdr:rowOff>19050</xdr:rowOff>
    </xdr:to>
    <xdr:sp macro="" textlink="">
      <xdr:nvSpPr>
        <xdr:cNvPr id="13" name="CaixaDeTexto 12"/>
        <xdr:cNvSpPr txBox="1"/>
      </xdr:nvSpPr>
      <xdr:spPr bwMode="auto">
        <a:xfrm>
          <a:off x="571500" y="1285875"/>
          <a:ext cx="1295400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 b="0">
              <a:solidFill>
                <a:srgbClr val="512373"/>
              </a:solidFill>
              <a:latin typeface="Comic Sans MS" pitchFamily="66" charset="0"/>
            </a:rPr>
            <a:t>Circunferência de cintura</a:t>
          </a:r>
        </a:p>
      </xdr:txBody>
    </xdr:sp>
    <xdr:clientData/>
  </xdr:twoCellAnchor>
  <xdr:twoCellAnchor>
    <xdr:from>
      <xdr:col>1</xdr:col>
      <xdr:colOff>448873</xdr:colOff>
      <xdr:row>16</xdr:row>
      <xdr:rowOff>22829</xdr:rowOff>
    </xdr:from>
    <xdr:to>
      <xdr:col>2</xdr:col>
      <xdr:colOff>189059</xdr:colOff>
      <xdr:row>18</xdr:row>
      <xdr:rowOff>47635</xdr:rowOff>
    </xdr:to>
    <xdr:pic>
      <xdr:nvPicPr>
        <xdr:cNvPr id="14" name="Picture 42" descr="C:\Users\Natália\AppData\Local\Microsoft\Windows\Temporary Internet Files\Content.IE5\LT00TPWD\MM900336967[1].gif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3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58473" y="2613629"/>
          <a:ext cx="349786" cy="348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571500</xdr:colOff>
      <xdr:row>13</xdr:row>
      <xdr:rowOff>85725</xdr:rowOff>
    </xdr:from>
    <xdr:to>
      <xdr:col>3</xdr:col>
      <xdr:colOff>47626</xdr:colOff>
      <xdr:row>16</xdr:row>
      <xdr:rowOff>47625</xdr:rowOff>
    </xdr:to>
    <xdr:sp macro="" textlink="">
      <xdr:nvSpPr>
        <xdr:cNvPr id="15" name="CaixaDeTexto 14"/>
        <xdr:cNvSpPr txBox="1"/>
      </xdr:nvSpPr>
      <xdr:spPr bwMode="auto">
        <a:xfrm>
          <a:off x="571500" y="2190750"/>
          <a:ext cx="1304926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 b="0">
              <a:solidFill>
                <a:schemeClr val="accent3">
                  <a:lumMod val="50000"/>
                </a:schemeClr>
              </a:solidFill>
              <a:latin typeface="Comic Sans MS" pitchFamily="66" charset="0"/>
            </a:rPr>
            <a:t>Pegra cutânea triciptal</a:t>
          </a:r>
        </a:p>
      </xdr:txBody>
    </xdr:sp>
    <xdr:clientData/>
  </xdr:twoCellAnchor>
  <xdr:twoCellAnchor>
    <xdr:from>
      <xdr:col>1</xdr:col>
      <xdr:colOff>425845</xdr:colOff>
      <xdr:row>21</xdr:row>
      <xdr:rowOff>41554</xdr:rowOff>
    </xdr:from>
    <xdr:to>
      <xdr:col>2</xdr:col>
      <xdr:colOff>167092</xdr:colOff>
      <xdr:row>23</xdr:row>
      <xdr:rowOff>76200</xdr:rowOff>
    </xdr:to>
    <xdr:pic>
      <xdr:nvPicPr>
        <xdr:cNvPr id="16" name="Picture 42" descr="C:\Users\Natália\AppData\Local\Microsoft\Windows\Temporary Internet Files\Content.IE5\LT00TPWD\MM900336967[1].gif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35445" y="3441979"/>
          <a:ext cx="350847" cy="358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561975</xdr:colOff>
      <xdr:row>18</xdr:row>
      <xdr:rowOff>114300</xdr:rowOff>
    </xdr:from>
    <xdr:to>
      <xdr:col>3</xdr:col>
      <xdr:colOff>28575</xdr:colOff>
      <xdr:row>21</xdr:row>
      <xdr:rowOff>114300</xdr:rowOff>
    </xdr:to>
    <xdr:sp macro="" textlink="">
      <xdr:nvSpPr>
        <xdr:cNvPr id="17" name="CaixaDeTexto 16"/>
        <xdr:cNvSpPr txBox="1"/>
      </xdr:nvSpPr>
      <xdr:spPr bwMode="auto">
        <a:xfrm>
          <a:off x="561975" y="3028950"/>
          <a:ext cx="1295400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 b="0">
              <a:solidFill>
                <a:srgbClr val="640000"/>
              </a:solidFill>
              <a:latin typeface="Comic Sans MS" pitchFamily="66" charset="0"/>
            </a:rPr>
            <a:t>Circunferência</a:t>
          </a:r>
          <a:r>
            <a:rPr lang="pt-BR" sz="1000" b="0" baseline="0">
              <a:solidFill>
                <a:srgbClr val="640000"/>
              </a:solidFill>
              <a:latin typeface="Comic Sans MS" pitchFamily="66" charset="0"/>
            </a:rPr>
            <a:t> da panturrilha</a:t>
          </a:r>
          <a:endParaRPr lang="pt-BR" sz="1000" b="0">
            <a:solidFill>
              <a:srgbClr val="640000"/>
            </a:solidFill>
            <a:latin typeface="Comic Sans MS" pitchFamily="66" charset="0"/>
          </a:endParaRPr>
        </a:p>
      </xdr:txBody>
    </xdr:sp>
    <xdr:clientData/>
  </xdr:twoCellAnchor>
  <xdr:twoCellAnchor>
    <xdr:from>
      <xdr:col>2</xdr:col>
      <xdr:colOff>342900</xdr:colOff>
      <xdr:row>12</xdr:row>
      <xdr:rowOff>0</xdr:rowOff>
    </xdr:from>
    <xdr:to>
      <xdr:col>4</xdr:col>
      <xdr:colOff>276225</xdr:colOff>
      <xdr:row>14</xdr:row>
      <xdr:rowOff>95250</xdr:rowOff>
    </xdr:to>
    <xdr:cxnSp macro="">
      <xdr:nvCxnSpPr>
        <xdr:cNvPr id="19" name="Conector angulado 18"/>
        <xdr:cNvCxnSpPr/>
      </xdr:nvCxnSpPr>
      <xdr:spPr>
        <a:xfrm>
          <a:off x="1562100" y="1943100"/>
          <a:ext cx="1152525" cy="419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200025</xdr:colOff>
      <xdr:row>2</xdr:row>
      <xdr:rowOff>47625</xdr:rowOff>
    </xdr:from>
    <xdr:to>
      <xdr:col>15</xdr:col>
      <xdr:colOff>295275</xdr:colOff>
      <xdr:row>6</xdr:row>
      <xdr:rowOff>47625</xdr:rowOff>
    </xdr:to>
    <xdr:grpSp>
      <xdr:nvGrpSpPr>
        <xdr:cNvPr id="20" name="Grupo 24"/>
        <xdr:cNvGrpSpPr>
          <a:grpSpLocks/>
        </xdr:cNvGrpSpPr>
      </xdr:nvGrpSpPr>
      <xdr:grpSpPr bwMode="auto">
        <a:xfrm>
          <a:off x="6905625" y="371475"/>
          <a:ext cx="2533650" cy="647700"/>
          <a:chOff x="0" y="0"/>
          <a:chExt cx="2533650" cy="647700"/>
        </a:xfrm>
      </xdr:grpSpPr>
      <xdr:sp macro="" textlink="">
        <xdr:nvSpPr>
          <xdr:cNvPr id="21" name="AutoShape 4"/>
          <xdr:cNvSpPr>
            <a:spLocks noChangeArrowheads="1"/>
          </xdr:cNvSpPr>
        </xdr:nvSpPr>
        <xdr:spPr bwMode="auto">
          <a:xfrm>
            <a:off x="66675" y="57150"/>
            <a:ext cx="2466975" cy="590550"/>
          </a:xfrm>
          <a:prstGeom prst="roundRect">
            <a:avLst>
              <a:gd name="adj" fmla="val 16667"/>
            </a:avLst>
          </a:prstGeom>
          <a:solidFill>
            <a:schemeClr val="accent6">
              <a:lumMod val="40000"/>
              <a:lumOff val="60000"/>
            </a:schemeClr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36576" tIns="45720" rIns="36576" bIns="45720" anchor="ctr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Técnicas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Antropométricas 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22" name="Picture 1" descr="C:\Users\Lanpop\AppData\Local\Microsoft\Windows\Temporary Internet Files\Content.IE5\FJAY0NAO\MC900352217[1].wmf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0" y="0"/>
            <a:ext cx="466725" cy="4848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400050</xdr:colOff>
      <xdr:row>28</xdr:row>
      <xdr:rowOff>133350</xdr:rowOff>
    </xdr:from>
    <xdr:to>
      <xdr:col>2</xdr:col>
      <xdr:colOff>141296</xdr:colOff>
      <xdr:row>31</xdr:row>
      <xdr:rowOff>6071</xdr:rowOff>
    </xdr:to>
    <xdr:pic>
      <xdr:nvPicPr>
        <xdr:cNvPr id="23" name="Picture 42" descr="C:\Users\Natália\AppData\Local\Microsoft\Windows\Temporary Internet Files\Content.IE5\LT00TPWD\MM900336967[1].gif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09650" y="4667250"/>
          <a:ext cx="350846" cy="358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27</xdr:row>
      <xdr:rowOff>66675</xdr:rowOff>
    </xdr:from>
    <xdr:to>
      <xdr:col>2</xdr:col>
      <xdr:colOff>333375</xdr:colOff>
      <xdr:row>28</xdr:row>
      <xdr:rowOff>114300</xdr:rowOff>
    </xdr:to>
    <xdr:sp macro="" textlink="">
      <xdr:nvSpPr>
        <xdr:cNvPr id="24" name="CaixaDeTexto 23"/>
        <xdr:cNvSpPr txBox="1"/>
      </xdr:nvSpPr>
      <xdr:spPr>
        <a:xfrm>
          <a:off x="866775" y="4438650"/>
          <a:ext cx="685800" cy="209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000">
              <a:solidFill>
                <a:schemeClr val="accent1">
                  <a:lumMod val="75000"/>
                </a:schemeClr>
              </a:solidFill>
            </a:rPr>
            <a:t>  Outra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38100</xdr:rowOff>
    </xdr:from>
    <xdr:to>
      <xdr:col>0</xdr:col>
      <xdr:colOff>504825</xdr:colOff>
      <xdr:row>2</xdr:row>
      <xdr:rowOff>133350</xdr:rowOff>
    </xdr:to>
    <xdr:pic>
      <xdr:nvPicPr>
        <xdr:cNvPr id="25" name="Picture 57" descr="C:\Users\Natália\AppData\Local\Microsoft\Windows\Temporary Internet Files\Content.IE5\3WYPPG2D\MC900442122[1].png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85725" y="38100"/>
          <a:ext cx="419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413497</xdr:colOff>
      <xdr:row>25</xdr:row>
      <xdr:rowOff>28434</xdr:rowOff>
    </xdr:from>
    <xdr:to>
      <xdr:col>2</xdr:col>
      <xdr:colOff>157465</xdr:colOff>
      <xdr:row>27</xdr:row>
      <xdr:rowOff>62400</xdr:rowOff>
    </xdr:to>
    <xdr:pic>
      <xdr:nvPicPr>
        <xdr:cNvPr id="26" name="Picture 42" descr="C:\Users\Natália\AppData\Local\Microsoft\Windows\Temporary Internet Files\Content.IE5\LT00TPWD\MM900336967[1].gif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23097" y="4076559"/>
          <a:ext cx="353568" cy="357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23</xdr:row>
      <xdr:rowOff>114300</xdr:rowOff>
    </xdr:from>
    <xdr:to>
      <xdr:col>3</xdr:col>
      <xdr:colOff>45784</xdr:colOff>
      <xdr:row>25</xdr:row>
      <xdr:rowOff>33277</xdr:rowOff>
    </xdr:to>
    <xdr:sp macro="" textlink="">
      <xdr:nvSpPr>
        <xdr:cNvPr id="27" name="CaixaDeTexto 26"/>
        <xdr:cNvSpPr txBox="1"/>
      </xdr:nvSpPr>
      <xdr:spPr>
        <a:xfrm>
          <a:off x="600075" y="3838575"/>
          <a:ext cx="1274509" cy="242827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50">
              <a:solidFill>
                <a:schemeClr val="accent5">
                  <a:lumMod val="75000"/>
                </a:schemeClr>
              </a:solidFill>
              <a:latin typeface="Comic Sans MS" pitchFamily="66" charset="0"/>
            </a:rPr>
            <a:t>Altura do joelho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501042</xdr:colOff>
      <xdr:row>6</xdr:row>
      <xdr:rowOff>70902</xdr:rowOff>
    </xdr:from>
    <xdr:to>
      <xdr:col>2</xdr:col>
      <xdr:colOff>247374</xdr:colOff>
      <xdr:row>8</xdr:row>
      <xdr:rowOff>66924</xdr:rowOff>
    </xdr:to>
    <xdr:pic>
      <xdr:nvPicPr>
        <xdr:cNvPr id="3" name="Picture 42" descr="C:\Users\Natália\AppData\Local\Microsoft\Windows\Temporary Internet Files\Content.IE5\LT00TPWD\MM900336967[1]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110642" y="1042452"/>
          <a:ext cx="355932" cy="319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4</xdr:row>
      <xdr:rowOff>161924</xdr:rowOff>
    </xdr:from>
    <xdr:to>
      <xdr:col>3</xdr:col>
      <xdr:colOff>114162</xdr:colOff>
      <xdr:row>7</xdr:row>
      <xdr:rowOff>17984</xdr:rowOff>
    </xdr:to>
    <xdr:sp macro="" textlink="">
      <xdr:nvSpPr>
        <xdr:cNvPr id="4" name="CaixaDeTexto 3"/>
        <xdr:cNvSpPr txBox="1"/>
      </xdr:nvSpPr>
      <xdr:spPr bwMode="auto">
        <a:xfrm>
          <a:off x="619125" y="809624"/>
          <a:ext cx="1323837" cy="341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 b="0">
              <a:solidFill>
                <a:schemeClr val="accent6">
                  <a:lumMod val="50000"/>
                </a:schemeClr>
              </a:solidFill>
              <a:latin typeface="Comic Sans MS" pitchFamily="66" charset="0"/>
            </a:rPr>
            <a:t>Estatura</a:t>
          </a:r>
        </a:p>
      </xdr:txBody>
    </xdr:sp>
    <xdr:clientData/>
  </xdr:twoCellAnchor>
  <xdr:twoCellAnchor>
    <xdr:from>
      <xdr:col>1</xdr:col>
      <xdr:colOff>502312</xdr:colOff>
      <xdr:row>12</xdr:row>
      <xdr:rowOff>30131</xdr:rowOff>
    </xdr:from>
    <xdr:to>
      <xdr:col>2</xdr:col>
      <xdr:colOff>248643</xdr:colOff>
      <xdr:row>14</xdr:row>
      <xdr:rowOff>54901</xdr:rowOff>
    </xdr:to>
    <xdr:pic>
      <xdr:nvPicPr>
        <xdr:cNvPr id="5" name="Picture 42" descr="C:\Users\Natália\AppData\Local\Microsoft\Windows\Temporary Internet Files\Content.IE5\LT00TPWD\MM900336967[1].gif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111912" y="1973231"/>
          <a:ext cx="355931" cy="34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28851</xdr:colOff>
      <xdr:row>9</xdr:row>
      <xdr:rowOff>7483</xdr:rowOff>
    </xdr:from>
    <xdr:to>
      <xdr:col>3</xdr:col>
      <xdr:colOff>123825</xdr:colOff>
      <xdr:row>12</xdr:row>
      <xdr:rowOff>5974</xdr:rowOff>
    </xdr:to>
    <xdr:sp macro="" textlink="">
      <xdr:nvSpPr>
        <xdr:cNvPr id="6" name="CaixaDeTexto 5"/>
        <xdr:cNvSpPr txBox="1"/>
      </xdr:nvSpPr>
      <xdr:spPr bwMode="auto">
        <a:xfrm>
          <a:off x="638451" y="1464808"/>
          <a:ext cx="1314174" cy="484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 b="0">
              <a:solidFill>
                <a:srgbClr val="512373"/>
              </a:solidFill>
              <a:latin typeface="Comic Sans MS" pitchFamily="66" charset="0"/>
            </a:rPr>
            <a:t>Circunferência de cintura</a:t>
          </a:r>
        </a:p>
      </xdr:txBody>
    </xdr:sp>
    <xdr:clientData/>
  </xdr:twoCellAnchor>
  <xdr:twoCellAnchor>
    <xdr:from>
      <xdr:col>1</xdr:col>
      <xdr:colOff>9525</xdr:colOff>
      <xdr:row>14</xdr:row>
      <xdr:rowOff>71436</xdr:rowOff>
    </xdr:from>
    <xdr:to>
      <xdr:col>3</xdr:col>
      <xdr:colOff>114162</xdr:colOff>
      <xdr:row>19</xdr:row>
      <xdr:rowOff>49942</xdr:rowOff>
    </xdr:to>
    <xdr:grpSp>
      <xdr:nvGrpSpPr>
        <xdr:cNvPr id="2" name="Grupo 1"/>
        <xdr:cNvGrpSpPr/>
      </xdr:nvGrpSpPr>
      <xdr:grpSpPr>
        <a:xfrm>
          <a:off x="619125" y="2338386"/>
          <a:ext cx="1323837" cy="788131"/>
          <a:chOff x="619125" y="2338386"/>
          <a:chExt cx="1323837" cy="788131"/>
        </a:xfrm>
      </xdr:grpSpPr>
      <xdr:pic>
        <xdr:nvPicPr>
          <xdr:cNvPr id="7" name="Picture 42" descr="C:\Users\Natália\AppData\Local\Microsoft\Windows\Temporary Internet Files\Content.IE5\LT00TPWD\MM900336967[1].gif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1113156" y="2778944"/>
            <a:ext cx="354856" cy="3475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CaixaDeTexto 7"/>
          <xdr:cNvSpPr txBox="1"/>
        </xdr:nvSpPr>
        <xdr:spPr bwMode="auto">
          <a:xfrm>
            <a:off x="619125" y="2338386"/>
            <a:ext cx="1323837" cy="4462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</xdr:grpSp>
    <xdr:clientData/>
  </xdr:twoCellAnchor>
  <xdr:twoCellAnchor>
    <xdr:from>
      <xdr:col>1</xdr:col>
      <xdr:colOff>509045</xdr:colOff>
      <xdr:row>21</xdr:row>
      <xdr:rowOff>147441</xdr:rowOff>
    </xdr:from>
    <xdr:to>
      <xdr:col>2</xdr:col>
      <xdr:colOff>255376</xdr:colOff>
      <xdr:row>24</xdr:row>
      <xdr:rowOff>19049</xdr:rowOff>
    </xdr:to>
    <xdr:pic>
      <xdr:nvPicPr>
        <xdr:cNvPr id="9" name="Picture 42" descr="C:\Users\Natália\AppData\Local\Microsoft\Windows\Temporary Internet Files\Content.IE5\LT00TPWD\MM900336967[1].gif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118645" y="3547866"/>
          <a:ext cx="355931" cy="357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19</xdr:row>
      <xdr:rowOff>49547</xdr:rowOff>
    </xdr:from>
    <xdr:to>
      <xdr:col>3</xdr:col>
      <xdr:colOff>123549</xdr:colOff>
      <xdr:row>22</xdr:row>
      <xdr:rowOff>76200</xdr:rowOff>
    </xdr:to>
    <xdr:sp macro="" textlink="">
      <xdr:nvSpPr>
        <xdr:cNvPr id="10" name="CaixaDeTexto 9"/>
        <xdr:cNvSpPr txBox="1"/>
      </xdr:nvSpPr>
      <xdr:spPr bwMode="auto">
        <a:xfrm>
          <a:off x="638175" y="3126122"/>
          <a:ext cx="1314174" cy="5124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 b="0">
              <a:solidFill>
                <a:srgbClr val="640000"/>
              </a:solidFill>
              <a:latin typeface="Comic Sans MS" pitchFamily="66" charset="0"/>
            </a:rPr>
            <a:t>Circunferência</a:t>
          </a:r>
          <a:r>
            <a:rPr lang="pt-BR" sz="1000" b="0" baseline="0">
              <a:solidFill>
                <a:srgbClr val="640000"/>
              </a:solidFill>
              <a:latin typeface="Comic Sans MS" pitchFamily="66" charset="0"/>
            </a:rPr>
            <a:t> da panturrilha</a:t>
          </a:r>
          <a:endParaRPr lang="pt-BR" sz="1000" b="0">
            <a:solidFill>
              <a:srgbClr val="640000"/>
            </a:solidFill>
            <a:latin typeface="Comic Sans MS" pitchFamily="66" charset="0"/>
          </a:endParaRPr>
        </a:p>
      </xdr:txBody>
    </xdr:sp>
    <xdr:clientData/>
  </xdr:twoCellAnchor>
  <xdr:twoCellAnchor>
    <xdr:from>
      <xdr:col>2</xdr:col>
      <xdr:colOff>514350</xdr:colOff>
      <xdr:row>12</xdr:row>
      <xdr:rowOff>66675</xdr:rowOff>
    </xdr:from>
    <xdr:to>
      <xdr:col>4</xdr:col>
      <xdr:colOff>0</xdr:colOff>
      <xdr:row>16</xdr:row>
      <xdr:rowOff>123825</xdr:rowOff>
    </xdr:to>
    <xdr:cxnSp macro="">
      <xdr:nvCxnSpPr>
        <xdr:cNvPr id="12" name="Conector de seta reta 11"/>
        <xdr:cNvCxnSpPr/>
      </xdr:nvCxnSpPr>
      <xdr:spPr>
        <a:xfrm flipV="1">
          <a:off x="1733550" y="2009775"/>
          <a:ext cx="704850" cy="704850"/>
        </a:xfrm>
        <a:prstGeom prst="straightConnector1">
          <a:avLst/>
        </a:prstGeom>
        <a:ln>
          <a:tailEnd type="arrow"/>
        </a:ln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6</xdr:row>
      <xdr:rowOff>47624</xdr:rowOff>
    </xdr:from>
    <xdr:to>
      <xdr:col>13</xdr:col>
      <xdr:colOff>209550</xdr:colOff>
      <xdr:row>26</xdr:row>
      <xdr:rowOff>76199</xdr:rowOff>
    </xdr:to>
    <xdr:sp macro="" textlink="">
      <xdr:nvSpPr>
        <xdr:cNvPr id="13" name="Retângulo de cantos arredondados 12"/>
        <xdr:cNvSpPr/>
      </xdr:nvSpPr>
      <xdr:spPr bwMode="auto">
        <a:xfrm>
          <a:off x="2457450" y="1019174"/>
          <a:ext cx="5676900" cy="3267075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accent3">
              <a:lumMod val="75000"/>
            </a:schemeClr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endParaRPr lang="pt-BR" sz="100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pPr algn="ctr"/>
          <a:endParaRPr lang="pt-BR" sz="800">
            <a:latin typeface="Comic Sans MS" pitchFamily="66" charset="0"/>
          </a:endParaRPr>
        </a:p>
      </xdr:txBody>
    </xdr:sp>
    <xdr:clientData/>
  </xdr:twoCellAnchor>
  <xdr:twoCellAnchor>
    <xdr:from>
      <xdr:col>4</xdr:col>
      <xdr:colOff>285750</xdr:colOff>
      <xdr:row>7</xdr:row>
      <xdr:rowOff>104775</xdr:rowOff>
    </xdr:from>
    <xdr:to>
      <xdr:col>7</xdr:col>
      <xdr:colOff>238125</xdr:colOff>
      <xdr:row>25</xdr:row>
      <xdr:rowOff>28575</xdr:rowOff>
    </xdr:to>
    <xdr:sp macro="" textlink="">
      <xdr:nvSpPr>
        <xdr:cNvPr id="15" name="CaixaDeTexto 14"/>
        <xdr:cNvSpPr txBox="1"/>
      </xdr:nvSpPr>
      <xdr:spPr>
        <a:xfrm>
          <a:off x="2724150" y="1238250"/>
          <a:ext cx="1781175" cy="283845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800" b="1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A dobra cutânea triciptal</a:t>
          </a:r>
          <a:r>
            <a:rPr lang="pt-BR" sz="800" b="1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</a:t>
          </a:r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é </a:t>
          </a:r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a medida da espessura de duas camadas de pele e a gordura subcutânea adjacente.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80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80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pPr algn="ctr"/>
          <a:r>
            <a:rPr lang="pt-BR" sz="800" b="1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Equipamento: </a:t>
          </a:r>
          <a:endParaRPr lang="pt-BR" sz="80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Calibrador.</a:t>
          </a:r>
          <a:endParaRPr lang="pt-BR" sz="800">
            <a:latin typeface="Comic Sans MS" pitchFamily="66" charset="0"/>
          </a:endParaRPr>
        </a:p>
        <a:p>
          <a:pPr algn="ctr"/>
          <a:endParaRPr lang="pt-BR" sz="80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pPr algn="ctr"/>
          <a:r>
            <a:rPr lang="pt-BR" sz="800" b="1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Indivíduo:</a:t>
          </a:r>
          <a:endParaRPr lang="pt-BR" sz="800">
            <a:latin typeface="Comic Sans MS" pitchFamily="66" charset="0"/>
          </a:endParaRP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Braço direito livre de roupas.</a:t>
          </a:r>
          <a:endParaRPr lang="pt-BR" sz="800">
            <a:latin typeface="Comic Sans MS" pitchFamily="66" charset="0"/>
          </a:endParaRP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Indivíduo ereto.</a:t>
          </a:r>
          <a:endParaRPr lang="pt-BR" sz="800">
            <a:latin typeface="Comic Sans MS" pitchFamily="66" charset="0"/>
          </a:endParaRP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Pés afastados.</a:t>
          </a:r>
          <a:endParaRPr lang="pt-BR" sz="800">
            <a:latin typeface="Comic Sans MS" pitchFamily="66" charset="0"/>
          </a:endParaRP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Peso distribuído em ambos os pés</a:t>
          </a:r>
          <a:endParaRPr lang="pt-BR" sz="800">
            <a:latin typeface="Comic Sans MS" pitchFamily="66" charset="0"/>
          </a:endParaRPr>
        </a:p>
      </xdr:txBody>
    </xdr:sp>
    <xdr:clientData/>
  </xdr:twoCellAnchor>
  <xdr:twoCellAnchor>
    <xdr:from>
      <xdr:col>7</xdr:col>
      <xdr:colOff>323849</xdr:colOff>
      <xdr:row>7</xdr:row>
      <xdr:rowOff>47625</xdr:rowOff>
    </xdr:from>
    <xdr:to>
      <xdr:col>13</xdr:col>
      <xdr:colOff>95250</xdr:colOff>
      <xdr:row>24</xdr:row>
      <xdr:rowOff>133350</xdr:rowOff>
    </xdr:to>
    <xdr:sp macro="" textlink="">
      <xdr:nvSpPr>
        <xdr:cNvPr id="16" name="CaixaDeTexto 15"/>
        <xdr:cNvSpPr txBox="1"/>
      </xdr:nvSpPr>
      <xdr:spPr>
        <a:xfrm>
          <a:off x="4591049" y="1181100"/>
          <a:ext cx="3429001" cy="283845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800" b="1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Ponto médio:</a:t>
          </a:r>
          <a:endParaRPr lang="pt-BR" sz="800">
            <a:latin typeface="Comic Sans MS" pitchFamily="66" charset="0"/>
          </a:endParaRPr>
        </a:p>
        <a:p>
          <a:pPr algn="ctr"/>
          <a:r>
            <a:rPr lang="pt-BR" sz="800" b="0" u="sng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Técnica:</a:t>
          </a:r>
          <a:endParaRPr lang="pt-BR" sz="80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O braço deve formar um ângulo de 90° com o antebraço, a mão voltada para cima. Localizar e marcar o acrômio. Localizar e marcar o olécrano. Medir a distância entre o acrômio e o olécrano. Calcular e marcar o ponto médio</a:t>
          </a:r>
          <a:r>
            <a:rPr lang="pt-BR" sz="80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</a:p>
        <a:p>
          <a:pPr algn="ctr"/>
          <a:endParaRPr lang="pt-BR"/>
        </a:p>
        <a:p>
          <a:pPr algn="ctr"/>
          <a:r>
            <a:rPr lang="pt-BR" sz="800" b="1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Dobra cutânea</a:t>
          </a:r>
          <a:r>
            <a:rPr lang="pt-BR" sz="800" b="1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triciptal</a:t>
          </a:r>
          <a:endParaRPr lang="pt-BR" sz="800">
            <a:latin typeface="Comic Sans MS" pitchFamily="66" charset="0"/>
          </a:endParaRPr>
        </a:p>
        <a:p>
          <a:pPr algn="ctr"/>
          <a:r>
            <a:rPr lang="pt-BR" sz="800" b="0" u="sng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Técnica:</a:t>
          </a:r>
          <a:endParaRPr lang="pt-BR" sz="800">
            <a:latin typeface="Comic Sans MS" pitchFamily="66" charset="0"/>
          </a:endParaRP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Braço estendido com a palma da mão voltada para o corpo.</a:t>
          </a:r>
          <a:endParaRPr lang="pt-BR" sz="800">
            <a:latin typeface="Comic Sans MS" pitchFamily="66" charset="0"/>
          </a:endParaRPr>
        </a:p>
        <a:p>
          <a:pPr algn="ctr"/>
          <a:r>
            <a:rPr lang="pt-BR" sz="800" b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O pinçamento</a:t>
          </a:r>
          <a:r>
            <a:rPr lang="pt-BR" sz="800" b="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deve ser realizado na face </a:t>
          </a:r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posterior do braço,</a:t>
          </a:r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 </a:t>
          </a:r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1 cm acima do ponto médio. Utilizar o polegar e o indicador da mão esquerda. Os dedos devem formar uma abertura de 6 a 8 cm. Pinçar uma dobra vertical de espessura dupla.</a:t>
          </a: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Colocar o calibrador  na dobra, sobre o ponto médio,</a:t>
          </a:r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s</a:t>
          </a:r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egurando-o com a mão direita</a:t>
          </a:r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de maneira p</a:t>
          </a:r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erpendicular à Soltar a pressão exercida sobre as hastes do calibrador.</a:t>
          </a: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Manter a pressão sobre a dobra. Realizar a leitura.</a:t>
          </a: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Registrar a medida. Repetir o processo para obtenção de uma segunda medida.</a:t>
          </a:r>
        </a:p>
        <a:p>
          <a:endParaRPr lang="pt-BR" sz="1100"/>
        </a:p>
      </xdr:txBody>
    </xdr:sp>
    <xdr:clientData/>
  </xdr:twoCellAnchor>
  <xdr:twoCellAnchor editAs="oneCell">
    <xdr:from>
      <xdr:col>3</xdr:col>
      <xdr:colOff>561975</xdr:colOff>
      <xdr:row>22</xdr:row>
      <xdr:rowOff>104775</xdr:rowOff>
    </xdr:from>
    <xdr:to>
      <xdr:col>5</xdr:col>
      <xdr:colOff>132913</xdr:colOff>
      <xdr:row>28</xdr:row>
      <xdr:rowOff>66675</xdr:rowOff>
    </xdr:to>
    <xdr:pic>
      <xdr:nvPicPr>
        <xdr:cNvPr id="17" name="Imagem 16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90775" y="3667125"/>
          <a:ext cx="790138" cy="933450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552450</xdr:colOff>
      <xdr:row>19</xdr:row>
      <xdr:rowOff>142874</xdr:rowOff>
    </xdr:from>
    <xdr:to>
      <xdr:col>14</xdr:col>
      <xdr:colOff>428625</xdr:colOff>
      <xdr:row>27</xdr:row>
      <xdr:rowOff>38099</xdr:rowOff>
    </xdr:to>
    <xdr:pic>
      <xdr:nvPicPr>
        <xdr:cNvPr id="18" name="Imagem 17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67650" y="3219449"/>
          <a:ext cx="1095375" cy="1190625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10</xdr:col>
      <xdr:colOff>485775</xdr:colOff>
      <xdr:row>3</xdr:row>
      <xdr:rowOff>123825</xdr:rowOff>
    </xdr:from>
    <xdr:to>
      <xdr:col>14</xdr:col>
      <xdr:colOff>581025</xdr:colOff>
      <xdr:row>7</xdr:row>
      <xdr:rowOff>123825</xdr:rowOff>
    </xdr:to>
    <xdr:grpSp>
      <xdr:nvGrpSpPr>
        <xdr:cNvPr id="19" name="Grupo 28"/>
        <xdr:cNvGrpSpPr>
          <a:grpSpLocks/>
        </xdr:cNvGrpSpPr>
      </xdr:nvGrpSpPr>
      <xdr:grpSpPr bwMode="auto">
        <a:xfrm>
          <a:off x="6581775" y="609600"/>
          <a:ext cx="2533650" cy="647700"/>
          <a:chOff x="0" y="0"/>
          <a:chExt cx="2533650" cy="647700"/>
        </a:xfrm>
      </xdr:grpSpPr>
      <xdr:sp macro="" textlink="">
        <xdr:nvSpPr>
          <xdr:cNvPr id="20" name="AutoShape 4"/>
          <xdr:cNvSpPr>
            <a:spLocks noChangeArrowheads="1"/>
          </xdr:cNvSpPr>
        </xdr:nvSpPr>
        <xdr:spPr bwMode="auto">
          <a:xfrm>
            <a:off x="66675" y="57150"/>
            <a:ext cx="2466975" cy="590550"/>
          </a:xfrm>
          <a:prstGeom prst="roundRect">
            <a:avLst>
              <a:gd name="adj" fmla="val 16667"/>
            </a:avLst>
          </a:prstGeom>
          <a:solidFill>
            <a:srgbClr val="FFCC66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36576" tIns="45720" rIns="36576" bIns="45720" anchor="ctr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Técnicas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Antropométricas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21" name="Picture 1" descr="C:\Users\Lanpop\AppData\Local\Microsoft\Windows\Temporary Internet Files\Content.IE5\FJAY0NAO\MC900352217[1].wmf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0" y="0"/>
            <a:ext cx="466725" cy="4848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13</xdr:col>
      <xdr:colOff>419100</xdr:colOff>
      <xdr:row>8</xdr:row>
      <xdr:rowOff>9525</xdr:rowOff>
    </xdr:from>
    <xdr:to>
      <xdr:col>17</xdr:col>
      <xdr:colOff>476250</xdr:colOff>
      <xdr:row>21</xdr:row>
      <xdr:rowOff>0</xdr:rowOff>
    </xdr:to>
    <xdr:sp macro="" textlink="">
      <xdr:nvSpPr>
        <xdr:cNvPr id="24" name="CaixaDeTexto 23"/>
        <xdr:cNvSpPr txBox="1"/>
      </xdr:nvSpPr>
      <xdr:spPr>
        <a:xfrm>
          <a:off x="8343900" y="1304925"/>
          <a:ext cx="2495550" cy="209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800" u="sng">
              <a:solidFill>
                <a:schemeClr val="tx1">
                  <a:lumMod val="75000"/>
                  <a:lumOff val="25000"/>
                </a:schemeClr>
              </a:solidFill>
              <a:latin typeface="Comic Sans MS" pitchFamily="66" charset="0"/>
            </a:rPr>
            <a:t>Referências das figuras :</a:t>
          </a:r>
        </a:p>
        <a:p>
          <a:pPr algn="ctr"/>
          <a:endParaRPr lang="pt-BR" sz="800" u="sng">
            <a:solidFill>
              <a:schemeClr val="tx1">
                <a:lumMod val="75000"/>
                <a:lumOff val="25000"/>
              </a:schemeClr>
            </a:solidFill>
            <a:latin typeface="Comic Sans MS" pitchFamily="66" charset="0"/>
          </a:endParaRPr>
        </a:p>
        <a:p>
          <a:pPr lvl="0" algn="ctr"/>
          <a:r>
            <a:rPr lang="pt-BR" sz="800">
              <a:solidFill>
                <a:schemeClr val="tx1">
                  <a:lumMod val="75000"/>
                  <a:lumOff val="25000"/>
                </a:schemeClr>
              </a:solidFill>
              <a:latin typeface="Comic Sans MS" pitchFamily="66" charset="0"/>
              <a:ea typeface="+mn-ea"/>
              <a:cs typeface="+mn-cs"/>
            </a:rPr>
            <a:t>Lanpop. Manual de técnicas antropométricas. </a:t>
          </a:r>
        </a:p>
      </xdr:txBody>
    </xdr:sp>
    <xdr:clientData/>
  </xdr:twoCellAnchor>
  <xdr:twoCellAnchor editAs="oneCell">
    <xdr:from>
      <xdr:col>0</xdr:col>
      <xdr:colOff>104775</xdr:colOff>
      <xdr:row>0</xdr:row>
      <xdr:rowOff>104775</xdr:rowOff>
    </xdr:from>
    <xdr:to>
      <xdr:col>0</xdr:col>
      <xdr:colOff>590550</xdr:colOff>
      <xdr:row>3</xdr:row>
      <xdr:rowOff>104775</xdr:rowOff>
    </xdr:to>
    <xdr:pic>
      <xdr:nvPicPr>
        <xdr:cNvPr id="25" name="Picture 57" descr="C:\Users\Natália\AppData\Local\Microsoft\Windows\Temporary Internet Files\Content.IE5\3WYPPG2D\MC900442122[1].png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4775" y="104775"/>
          <a:ext cx="4857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466726</xdr:colOff>
      <xdr:row>30</xdr:row>
      <xdr:rowOff>9526</xdr:rowOff>
    </xdr:from>
    <xdr:to>
      <xdr:col>2</xdr:col>
      <xdr:colOff>207972</xdr:colOff>
      <xdr:row>32</xdr:row>
      <xdr:rowOff>44172</xdr:rowOff>
    </xdr:to>
    <xdr:pic>
      <xdr:nvPicPr>
        <xdr:cNvPr id="37" name="Picture 42" descr="C:\Users\Natália\AppData\Local\Microsoft\Windows\Temporary Internet Files\Content.IE5\LT00TPWD\MM900336967[1].gif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76326" y="4867276"/>
          <a:ext cx="350846" cy="358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371476</xdr:colOff>
      <xdr:row>28</xdr:row>
      <xdr:rowOff>76201</xdr:rowOff>
    </xdr:from>
    <xdr:to>
      <xdr:col>2</xdr:col>
      <xdr:colOff>361951</xdr:colOff>
      <xdr:row>29</xdr:row>
      <xdr:rowOff>133351</xdr:rowOff>
    </xdr:to>
    <xdr:sp macro="" textlink="">
      <xdr:nvSpPr>
        <xdr:cNvPr id="38" name="CaixaDeTexto 37"/>
        <xdr:cNvSpPr txBox="1"/>
      </xdr:nvSpPr>
      <xdr:spPr>
        <a:xfrm>
          <a:off x="981076" y="4610101"/>
          <a:ext cx="600075" cy="2190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000" b="0">
              <a:solidFill>
                <a:srgbClr val="0070C0"/>
              </a:solidFill>
              <a:latin typeface="Comic Sans MS" pitchFamily="66" charset="0"/>
            </a:rPr>
            <a:t>Outra</a:t>
          </a:r>
        </a:p>
      </xdr:txBody>
    </xdr:sp>
    <xdr:clientData/>
  </xdr:twoCellAnchor>
  <xdr:twoCellAnchor>
    <xdr:from>
      <xdr:col>1</xdr:col>
      <xdr:colOff>85725</xdr:colOff>
      <xdr:row>24</xdr:row>
      <xdr:rowOff>104775</xdr:rowOff>
    </xdr:from>
    <xdr:to>
      <xdr:col>3</xdr:col>
      <xdr:colOff>38100</xdr:colOff>
      <xdr:row>26</xdr:row>
      <xdr:rowOff>76200</xdr:rowOff>
    </xdr:to>
    <xdr:sp macro="" textlink="">
      <xdr:nvSpPr>
        <xdr:cNvPr id="35" name="CaixaDeTexto 34"/>
        <xdr:cNvSpPr txBox="1"/>
      </xdr:nvSpPr>
      <xdr:spPr>
        <a:xfrm>
          <a:off x="695325" y="3990975"/>
          <a:ext cx="1171575" cy="295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000">
              <a:solidFill>
                <a:schemeClr val="accent5">
                  <a:lumMod val="75000"/>
                </a:schemeClr>
              </a:solidFill>
              <a:latin typeface="Comic Sans MS" pitchFamily="66" charset="0"/>
            </a:rPr>
            <a:t>Altura do joelho</a:t>
          </a:r>
        </a:p>
      </xdr:txBody>
    </xdr:sp>
    <xdr:clientData/>
  </xdr:twoCellAnchor>
  <xdr:twoCellAnchor>
    <xdr:from>
      <xdr:col>1</xdr:col>
      <xdr:colOff>476251</xdr:colOff>
      <xdr:row>26</xdr:row>
      <xdr:rowOff>19051</xdr:rowOff>
    </xdr:from>
    <xdr:to>
      <xdr:col>2</xdr:col>
      <xdr:colOff>217497</xdr:colOff>
      <xdr:row>28</xdr:row>
      <xdr:rowOff>53697</xdr:rowOff>
    </xdr:to>
    <xdr:pic>
      <xdr:nvPicPr>
        <xdr:cNvPr id="36" name="Picture 42" descr="C:\Users\Natália\AppData\Local\Microsoft\Windows\Temporary Internet Files\Content.IE5\LT00TPWD\MM900336967[1].gif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85851" y="4229101"/>
          <a:ext cx="350846" cy="358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443892</xdr:colOff>
      <xdr:row>5</xdr:row>
      <xdr:rowOff>137578</xdr:rowOff>
    </xdr:from>
    <xdr:to>
      <xdr:col>2</xdr:col>
      <xdr:colOff>190224</xdr:colOff>
      <xdr:row>7</xdr:row>
      <xdr:rowOff>133600</xdr:rowOff>
    </xdr:to>
    <xdr:pic>
      <xdr:nvPicPr>
        <xdr:cNvPr id="3" name="Picture 42" descr="C:\Users\Natália\AppData\Local\Microsoft\Windows\Temporary Internet Files\Content.IE5\LT00TPWD\MM900336967[1]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53492" y="947203"/>
          <a:ext cx="355932" cy="319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561975</xdr:colOff>
      <xdr:row>4</xdr:row>
      <xdr:rowOff>66675</xdr:rowOff>
    </xdr:from>
    <xdr:to>
      <xdr:col>3</xdr:col>
      <xdr:colOff>57012</xdr:colOff>
      <xdr:row>6</xdr:row>
      <xdr:rowOff>84660</xdr:rowOff>
    </xdr:to>
    <xdr:sp macro="" textlink="">
      <xdr:nvSpPr>
        <xdr:cNvPr id="4" name="CaixaDeTexto 3"/>
        <xdr:cNvSpPr txBox="1"/>
      </xdr:nvSpPr>
      <xdr:spPr bwMode="auto">
        <a:xfrm>
          <a:off x="561975" y="714375"/>
          <a:ext cx="1323837" cy="341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 b="0">
              <a:solidFill>
                <a:schemeClr val="accent6">
                  <a:lumMod val="50000"/>
                </a:schemeClr>
              </a:solidFill>
              <a:latin typeface="Comic Sans MS" pitchFamily="66" charset="0"/>
            </a:rPr>
            <a:t>Estatura</a:t>
          </a:r>
        </a:p>
      </xdr:txBody>
    </xdr:sp>
    <xdr:clientData/>
  </xdr:twoCellAnchor>
  <xdr:twoCellAnchor>
    <xdr:from>
      <xdr:col>1</xdr:col>
      <xdr:colOff>445162</xdr:colOff>
      <xdr:row>11</xdr:row>
      <xdr:rowOff>96807</xdr:rowOff>
    </xdr:from>
    <xdr:to>
      <xdr:col>2</xdr:col>
      <xdr:colOff>191493</xdr:colOff>
      <xdr:row>13</xdr:row>
      <xdr:rowOff>121577</xdr:rowOff>
    </xdr:to>
    <xdr:pic>
      <xdr:nvPicPr>
        <xdr:cNvPr id="5" name="Picture 42" descr="C:\Users\Natália\AppData\Local\Microsoft\Windows\Temporary Internet Files\Content.IE5\LT00TPWD\MM900336967[1].gif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54762" y="1877982"/>
          <a:ext cx="355931" cy="34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581301</xdr:colOff>
      <xdr:row>8</xdr:row>
      <xdr:rowOff>74159</xdr:rowOff>
    </xdr:from>
    <xdr:to>
      <xdr:col>3</xdr:col>
      <xdr:colOff>66675</xdr:colOff>
      <xdr:row>11</xdr:row>
      <xdr:rowOff>72650</xdr:rowOff>
    </xdr:to>
    <xdr:sp macro="" textlink="">
      <xdr:nvSpPr>
        <xdr:cNvPr id="6" name="CaixaDeTexto 5"/>
        <xdr:cNvSpPr txBox="1"/>
      </xdr:nvSpPr>
      <xdr:spPr bwMode="auto">
        <a:xfrm>
          <a:off x="581301" y="1369559"/>
          <a:ext cx="1314174" cy="484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 b="0">
              <a:solidFill>
                <a:srgbClr val="512373"/>
              </a:solidFill>
              <a:latin typeface="Comic Sans MS" pitchFamily="66" charset="0"/>
            </a:rPr>
            <a:t>Circunferência de cintura</a:t>
          </a:r>
        </a:p>
      </xdr:txBody>
    </xdr:sp>
    <xdr:clientData/>
  </xdr:twoCellAnchor>
  <xdr:twoCellAnchor>
    <xdr:from>
      <xdr:col>1</xdr:col>
      <xdr:colOff>446406</xdr:colOff>
      <xdr:row>16</xdr:row>
      <xdr:rowOff>92895</xdr:rowOff>
    </xdr:from>
    <xdr:to>
      <xdr:col>2</xdr:col>
      <xdr:colOff>191662</xdr:colOff>
      <xdr:row>18</xdr:row>
      <xdr:rowOff>116618</xdr:rowOff>
    </xdr:to>
    <xdr:pic>
      <xdr:nvPicPr>
        <xdr:cNvPr id="7" name="Picture 42" descr="C:\Users\Natália\AppData\Local\Microsoft\Windows\Temporary Internet Files\Content.IE5\LT00TPWD\MM900336967[1].gif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3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56006" y="2683695"/>
          <a:ext cx="354856" cy="347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561975</xdr:colOff>
      <xdr:row>13</xdr:row>
      <xdr:rowOff>138112</xdr:rowOff>
    </xdr:from>
    <xdr:to>
      <xdr:col>3</xdr:col>
      <xdr:colOff>57012</xdr:colOff>
      <xdr:row>16</xdr:row>
      <xdr:rowOff>98622</xdr:rowOff>
    </xdr:to>
    <xdr:sp macro="" textlink="">
      <xdr:nvSpPr>
        <xdr:cNvPr id="8" name="CaixaDeTexto 7"/>
        <xdr:cNvSpPr txBox="1"/>
      </xdr:nvSpPr>
      <xdr:spPr bwMode="auto">
        <a:xfrm>
          <a:off x="561975" y="2243137"/>
          <a:ext cx="1323837" cy="4462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 b="0">
              <a:solidFill>
                <a:schemeClr val="accent3">
                  <a:lumMod val="50000"/>
                </a:schemeClr>
              </a:solidFill>
              <a:latin typeface="Comic Sans MS" pitchFamily="66" charset="0"/>
            </a:rPr>
            <a:t>Prega cutânea triciptal</a:t>
          </a:r>
        </a:p>
      </xdr:txBody>
    </xdr:sp>
    <xdr:clientData/>
  </xdr:twoCellAnchor>
  <xdr:twoCellAnchor>
    <xdr:from>
      <xdr:col>1</xdr:col>
      <xdr:colOff>451895</xdr:colOff>
      <xdr:row>21</xdr:row>
      <xdr:rowOff>52192</xdr:rowOff>
    </xdr:from>
    <xdr:to>
      <xdr:col>2</xdr:col>
      <xdr:colOff>198226</xdr:colOff>
      <xdr:row>23</xdr:row>
      <xdr:rowOff>85725</xdr:rowOff>
    </xdr:to>
    <xdr:pic>
      <xdr:nvPicPr>
        <xdr:cNvPr id="9" name="Picture 42" descr="C:\Users\Natália\AppData\Local\Microsoft\Windows\Temporary Internet Files\Content.IE5\LT00TPWD\MM900336967[1]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61495" y="3452617"/>
          <a:ext cx="355931" cy="357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581025</xdr:colOff>
      <xdr:row>18</xdr:row>
      <xdr:rowOff>116223</xdr:rowOff>
    </xdr:from>
    <xdr:to>
      <xdr:col>3</xdr:col>
      <xdr:colOff>66399</xdr:colOff>
      <xdr:row>21</xdr:row>
      <xdr:rowOff>142876</xdr:rowOff>
    </xdr:to>
    <xdr:sp macro="" textlink="">
      <xdr:nvSpPr>
        <xdr:cNvPr id="10" name="CaixaDeTexto 9"/>
        <xdr:cNvSpPr txBox="1"/>
      </xdr:nvSpPr>
      <xdr:spPr bwMode="auto">
        <a:xfrm>
          <a:off x="581025" y="3030873"/>
          <a:ext cx="1314174" cy="5124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 b="0">
              <a:solidFill>
                <a:srgbClr val="640000"/>
              </a:solidFill>
              <a:latin typeface="Comic Sans MS" pitchFamily="66" charset="0"/>
            </a:rPr>
            <a:t>Circunferência</a:t>
          </a:r>
          <a:r>
            <a:rPr lang="pt-BR" sz="1000" b="0" baseline="0">
              <a:solidFill>
                <a:srgbClr val="640000"/>
              </a:solidFill>
              <a:latin typeface="Comic Sans MS" pitchFamily="66" charset="0"/>
            </a:rPr>
            <a:t> da panturrilha</a:t>
          </a:r>
          <a:endParaRPr lang="pt-BR" sz="1000" b="0">
            <a:solidFill>
              <a:srgbClr val="640000"/>
            </a:solidFill>
            <a:latin typeface="Comic Sans MS" pitchFamily="66" charset="0"/>
          </a:endParaRPr>
        </a:p>
      </xdr:txBody>
    </xdr:sp>
    <xdr:clientData/>
  </xdr:twoCellAnchor>
  <xdr:twoCellAnchor>
    <xdr:from>
      <xdr:col>4</xdr:col>
      <xdr:colOff>447676</xdr:colOff>
      <xdr:row>4</xdr:row>
      <xdr:rowOff>85725</xdr:rowOff>
    </xdr:from>
    <xdr:to>
      <xdr:col>11</xdr:col>
      <xdr:colOff>200026</xdr:colOff>
      <xdr:row>21</xdr:row>
      <xdr:rowOff>133350</xdr:rowOff>
    </xdr:to>
    <xdr:sp macro="" textlink="">
      <xdr:nvSpPr>
        <xdr:cNvPr id="13" name="Retângulo de cantos arredondados 12"/>
        <xdr:cNvSpPr/>
      </xdr:nvSpPr>
      <xdr:spPr bwMode="auto">
        <a:xfrm>
          <a:off x="2886076" y="733425"/>
          <a:ext cx="4019550" cy="2800350"/>
        </a:xfrm>
        <a:prstGeom prst="round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accent2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endParaRPr lang="pt-BR" sz="100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pPr algn="ctr"/>
          <a:endParaRPr lang="pt-BR" sz="800">
            <a:latin typeface="Comic Sans MS" pitchFamily="66" charset="0"/>
          </a:endParaRPr>
        </a:p>
      </xdr:txBody>
    </xdr:sp>
    <xdr:clientData/>
  </xdr:twoCellAnchor>
  <xdr:twoCellAnchor>
    <xdr:from>
      <xdr:col>2</xdr:col>
      <xdr:colOff>504825</xdr:colOff>
      <xdr:row>18</xdr:row>
      <xdr:rowOff>19050</xdr:rowOff>
    </xdr:from>
    <xdr:to>
      <xdr:col>4</xdr:col>
      <xdr:colOff>342900</xdr:colOff>
      <xdr:row>21</xdr:row>
      <xdr:rowOff>123825</xdr:rowOff>
    </xdr:to>
    <xdr:cxnSp macro="">
      <xdr:nvCxnSpPr>
        <xdr:cNvPr id="15" name="Conector angulado 14"/>
        <xdr:cNvCxnSpPr/>
      </xdr:nvCxnSpPr>
      <xdr:spPr>
        <a:xfrm flipV="1">
          <a:off x="1724025" y="2933700"/>
          <a:ext cx="1057275" cy="59055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114300</xdr:colOff>
      <xdr:row>5</xdr:row>
      <xdr:rowOff>123825</xdr:rowOff>
    </xdr:from>
    <xdr:to>
      <xdr:col>11</xdr:col>
      <xdr:colOff>38100</xdr:colOff>
      <xdr:row>21</xdr:row>
      <xdr:rowOff>28575</xdr:rowOff>
    </xdr:to>
    <xdr:sp macro="" textlink="">
      <xdr:nvSpPr>
        <xdr:cNvPr id="16" name="CaixaDeTexto 15"/>
        <xdr:cNvSpPr txBox="1"/>
      </xdr:nvSpPr>
      <xdr:spPr>
        <a:xfrm>
          <a:off x="3162300" y="933450"/>
          <a:ext cx="3581400" cy="249555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800" b="1">
              <a:latin typeface="Comic Sans MS" pitchFamily="66" charset="0"/>
            </a:rPr>
            <a:t>Circunferência</a:t>
          </a:r>
          <a:r>
            <a:rPr lang="pt-BR" sz="800" b="1" baseline="0">
              <a:latin typeface="Comic Sans MS" pitchFamily="66" charset="0"/>
            </a:rPr>
            <a:t> da panturrilha </a:t>
          </a:r>
          <a:r>
            <a:rPr lang="pt-BR" sz="800" baseline="0">
              <a:latin typeface="Comic Sans MS" pitchFamily="66" charset="0"/>
            </a:rPr>
            <a:t>é </a:t>
          </a:r>
          <a:r>
            <a:rPr lang="pt-BR" sz="800" baseline="0" smtClean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a maior circunferência da panturrilha no plano horizontal.</a:t>
          </a:r>
        </a:p>
        <a:p>
          <a:pPr algn="ctr"/>
          <a:endParaRPr lang="pt-BR" sz="800" baseline="0" smtClean="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pPr algn="ctr"/>
          <a:r>
            <a:rPr lang="pt-BR" sz="800" b="1" baseline="0" smtClean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Equipamento</a:t>
          </a:r>
        </a:p>
        <a:p>
          <a:pPr algn="ctr"/>
          <a:r>
            <a:rPr lang="pt-BR" sz="800" baseline="0" smtClean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Fita flexível e inelástica</a:t>
          </a:r>
        </a:p>
        <a:p>
          <a:pPr algn="ctr"/>
          <a:endParaRPr lang="pt-BR" sz="800" baseline="0" smtClean="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pPr algn="ctr"/>
          <a:r>
            <a:rPr lang="pt-BR" sz="800" b="1" baseline="0" smtClean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Técnica</a:t>
          </a:r>
        </a:p>
        <a:p>
          <a:pPr algn="ctr"/>
          <a:r>
            <a:rPr lang="pt-BR" sz="800" baseline="0" smtClean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O indivíduo deve estar sentado com a perna a ser medida</a:t>
          </a:r>
        </a:p>
        <a:p>
          <a:pPr algn="ctr"/>
          <a:r>
            <a:rPr lang="pt-BR" sz="800" baseline="0" smtClean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suspensa ou ereto com os pés afastados cerca de 20 cm e o peso</a:t>
          </a:r>
        </a:p>
        <a:p>
          <a:pPr algn="ctr"/>
          <a:r>
            <a:rPr lang="pt-BR" sz="800" baseline="0" smtClean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distribuído em ambos os pés;</a:t>
          </a:r>
        </a:p>
        <a:p>
          <a:pPr algn="ctr"/>
          <a:r>
            <a:rPr lang="pt-BR" sz="800" baseline="0" smtClean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Posicionar a fita horizontalmente ao redor da panturrilha;</a:t>
          </a:r>
        </a:p>
        <a:p>
          <a:pPr algn="ctr"/>
          <a:r>
            <a:rPr lang="pt-BR" sz="800" baseline="0" smtClean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Localizar a maior circunferência da panturrilha em um plano</a:t>
          </a:r>
        </a:p>
        <a:p>
          <a:pPr algn="ctr"/>
          <a:r>
            <a:rPr lang="pt-BR" sz="800" baseline="0" smtClean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perpendicular ao eixo longo da panturrilha, movendo a fita para</a:t>
          </a:r>
        </a:p>
        <a:p>
          <a:pPr algn="ctr"/>
          <a:r>
            <a:rPr lang="pt-BR" sz="800" baseline="0" smtClean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cima e para baixo;</a:t>
          </a:r>
        </a:p>
        <a:p>
          <a:pPr algn="ctr"/>
          <a:r>
            <a:rPr lang="pt-BR" sz="800" baseline="0" smtClean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Realizar a medida na maior circunferência da panturrilha</a:t>
          </a:r>
          <a:endParaRPr lang="pt-BR" sz="100">
            <a:latin typeface="Comic Sans MS" pitchFamily="66" charset="0"/>
          </a:endParaRPr>
        </a:p>
      </xdr:txBody>
    </xdr:sp>
    <xdr:clientData/>
  </xdr:twoCellAnchor>
  <xdr:twoCellAnchor>
    <xdr:from>
      <xdr:col>9</xdr:col>
      <xdr:colOff>390525</xdr:colOff>
      <xdr:row>1</xdr:row>
      <xdr:rowOff>95250</xdr:rowOff>
    </xdr:from>
    <xdr:to>
      <xdr:col>13</xdr:col>
      <xdr:colOff>485775</xdr:colOff>
      <xdr:row>5</xdr:row>
      <xdr:rowOff>95250</xdr:rowOff>
    </xdr:to>
    <xdr:grpSp>
      <xdr:nvGrpSpPr>
        <xdr:cNvPr id="17" name="Grupo 28"/>
        <xdr:cNvGrpSpPr>
          <a:grpSpLocks/>
        </xdr:cNvGrpSpPr>
      </xdr:nvGrpSpPr>
      <xdr:grpSpPr bwMode="auto">
        <a:xfrm>
          <a:off x="5876925" y="257175"/>
          <a:ext cx="2533650" cy="647700"/>
          <a:chOff x="0" y="0"/>
          <a:chExt cx="2533650" cy="647700"/>
        </a:xfrm>
      </xdr:grpSpPr>
      <xdr:sp macro="" textlink="">
        <xdr:nvSpPr>
          <xdr:cNvPr id="18" name="AutoShape 4"/>
          <xdr:cNvSpPr>
            <a:spLocks noChangeArrowheads="1"/>
          </xdr:cNvSpPr>
        </xdr:nvSpPr>
        <xdr:spPr bwMode="auto">
          <a:xfrm>
            <a:off x="66675" y="57150"/>
            <a:ext cx="2466975" cy="590550"/>
          </a:xfrm>
          <a:prstGeom prst="roundRect">
            <a:avLst>
              <a:gd name="adj" fmla="val 16667"/>
            </a:avLst>
          </a:prstGeom>
          <a:solidFill>
            <a:schemeClr val="accent6">
              <a:lumMod val="75000"/>
            </a:schemeClr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36576" tIns="45720" rIns="36576" bIns="45720" anchor="ctr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Técnicas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Antropométricas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19" name="Picture 1" descr="C:\Users\Lanpop\AppData\Local\Microsoft\Windows\Temporary Internet Files\Content.IE5\FJAY0NAO\MC900352217[1].wmf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0" y="0"/>
            <a:ext cx="466725" cy="4848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123825</xdr:colOff>
      <xdr:row>0</xdr:row>
      <xdr:rowOff>76200</xdr:rowOff>
    </xdr:from>
    <xdr:to>
      <xdr:col>0</xdr:col>
      <xdr:colOff>571500</xdr:colOff>
      <xdr:row>3</xdr:row>
      <xdr:rowOff>38100</xdr:rowOff>
    </xdr:to>
    <xdr:pic>
      <xdr:nvPicPr>
        <xdr:cNvPr id="20" name="Picture 57" descr="C:\Users\Natália\AppData\Local\Microsoft\Windows\Temporary Internet Files\Content.IE5\3WYPPG2D\MC900442122[1].png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23825" y="762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428625</xdr:colOff>
      <xdr:row>29</xdr:row>
      <xdr:rowOff>28575</xdr:rowOff>
    </xdr:from>
    <xdr:to>
      <xdr:col>2</xdr:col>
      <xdr:colOff>169871</xdr:colOff>
      <xdr:row>31</xdr:row>
      <xdr:rowOff>63221</xdr:rowOff>
    </xdr:to>
    <xdr:pic>
      <xdr:nvPicPr>
        <xdr:cNvPr id="11" name="Picture 42" descr="C:\Users\Natália\AppData\Local\Microsoft\Windows\Temporary Internet Files\Content.IE5\LT00TPWD\MM900336967[1].gif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38225" y="4724400"/>
          <a:ext cx="350846" cy="358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27</xdr:row>
      <xdr:rowOff>95250</xdr:rowOff>
    </xdr:from>
    <xdr:to>
      <xdr:col>2</xdr:col>
      <xdr:colOff>323850</xdr:colOff>
      <xdr:row>28</xdr:row>
      <xdr:rowOff>152400</xdr:rowOff>
    </xdr:to>
    <xdr:sp macro="" textlink="">
      <xdr:nvSpPr>
        <xdr:cNvPr id="12" name="CaixaDeTexto 11"/>
        <xdr:cNvSpPr txBox="1"/>
      </xdr:nvSpPr>
      <xdr:spPr>
        <a:xfrm>
          <a:off x="942975" y="4467225"/>
          <a:ext cx="600075" cy="2190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000" b="0">
              <a:solidFill>
                <a:srgbClr val="0070C0"/>
              </a:solidFill>
              <a:latin typeface="Comic Sans MS" pitchFamily="66" charset="0"/>
            </a:rPr>
            <a:t>Outra</a:t>
          </a:r>
        </a:p>
      </xdr:txBody>
    </xdr:sp>
    <xdr:clientData/>
  </xdr:twoCellAnchor>
  <xdr:twoCellAnchor>
    <xdr:from>
      <xdr:col>1</xdr:col>
      <xdr:colOff>47624</xdr:colOff>
      <xdr:row>23</xdr:row>
      <xdr:rowOff>123824</xdr:rowOff>
    </xdr:from>
    <xdr:to>
      <xdr:col>2</xdr:col>
      <xdr:colOff>609599</xdr:colOff>
      <xdr:row>25</xdr:row>
      <xdr:rowOff>95249</xdr:rowOff>
    </xdr:to>
    <xdr:sp macro="" textlink="">
      <xdr:nvSpPr>
        <xdr:cNvPr id="31" name="CaixaDeTexto 30"/>
        <xdr:cNvSpPr txBox="1"/>
      </xdr:nvSpPr>
      <xdr:spPr>
        <a:xfrm>
          <a:off x="657224" y="3848099"/>
          <a:ext cx="1171575" cy="295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000">
              <a:solidFill>
                <a:schemeClr val="accent5">
                  <a:lumMod val="75000"/>
                </a:schemeClr>
              </a:solidFill>
              <a:latin typeface="Comic Sans MS" pitchFamily="66" charset="0"/>
            </a:rPr>
            <a:t>Altura do joelho</a:t>
          </a:r>
        </a:p>
      </xdr:txBody>
    </xdr:sp>
    <xdr:clientData/>
  </xdr:twoCellAnchor>
  <xdr:twoCellAnchor>
    <xdr:from>
      <xdr:col>1</xdr:col>
      <xdr:colOff>438150</xdr:colOff>
      <xdr:row>25</xdr:row>
      <xdr:rowOff>38100</xdr:rowOff>
    </xdr:from>
    <xdr:to>
      <xdr:col>2</xdr:col>
      <xdr:colOff>179396</xdr:colOff>
      <xdr:row>27</xdr:row>
      <xdr:rowOff>72746</xdr:rowOff>
    </xdr:to>
    <xdr:pic>
      <xdr:nvPicPr>
        <xdr:cNvPr id="30" name="Picture 42" descr="C:\Users\Natália\AppData\Local\Microsoft\Windows\Temporary Internet Files\Content.IE5\LT00TPWD\MM900336967[1].gif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47750" y="4086225"/>
          <a:ext cx="350846" cy="358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495406</xdr:colOff>
      <xdr:row>4</xdr:row>
      <xdr:rowOff>119312</xdr:rowOff>
    </xdr:from>
    <xdr:to>
      <xdr:col>2</xdr:col>
      <xdr:colOff>240923</xdr:colOff>
      <xdr:row>6</xdr:row>
      <xdr:rowOff>128035</xdr:rowOff>
    </xdr:to>
    <xdr:pic>
      <xdr:nvPicPr>
        <xdr:cNvPr id="3" name="Picture 42" descr="C:\Users\Natália\AppData\Local\Microsoft\Windows\Temporary Internet Files\Content.IE5\LT00TPWD\MM900336967[1]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100524" y="746841"/>
          <a:ext cx="350634" cy="322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11206</xdr:colOff>
      <xdr:row>3</xdr:row>
      <xdr:rowOff>41462</xdr:rowOff>
    </xdr:from>
    <xdr:to>
      <xdr:col>3</xdr:col>
      <xdr:colOff>105101</xdr:colOff>
      <xdr:row>5</xdr:row>
      <xdr:rowOff>72327</xdr:rowOff>
    </xdr:to>
    <xdr:sp macro="" textlink="">
      <xdr:nvSpPr>
        <xdr:cNvPr id="4" name="CaixaDeTexto 3"/>
        <xdr:cNvSpPr txBox="1"/>
      </xdr:nvSpPr>
      <xdr:spPr bwMode="auto">
        <a:xfrm>
          <a:off x="616324" y="512109"/>
          <a:ext cx="1304130" cy="3446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 b="0">
              <a:solidFill>
                <a:schemeClr val="accent6">
                  <a:lumMod val="50000"/>
                </a:schemeClr>
              </a:solidFill>
              <a:latin typeface="Comic Sans MS" pitchFamily="66" charset="0"/>
            </a:rPr>
            <a:t>Estatura</a:t>
          </a:r>
        </a:p>
      </xdr:txBody>
    </xdr:sp>
    <xdr:clientData/>
  </xdr:twoCellAnchor>
  <xdr:twoCellAnchor>
    <xdr:from>
      <xdr:col>1</xdr:col>
      <xdr:colOff>496657</xdr:colOff>
      <xdr:row>10</xdr:row>
      <xdr:rowOff>20675</xdr:rowOff>
    </xdr:from>
    <xdr:to>
      <xdr:col>2</xdr:col>
      <xdr:colOff>242173</xdr:colOff>
      <xdr:row>12</xdr:row>
      <xdr:rowOff>58382</xdr:rowOff>
    </xdr:to>
    <xdr:pic>
      <xdr:nvPicPr>
        <xdr:cNvPr id="5" name="Picture 42" descr="C:\Users\Natália\AppData\Local\Microsoft\Windows\Temporary Internet Files\Content.IE5\LT00TPWD\MM900336967[1].gif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101775" y="1589499"/>
          <a:ext cx="350633" cy="3514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30244</xdr:colOff>
      <xdr:row>7</xdr:row>
      <xdr:rowOff>55328</xdr:rowOff>
    </xdr:from>
    <xdr:to>
      <xdr:col>3</xdr:col>
      <xdr:colOff>114620</xdr:colOff>
      <xdr:row>10</xdr:row>
      <xdr:rowOff>63333</xdr:rowOff>
    </xdr:to>
    <xdr:sp macro="" textlink="">
      <xdr:nvSpPr>
        <xdr:cNvPr id="6" name="CaixaDeTexto 5"/>
        <xdr:cNvSpPr txBox="1"/>
      </xdr:nvSpPr>
      <xdr:spPr bwMode="auto">
        <a:xfrm>
          <a:off x="635362" y="1153504"/>
          <a:ext cx="1294611" cy="4786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 b="0">
              <a:solidFill>
                <a:srgbClr val="512373"/>
              </a:solidFill>
              <a:latin typeface="Comic Sans MS" pitchFamily="66" charset="0"/>
            </a:rPr>
            <a:t>Circunferência de cintura</a:t>
          </a:r>
        </a:p>
      </xdr:txBody>
    </xdr:sp>
    <xdr:clientData/>
  </xdr:twoCellAnchor>
  <xdr:twoCellAnchor>
    <xdr:from>
      <xdr:col>1</xdr:col>
      <xdr:colOff>11206</xdr:colOff>
      <xdr:row>13</xdr:row>
      <xdr:rowOff>13900</xdr:rowOff>
    </xdr:from>
    <xdr:to>
      <xdr:col>3</xdr:col>
      <xdr:colOff>105101</xdr:colOff>
      <xdr:row>18</xdr:row>
      <xdr:rowOff>24063</xdr:rowOff>
    </xdr:to>
    <xdr:grpSp>
      <xdr:nvGrpSpPr>
        <xdr:cNvPr id="11" name="Grupo 10"/>
        <xdr:cNvGrpSpPr/>
      </xdr:nvGrpSpPr>
      <xdr:grpSpPr>
        <a:xfrm>
          <a:off x="620806" y="2118925"/>
          <a:ext cx="1313095" cy="819788"/>
          <a:chOff x="620806" y="2118925"/>
          <a:chExt cx="1313095" cy="819788"/>
        </a:xfrm>
      </xdr:grpSpPr>
      <xdr:pic>
        <xdr:nvPicPr>
          <xdr:cNvPr id="7" name="Picture 42" descr="C:\Users\Natália\AppData\Local\Microsoft\Windows\Temporary Internet Files\Content.IE5\LT00TPWD\MM900336967[1].gif">
            <a:hlinkClick xmlns:r="http://schemas.openxmlformats.org/officeDocument/2006/relationships" r:id="rId4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1107483" y="2573170"/>
            <a:ext cx="354056" cy="3655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CaixaDeTexto 7"/>
          <xdr:cNvSpPr txBox="1"/>
        </xdr:nvSpPr>
        <xdr:spPr bwMode="auto">
          <a:xfrm>
            <a:off x="620806" y="2118925"/>
            <a:ext cx="1313095" cy="4600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Pegra cutânea triciptal</a:t>
            </a:r>
          </a:p>
        </xdr:txBody>
      </xdr:sp>
    </xdr:grpSp>
    <xdr:clientData/>
  </xdr:twoCellAnchor>
  <xdr:twoCellAnchor>
    <xdr:from>
      <xdr:col>1</xdr:col>
      <xdr:colOff>30244</xdr:colOff>
      <xdr:row>17</xdr:row>
      <xdr:rowOff>116851</xdr:rowOff>
    </xdr:from>
    <xdr:to>
      <xdr:col>3</xdr:col>
      <xdr:colOff>114620</xdr:colOff>
      <xdr:row>22</xdr:row>
      <xdr:rowOff>133795</xdr:rowOff>
    </xdr:to>
    <xdr:grpSp>
      <xdr:nvGrpSpPr>
        <xdr:cNvPr id="2" name="Grupo 1"/>
        <xdr:cNvGrpSpPr/>
      </xdr:nvGrpSpPr>
      <xdr:grpSpPr>
        <a:xfrm>
          <a:off x="639844" y="2869576"/>
          <a:ext cx="1303576" cy="826569"/>
          <a:chOff x="639844" y="2869576"/>
          <a:chExt cx="1303576" cy="826569"/>
        </a:xfrm>
      </xdr:grpSpPr>
      <xdr:pic>
        <xdr:nvPicPr>
          <xdr:cNvPr id="9" name="Picture 42" descr="C:\Users\Natália\AppData\Local\Microsoft\Windows\Temporary Internet Files\Content.IE5\LT00TPWD\MM900336967[1].gif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1122546" y="3325755"/>
            <a:ext cx="355116" cy="3703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CaixaDeTexto 9"/>
          <xdr:cNvSpPr txBox="1"/>
        </xdr:nvSpPr>
        <xdr:spPr bwMode="auto">
          <a:xfrm>
            <a:off x="639844" y="2869576"/>
            <a:ext cx="1303576" cy="4959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Circunferênci</a:t>
            </a:r>
            <a:r>
              <a:rPr lang="pt-BR" sz="1000" b="0" baseline="0">
                <a:solidFill>
                  <a:srgbClr val="640000"/>
                </a:solidFill>
                <a:latin typeface="Comic Sans MS" pitchFamily="66" charset="0"/>
              </a:rPr>
              <a:t>a da panturrilha</a:t>
            </a:r>
            <a:endParaRPr lang="pt-BR" sz="1000" b="0">
              <a:solidFill>
                <a:srgbClr val="640000"/>
              </a:solidFill>
              <a:latin typeface="Comic Sans MS" pitchFamily="66" charset="0"/>
            </a:endParaRPr>
          </a:p>
        </xdr:txBody>
      </xdr:sp>
    </xdr:grpSp>
    <xdr:clientData/>
  </xdr:twoCellAnchor>
  <xdr:twoCellAnchor>
    <xdr:from>
      <xdr:col>1</xdr:col>
      <xdr:colOff>457230</xdr:colOff>
      <xdr:row>28</xdr:row>
      <xdr:rowOff>86460</xdr:rowOff>
    </xdr:from>
    <xdr:to>
      <xdr:col>2</xdr:col>
      <xdr:colOff>198308</xdr:colOff>
      <xdr:row>30</xdr:row>
      <xdr:rowOff>123925</xdr:rowOff>
    </xdr:to>
    <xdr:pic>
      <xdr:nvPicPr>
        <xdr:cNvPr id="12" name="Picture 42" descr="C:\Users\Natália\AppData\Local\Microsoft\Windows\Temporary Internet Files\Content.IE5\LT00TPWD\MM900336967[1].gif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62348" y="4479166"/>
          <a:ext cx="346195" cy="351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71855</xdr:colOff>
      <xdr:row>27</xdr:row>
      <xdr:rowOff>23965</xdr:rowOff>
    </xdr:from>
    <xdr:to>
      <xdr:col>3</xdr:col>
      <xdr:colOff>26952</xdr:colOff>
      <xdr:row>28</xdr:row>
      <xdr:rowOff>67123</xdr:rowOff>
    </xdr:to>
    <xdr:sp macro="" textlink="">
      <xdr:nvSpPr>
        <xdr:cNvPr id="13" name="CaixaDeTexto 12"/>
        <xdr:cNvSpPr txBox="1"/>
      </xdr:nvSpPr>
      <xdr:spPr>
        <a:xfrm>
          <a:off x="676973" y="4259789"/>
          <a:ext cx="1165332" cy="2000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>
              <a:solidFill>
                <a:schemeClr val="accent1">
                  <a:lumMod val="75000"/>
                </a:schemeClr>
              </a:solidFill>
              <a:latin typeface="Comic Sans MS" pitchFamily="66" charset="0"/>
            </a:rPr>
            <a:t>Outras</a:t>
          </a:r>
        </a:p>
      </xdr:txBody>
    </xdr:sp>
    <xdr:clientData/>
  </xdr:twoCellAnchor>
  <xdr:twoCellAnchor>
    <xdr:from>
      <xdr:col>1</xdr:col>
      <xdr:colOff>475437</xdr:colOff>
      <xdr:row>24</xdr:row>
      <xdr:rowOff>106248</xdr:rowOff>
    </xdr:from>
    <xdr:to>
      <xdr:col>2</xdr:col>
      <xdr:colOff>219405</xdr:colOff>
      <xdr:row>26</xdr:row>
      <xdr:rowOff>140214</xdr:rowOff>
    </xdr:to>
    <xdr:pic>
      <xdr:nvPicPr>
        <xdr:cNvPr id="14" name="Picture 42" descr="C:\Users\Natália\AppData\Local\Microsoft\Windows\Temporary Internet Files\Content.IE5\LT00TPWD\MM900336967[1].gif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80555" y="3871424"/>
          <a:ext cx="349085" cy="347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52415</xdr:colOff>
      <xdr:row>23</xdr:row>
      <xdr:rowOff>30189</xdr:rowOff>
    </xdr:from>
    <xdr:to>
      <xdr:col>3</xdr:col>
      <xdr:colOff>107724</xdr:colOff>
      <xdr:row>24</xdr:row>
      <xdr:rowOff>111091</xdr:rowOff>
    </xdr:to>
    <xdr:sp macro="" textlink="">
      <xdr:nvSpPr>
        <xdr:cNvPr id="15" name="CaixaDeTexto 14"/>
        <xdr:cNvSpPr txBox="1"/>
      </xdr:nvSpPr>
      <xdr:spPr>
        <a:xfrm>
          <a:off x="657533" y="3638483"/>
          <a:ext cx="1265544" cy="23778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50">
              <a:solidFill>
                <a:schemeClr val="accent5">
                  <a:lumMod val="75000"/>
                </a:schemeClr>
              </a:solidFill>
              <a:latin typeface="Comic Sans MS" pitchFamily="66" charset="0"/>
            </a:rPr>
            <a:t>Altura do joelho</a:t>
          </a:r>
        </a:p>
      </xdr:txBody>
    </xdr:sp>
    <xdr:clientData/>
  </xdr:twoCellAnchor>
  <xdr:twoCellAnchor editAs="oneCell">
    <xdr:from>
      <xdr:col>0</xdr:col>
      <xdr:colOff>114300</xdr:colOff>
      <xdr:row>0</xdr:row>
      <xdr:rowOff>95250</xdr:rowOff>
    </xdr:from>
    <xdr:to>
      <xdr:col>0</xdr:col>
      <xdr:colOff>561975</xdr:colOff>
      <xdr:row>3</xdr:row>
      <xdr:rowOff>57150</xdr:rowOff>
    </xdr:to>
    <xdr:pic>
      <xdr:nvPicPr>
        <xdr:cNvPr id="16" name="Picture 57" descr="C:\Users\Natália\AppData\Local\Microsoft\Windows\Temporary Internet Files\Content.IE5\3WYPPG2D\MC900442122[1].png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14300" y="9525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100853</xdr:colOff>
      <xdr:row>4</xdr:row>
      <xdr:rowOff>33617</xdr:rowOff>
    </xdr:from>
    <xdr:to>
      <xdr:col>12</xdr:col>
      <xdr:colOff>67234</xdr:colOff>
      <xdr:row>25</xdr:row>
      <xdr:rowOff>56028</xdr:rowOff>
    </xdr:to>
    <xdr:sp macro="" textlink="">
      <xdr:nvSpPr>
        <xdr:cNvPr id="18" name="Retângulo de cantos arredondados 17"/>
        <xdr:cNvSpPr/>
      </xdr:nvSpPr>
      <xdr:spPr>
        <a:xfrm>
          <a:off x="3126441" y="661146"/>
          <a:ext cx="4202205" cy="331694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 w="28575"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2</xdr:col>
      <xdr:colOff>403412</xdr:colOff>
      <xdr:row>19</xdr:row>
      <xdr:rowOff>112058</xdr:rowOff>
    </xdr:from>
    <xdr:to>
      <xdr:col>4</xdr:col>
      <xdr:colOff>582706</xdr:colOff>
      <xdr:row>25</xdr:row>
      <xdr:rowOff>89648</xdr:rowOff>
    </xdr:to>
    <xdr:cxnSp macro="">
      <xdr:nvCxnSpPr>
        <xdr:cNvPr id="33" name="Conector angulado 32"/>
        <xdr:cNvCxnSpPr/>
      </xdr:nvCxnSpPr>
      <xdr:spPr>
        <a:xfrm flipV="1">
          <a:off x="1613647" y="3092823"/>
          <a:ext cx="1389530" cy="918884"/>
        </a:xfrm>
        <a:prstGeom prst="bentConnector3">
          <a:avLst>
            <a:gd name="adj1" fmla="val 50000"/>
          </a:avLst>
        </a:prstGeom>
        <a:ln w="28575">
          <a:solidFill>
            <a:schemeClr val="accent5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291355</xdr:colOff>
      <xdr:row>2</xdr:row>
      <xdr:rowOff>156881</xdr:rowOff>
    </xdr:from>
    <xdr:to>
      <xdr:col>15</xdr:col>
      <xdr:colOff>550771</xdr:colOff>
      <xdr:row>7</xdr:row>
      <xdr:rowOff>19049</xdr:rowOff>
    </xdr:to>
    <xdr:grpSp>
      <xdr:nvGrpSpPr>
        <xdr:cNvPr id="41" name="Grupo 40"/>
        <xdr:cNvGrpSpPr/>
      </xdr:nvGrpSpPr>
      <xdr:grpSpPr>
        <a:xfrm>
          <a:off x="6996955" y="480731"/>
          <a:ext cx="2697816" cy="671793"/>
          <a:chOff x="3944470" y="280147"/>
          <a:chExt cx="2679887" cy="646579"/>
        </a:xfrm>
      </xdr:grpSpPr>
      <xdr:sp macro="" textlink="">
        <xdr:nvSpPr>
          <xdr:cNvPr id="40" name="AutoShape 4"/>
          <xdr:cNvSpPr>
            <a:spLocks noChangeArrowheads="1"/>
          </xdr:cNvSpPr>
        </xdr:nvSpPr>
        <xdr:spPr bwMode="auto">
          <a:xfrm>
            <a:off x="4157382" y="336176"/>
            <a:ext cx="2466975" cy="590550"/>
          </a:xfrm>
          <a:prstGeom prst="roundRect">
            <a:avLst>
              <a:gd name="adj" fmla="val 16667"/>
            </a:avLst>
          </a:prstGeom>
          <a:solidFill>
            <a:schemeClr val="tx2">
              <a:lumMod val="40000"/>
              <a:lumOff val="60000"/>
            </a:schemeClr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36576" tIns="45720" rIns="36576" bIns="45720" anchor="ctr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Técnicas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Antropométricas 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39" name="Picture 1" descr="C:\Users\Lanpop\AppData\Local\Microsoft\Windows\Temporary Internet Files\Content.IE5\FJAY0NAO\MC900352217[1].wmf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3944470" y="280147"/>
            <a:ext cx="466725" cy="4848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5</xdr:col>
      <xdr:colOff>392207</xdr:colOff>
      <xdr:row>5</xdr:row>
      <xdr:rowOff>22411</xdr:rowOff>
    </xdr:from>
    <xdr:to>
      <xdr:col>11</xdr:col>
      <xdr:colOff>403412</xdr:colOff>
      <xdr:row>23</xdr:row>
      <xdr:rowOff>112058</xdr:rowOff>
    </xdr:to>
    <xdr:sp macro="" textlink="">
      <xdr:nvSpPr>
        <xdr:cNvPr id="21" name="CaixaDeTexto 20"/>
        <xdr:cNvSpPr txBox="1"/>
      </xdr:nvSpPr>
      <xdr:spPr>
        <a:xfrm>
          <a:off x="3417795" y="806823"/>
          <a:ext cx="3641911" cy="2913529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800" b="1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ALTURA DO JOELHO </a:t>
          </a:r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é o comprimento entre a linha da articulação do joelho e a ponta do maléolo medial </a:t>
          </a:r>
        </a:p>
        <a:p>
          <a:pPr algn="ctr"/>
          <a:endParaRPr lang="pt-BR" sz="800" b="1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pPr algn="ctr"/>
          <a:r>
            <a:rPr lang="pt-BR" sz="800" b="1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Equipamento</a:t>
          </a:r>
          <a:endParaRPr lang="pt-BR" sz="800">
            <a:latin typeface="Comic Sans MS" pitchFamily="66" charset="0"/>
          </a:endParaRP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Paquímetro de segmento</a:t>
          </a:r>
          <a:endParaRPr lang="pt-BR" sz="800">
            <a:latin typeface="Comic Sans MS" pitchFamily="66" charset="0"/>
          </a:endParaRPr>
        </a:p>
        <a:p>
          <a:pPr algn="ctr"/>
          <a:endParaRPr lang="pt-BR" sz="80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pPr algn="ctr"/>
          <a:r>
            <a:rPr lang="pt-BR" sz="800" b="1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Técnica</a:t>
          </a:r>
          <a:endParaRPr lang="pt-BR" sz="800">
            <a:latin typeface="Comic Sans MS" pitchFamily="66" charset="0"/>
          </a:endParaRP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O indivíduo deve estar sentado com a perna que vai ser medida</a:t>
          </a: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cruzada sobre o joelho oposto;</a:t>
          </a: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Localizar e marcar a extremidade proximal da borda medial da</a:t>
          </a: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tíbia e a ponta distal do maléolo medial;</a:t>
          </a: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O antropometrista deve estar sentado ou de joelhos (cócoras) na</a:t>
          </a: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frente do indivíduo;</a:t>
          </a: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Colocar as lâminas do antropômetro sobre as marcas;</a:t>
          </a: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O eixo do equipamento deve estar paralelo ao eixo longo da tíbia;</a:t>
          </a: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Realizar a leitura;</a:t>
          </a: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Registrar o valor;</a:t>
          </a: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Repetir o procedimento;</a:t>
          </a: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Calcular a média das duas medidas.</a:t>
          </a:r>
        </a:p>
        <a:p>
          <a:endParaRPr lang="pt-BR" sz="1100"/>
        </a:p>
      </xdr:txBody>
    </xdr:sp>
    <xdr:clientData/>
  </xdr:twoCellAnchor>
  <xdr:twoCellAnchor>
    <xdr:from>
      <xdr:col>12</xdr:col>
      <xdr:colOff>485775</xdr:colOff>
      <xdr:row>14</xdr:row>
      <xdr:rowOff>0</xdr:rowOff>
    </xdr:from>
    <xdr:to>
      <xdr:col>16</xdr:col>
      <xdr:colOff>476250</xdr:colOff>
      <xdr:row>18</xdr:row>
      <xdr:rowOff>38100</xdr:rowOff>
    </xdr:to>
    <xdr:sp macro="" textlink="">
      <xdr:nvSpPr>
        <xdr:cNvPr id="22" name="CaixaDeTexto 21"/>
        <xdr:cNvSpPr txBox="1"/>
      </xdr:nvSpPr>
      <xdr:spPr>
        <a:xfrm>
          <a:off x="7800975" y="2266950"/>
          <a:ext cx="2428875" cy="685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spcAft>
              <a:spcPts val="0"/>
            </a:spcAft>
          </a:pPr>
          <a:r>
            <a:rPr lang="pt-BR" sz="800">
              <a:latin typeface="Comic Sans MS" pitchFamily="66" charset="0"/>
              <a:ea typeface="Times New Roman"/>
            </a:rPr>
            <a:t>Referências:</a:t>
          </a:r>
        </a:p>
        <a:p>
          <a:pPr algn="ctr">
            <a:spcAft>
              <a:spcPts val="0"/>
            </a:spcAft>
          </a:pPr>
          <a:r>
            <a:rPr lang="pt-BR" sz="800">
              <a:latin typeface="Comic Sans MS" pitchFamily="66" charset="0"/>
              <a:ea typeface="Times New Roman"/>
            </a:rPr>
            <a:t> </a:t>
          </a:r>
        </a:p>
        <a:p>
          <a:pPr algn="ctr">
            <a:spcAft>
              <a:spcPts val="0"/>
            </a:spcAft>
          </a:pPr>
          <a:r>
            <a:rPr lang="pt-BR" sz="800">
              <a:latin typeface="Comic Sans MS" pitchFamily="66" charset="0"/>
              <a:ea typeface="Times New Roman"/>
            </a:rPr>
            <a:t>Lanpop. Manual de técnicas antropométricas.</a:t>
          </a:r>
        </a:p>
        <a:p>
          <a:endParaRPr lang="pt-BR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558192</xdr:colOff>
      <xdr:row>6</xdr:row>
      <xdr:rowOff>61378</xdr:rowOff>
    </xdr:from>
    <xdr:to>
      <xdr:col>2</xdr:col>
      <xdr:colOff>304524</xdr:colOff>
      <xdr:row>8</xdr:row>
      <xdr:rowOff>57400</xdr:rowOff>
    </xdr:to>
    <xdr:pic>
      <xdr:nvPicPr>
        <xdr:cNvPr id="3" name="Picture 42" descr="C:\Users\Natália\AppData\Local\Microsoft\Windows\Temporary Internet Files\Content.IE5\LT00TPWD\MM900336967[1].gif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167792" y="1032928"/>
          <a:ext cx="355932" cy="319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4</xdr:row>
      <xdr:rowOff>152400</xdr:rowOff>
    </xdr:from>
    <xdr:to>
      <xdr:col>3</xdr:col>
      <xdr:colOff>171312</xdr:colOff>
      <xdr:row>7</xdr:row>
      <xdr:rowOff>8460</xdr:rowOff>
    </xdr:to>
    <xdr:sp macro="" textlink="">
      <xdr:nvSpPr>
        <xdr:cNvPr id="4" name="CaixaDeTexto 3"/>
        <xdr:cNvSpPr txBox="1"/>
      </xdr:nvSpPr>
      <xdr:spPr bwMode="auto">
        <a:xfrm>
          <a:off x="676275" y="800100"/>
          <a:ext cx="1323837" cy="341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 b="0">
              <a:solidFill>
                <a:schemeClr val="accent6">
                  <a:lumMod val="50000"/>
                </a:schemeClr>
              </a:solidFill>
              <a:latin typeface="Comic Sans MS" pitchFamily="66" charset="0"/>
            </a:rPr>
            <a:t>Estatura</a:t>
          </a:r>
        </a:p>
      </xdr:txBody>
    </xdr:sp>
    <xdr:clientData/>
  </xdr:twoCellAnchor>
  <xdr:twoCellAnchor>
    <xdr:from>
      <xdr:col>1</xdr:col>
      <xdr:colOff>559462</xdr:colOff>
      <xdr:row>11</xdr:row>
      <xdr:rowOff>115857</xdr:rowOff>
    </xdr:from>
    <xdr:to>
      <xdr:col>2</xdr:col>
      <xdr:colOff>305793</xdr:colOff>
      <xdr:row>13</xdr:row>
      <xdr:rowOff>140627</xdr:rowOff>
    </xdr:to>
    <xdr:pic>
      <xdr:nvPicPr>
        <xdr:cNvPr id="5" name="Picture 42" descr="C:\Users\Natália\AppData\Local\Microsoft\Windows\Temporary Internet Files\Content.IE5\LT00TPWD\MM900336967[1].gif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169062" y="1897032"/>
          <a:ext cx="355931" cy="34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86001</xdr:colOff>
      <xdr:row>8</xdr:row>
      <xdr:rowOff>159884</xdr:rowOff>
    </xdr:from>
    <xdr:to>
      <xdr:col>3</xdr:col>
      <xdr:colOff>180975</xdr:colOff>
      <xdr:row>11</xdr:row>
      <xdr:rowOff>158375</xdr:rowOff>
    </xdr:to>
    <xdr:sp macro="" textlink="">
      <xdr:nvSpPr>
        <xdr:cNvPr id="6" name="CaixaDeTexto 5"/>
        <xdr:cNvSpPr txBox="1"/>
      </xdr:nvSpPr>
      <xdr:spPr bwMode="auto">
        <a:xfrm>
          <a:off x="695601" y="1455284"/>
          <a:ext cx="1314174" cy="484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 b="0">
              <a:solidFill>
                <a:srgbClr val="512373"/>
              </a:solidFill>
              <a:latin typeface="Comic Sans MS" pitchFamily="66" charset="0"/>
            </a:rPr>
            <a:t>Circunferência de cintura</a:t>
          </a:r>
        </a:p>
      </xdr:txBody>
    </xdr:sp>
    <xdr:clientData/>
  </xdr:twoCellAnchor>
  <xdr:twoCellAnchor>
    <xdr:from>
      <xdr:col>1</xdr:col>
      <xdr:colOff>560706</xdr:colOff>
      <xdr:row>17</xdr:row>
      <xdr:rowOff>16695</xdr:rowOff>
    </xdr:from>
    <xdr:to>
      <xdr:col>2</xdr:col>
      <xdr:colOff>305962</xdr:colOff>
      <xdr:row>19</xdr:row>
      <xdr:rowOff>40418</xdr:rowOff>
    </xdr:to>
    <xdr:pic>
      <xdr:nvPicPr>
        <xdr:cNvPr id="7" name="Picture 42" descr="C:\Users\Natália\AppData\Local\Microsoft\Windows\Temporary Internet Files\Content.IE5\LT00TPWD\MM900336967[1].gif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3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170306" y="2769420"/>
          <a:ext cx="354856" cy="347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14</xdr:row>
      <xdr:rowOff>61912</xdr:rowOff>
    </xdr:from>
    <xdr:to>
      <xdr:col>3</xdr:col>
      <xdr:colOff>171312</xdr:colOff>
      <xdr:row>17</xdr:row>
      <xdr:rowOff>22422</xdr:rowOff>
    </xdr:to>
    <xdr:sp macro="" textlink="">
      <xdr:nvSpPr>
        <xdr:cNvPr id="8" name="CaixaDeTexto 7"/>
        <xdr:cNvSpPr txBox="1"/>
      </xdr:nvSpPr>
      <xdr:spPr bwMode="auto">
        <a:xfrm>
          <a:off x="676275" y="2328862"/>
          <a:ext cx="1323837" cy="4462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 b="0">
              <a:solidFill>
                <a:schemeClr val="accent3">
                  <a:lumMod val="50000"/>
                </a:schemeClr>
              </a:solidFill>
              <a:latin typeface="Comic Sans MS" pitchFamily="66" charset="0"/>
            </a:rPr>
            <a:t>Prega cutânea triciptal</a:t>
          </a:r>
        </a:p>
      </xdr:txBody>
    </xdr:sp>
    <xdr:clientData/>
  </xdr:twoCellAnchor>
  <xdr:twoCellAnchor>
    <xdr:from>
      <xdr:col>1</xdr:col>
      <xdr:colOff>566195</xdr:colOff>
      <xdr:row>21</xdr:row>
      <xdr:rowOff>137917</xdr:rowOff>
    </xdr:from>
    <xdr:to>
      <xdr:col>2</xdr:col>
      <xdr:colOff>312526</xdr:colOff>
      <xdr:row>24</xdr:row>
      <xdr:rowOff>9525</xdr:rowOff>
    </xdr:to>
    <xdr:pic>
      <xdr:nvPicPr>
        <xdr:cNvPr id="9" name="Picture 42" descr="C:\Users\Natália\AppData\Local\Microsoft\Windows\Temporary Internet Files\Content.IE5\LT00TPWD\MM900336967[1].gif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175795" y="3538342"/>
          <a:ext cx="355931" cy="357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19</xdr:row>
      <xdr:rowOff>40023</xdr:rowOff>
    </xdr:from>
    <xdr:to>
      <xdr:col>3</xdr:col>
      <xdr:colOff>180699</xdr:colOff>
      <xdr:row>22</xdr:row>
      <xdr:rowOff>66676</xdr:rowOff>
    </xdr:to>
    <xdr:sp macro="" textlink="">
      <xdr:nvSpPr>
        <xdr:cNvPr id="10" name="CaixaDeTexto 9"/>
        <xdr:cNvSpPr txBox="1"/>
      </xdr:nvSpPr>
      <xdr:spPr bwMode="auto">
        <a:xfrm>
          <a:off x="695325" y="3116598"/>
          <a:ext cx="1314174" cy="5124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 b="0">
              <a:solidFill>
                <a:srgbClr val="640000"/>
              </a:solidFill>
              <a:latin typeface="Comic Sans MS" pitchFamily="66" charset="0"/>
            </a:rPr>
            <a:t>Circunferência</a:t>
          </a:r>
          <a:r>
            <a:rPr lang="pt-BR" sz="1000" b="0" baseline="0">
              <a:solidFill>
                <a:srgbClr val="640000"/>
              </a:solidFill>
              <a:latin typeface="Comic Sans MS" pitchFamily="66" charset="0"/>
            </a:rPr>
            <a:t> da panturrilha</a:t>
          </a:r>
          <a:endParaRPr lang="pt-BR" sz="1000" b="0">
            <a:solidFill>
              <a:srgbClr val="640000"/>
            </a:solidFill>
            <a:latin typeface="Comic Sans MS" pitchFamily="66" charset="0"/>
          </a:endParaRPr>
        </a:p>
      </xdr:txBody>
    </xdr:sp>
    <xdr:clientData/>
  </xdr:twoCellAnchor>
  <xdr:twoCellAnchor>
    <xdr:from>
      <xdr:col>2</xdr:col>
      <xdr:colOff>276225</xdr:colOff>
      <xdr:row>22</xdr:row>
      <xdr:rowOff>76200</xdr:rowOff>
    </xdr:from>
    <xdr:to>
      <xdr:col>4</xdr:col>
      <xdr:colOff>125767</xdr:colOff>
      <xdr:row>31</xdr:row>
      <xdr:rowOff>3684</xdr:rowOff>
    </xdr:to>
    <xdr:cxnSp macro="">
      <xdr:nvCxnSpPr>
        <xdr:cNvPr id="18" name="Conector angulado 17"/>
        <xdr:cNvCxnSpPr/>
      </xdr:nvCxnSpPr>
      <xdr:spPr bwMode="auto">
        <a:xfrm flipV="1">
          <a:off x="1495425" y="3638550"/>
          <a:ext cx="1068742" cy="1384809"/>
        </a:xfrm>
        <a:prstGeom prst="bentConnector3">
          <a:avLst>
            <a:gd name="adj1" fmla="val 51782"/>
          </a:avLst>
        </a:prstGeom>
        <a:ln w="28575">
          <a:solidFill>
            <a:schemeClr val="accent6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114299</xdr:colOff>
      <xdr:row>17</xdr:row>
      <xdr:rowOff>28575</xdr:rowOff>
    </xdr:from>
    <xdr:to>
      <xdr:col>10</xdr:col>
      <xdr:colOff>295274</xdr:colOff>
      <xdr:row>25</xdr:row>
      <xdr:rowOff>133350</xdr:rowOff>
    </xdr:to>
    <xdr:sp macro="" textlink="">
      <xdr:nvSpPr>
        <xdr:cNvPr id="22" name="Retângulo de cantos arredondados 21"/>
        <xdr:cNvSpPr/>
      </xdr:nvSpPr>
      <xdr:spPr bwMode="auto">
        <a:xfrm>
          <a:off x="2552699" y="2781300"/>
          <a:ext cx="3838575" cy="1400175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  <a:ln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t" upright="1"/>
        <a:lstStyle/>
        <a:p>
          <a:pPr algn="ctr"/>
          <a:r>
            <a:rPr lang="pt-BR" sz="1000">
              <a:latin typeface="Comic Sans MS" pitchFamily="66" charset="0"/>
            </a:rPr>
            <a:t>Para visualizar</a:t>
          </a:r>
          <a:r>
            <a:rPr lang="pt-BR" sz="1000" baseline="0">
              <a:latin typeface="Comic Sans MS" pitchFamily="66" charset="0"/>
            </a:rPr>
            <a:t> outras técnicas antropométricas, consulte o </a:t>
          </a:r>
        </a:p>
        <a:p>
          <a:pPr algn="ctr"/>
          <a:r>
            <a:rPr lang="pt-BR" sz="1000" baseline="0">
              <a:latin typeface="Comic Sans MS" pitchFamily="66" charset="0"/>
            </a:rPr>
            <a:t>"</a:t>
          </a:r>
          <a:r>
            <a:rPr lang="pt-BR" sz="1000" b="1" baseline="0">
              <a:latin typeface="Comic Sans MS" pitchFamily="66" charset="0"/>
            </a:rPr>
            <a:t>Guia para realização de medidas antropométricas</a:t>
          </a:r>
          <a:r>
            <a:rPr lang="pt-BR" sz="1000" baseline="0">
              <a:latin typeface="Comic Sans MS" pitchFamily="66" charset="0"/>
            </a:rPr>
            <a:t>" </a:t>
          </a:r>
        </a:p>
        <a:p>
          <a:pPr algn="ctr"/>
          <a:r>
            <a:rPr lang="pt-BR" sz="1000" baseline="0">
              <a:latin typeface="Comic Sans MS" pitchFamily="66" charset="0"/>
            </a:rPr>
            <a:t>no </a:t>
          </a:r>
          <a:r>
            <a:rPr lang="pt-BR" sz="1000" i="1" baseline="0">
              <a:latin typeface="Comic Sans MS" pitchFamily="66" charset="0"/>
            </a:rPr>
            <a:t>website</a:t>
          </a:r>
          <a:r>
            <a:rPr lang="pt-BR" sz="1000" baseline="0">
              <a:latin typeface="Comic Sans MS" pitchFamily="66" charset="0"/>
            </a:rPr>
            <a:t> do Lanpop.</a:t>
          </a:r>
          <a:endParaRPr lang="pt-BR" sz="1000">
            <a:latin typeface="Comic Sans MS" pitchFamily="66" charset="0"/>
          </a:endParaRPr>
        </a:p>
      </xdr:txBody>
    </xdr:sp>
    <xdr:clientData/>
  </xdr:twoCellAnchor>
  <xdr:twoCellAnchor>
    <xdr:from>
      <xdr:col>6</xdr:col>
      <xdr:colOff>409575</xdr:colOff>
      <xdr:row>21</xdr:row>
      <xdr:rowOff>66675</xdr:rowOff>
    </xdr:from>
    <xdr:to>
      <xdr:col>8</xdr:col>
      <xdr:colOff>133350</xdr:colOff>
      <xdr:row>24</xdr:row>
      <xdr:rowOff>133349</xdr:rowOff>
    </xdr:to>
    <xdr:sp macro="" textlink="">
      <xdr:nvSpPr>
        <xdr:cNvPr id="25" name="Retângulo de cantos arredondados 24"/>
        <xdr:cNvSpPr/>
      </xdr:nvSpPr>
      <xdr:spPr>
        <a:xfrm>
          <a:off x="4067175" y="3467100"/>
          <a:ext cx="942975" cy="552449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495300</xdr:colOff>
      <xdr:row>21</xdr:row>
      <xdr:rowOff>95251</xdr:rowOff>
    </xdr:from>
    <xdr:to>
      <xdr:col>8</xdr:col>
      <xdr:colOff>28575</xdr:colOff>
      <xdr:row>24</xdr:row>
      <xdr:rowOff>114300</xdr:rowOff>
    </xdr:to>
    <xdr:sp macro="" textlink="">
      <xdr:nvSpPr>
        <xdr:cNvPr id="26" name="CaixaDeTexto 25">
          <a:hlinkClick xmlns:r="http://schemas.openxmlformats.org/officeDocument/2006/relationships" r:id="rId6"/>
        </xdr:cNvPr>
        <xdr:cNvSpPr txBox="1"/>
      </xdr:nvSpPr>
      <xdr:spPr>
        <a:xfrm>
          <a:off x="4152900" y="3495676"/>
          <a:ext cx="752475" cy="504824"/>
        </a:xfrm>
        <a:prstGeom prst="rect">
          <a:avLst/>
        </a:prstGeom>
        <a:solidFill>
          <a:schemeClr val="accent4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000" b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Site</a:t>
          </a:r>
          <a:r>
            <a:rPr lang="pt-BR" sz="1000" b="1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</a:t>
          </a:r>
          <a:endParaRPr lang="pt-BR" sz="1000">
            <a:latin typeface="Comic Sans MS" pitchFamily="66" charset="0"/>
          </a:endParaRPr>
        </a:p>
        <a:p>
          <a:pPr algn="ctr"/>
          <a:r>
            <a:rPr lang="pt-BR" sz="1000" b="1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LANPOP</a:t>
          </a:r>
          <a:endParaRPr lang="pt-BR" sz="1000">
            <a:latin typeface="Comic Sans MS" pitchFamily="66" charset="0"/>
          </a:endParaRPr>
        </a:p>
        <a:p>
          <a:endParaRPr lang="pt-BR" sz="1100"/>
        </a:p>
      </xdr:txBody>
    </xdr:sp>
    <xdr:clientData/>
  </xdr:twoCellAnchor>
  <xdr:twoCellAnchor>
    <xdr:from>
      <xdr:col>6</xdr:col>
      <xdr:colOff>561975</xdr:colOff>
      <xdr:row>2</xdr:row>
      <xdr:rowOff>133350</xdr:rowOff>
    </xdr:from>
    <xdr:to>
      <xdr:col>11</xdr:col>
      <xdr:colOff>47625</xdr:colOff>
      <xdr:row>6</xdr:row>
      <xdr:rowOff>133350</xdr:rowOff>
    </xdr:to>
    <xdr:grpSp>
      <xdr:nvGrpSpPr>
        <xdr:cNvPr id="27" name="Grupo 27"/>
        <xdr:cNvGrpSpPr>
          <a:grpSpLocks/>
        </xdr:cNvGrpSpPr>
      </xdr:nvGrpSpPr>
      <xdr:grpSpPr bwMode="auto">
        <a:xfrm>
          <a:off x="4219575" y="457200"/>
          <a:ext cx="2533650" cy="647700"/>
          <a:chOff x="0" y="0"/>
          <a:chExt cx="2533650" cy="647700"/>
        </a:xfrm>
      </xdr:grpSpPr>
      <xdr:sp macro="" textlink="">
        <xdr:nvSpPr>
          <xdr:cNvPr id="28" name="AutoShape 4"/>
          <xdr:cNvSpPr>
            <a:spLocks noChangeArrowheads="1"/>
          </xdr:cNvSpPr>
        </xdr:nvSpPr>
        <xdr:spPr bwMode="auto">
          <a:xfrm>
            <a:off x="66675" y="57150"/>
            <a:ext cx="2466975" cy="590550"/>
          </a:xfrm>
          <a:prstGeom prst="roundRect">
            <a:avLst>
              <a:gd name="adj" fmla="val 16667"/>
            </a:avLst>
          </a:prstGeom>
          <a:solidFill>
            <a:schemeClr val="tx2">
              <a:lumMod val="40000"/>
              <a:lumOff val="60000"/>
            </a:schemeClr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36576" tIns="45720" rIns="36576" bIns="45720" anchor="ctr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Técnicas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Antropométricas 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29" name="Picture 1" descr="C:\Users\Lanpop\AppData\Local\Microsoft\Windows\Temporary Internet Files\Content.IE5\FJAY0NAO\MC900352217[1].wmf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0" y="0"/>
            <a:ext cx="466725" cy="4848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85725</xdr:colOff>
      <xdr:row>0</xdr:row>
      <xdr:rowOff>85725</xdr:rowOff>
    </xdr:from>
    <xdr:to>
      <xdr:col>0</xdr:col>
      <xdr:colOff>514350</xdr:colOff>
      <xdr:row>3</xdr:row>
      <xdr:rowOff>28575</xdr:rowOff>
    </xdr:to>
    <xdr:pic>
      <xdr:nvPicPr>
        <xdr:cNvPr id="30" name="Picture 57" descr="C:\Users\Natália\AppData\Local\Microsoft\Windows\Temporary Internet Files\Content.IE5\3WYPPG2D\MC900442122[1].png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85725" y="85725"/>
          <a:ext cx="4286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552451</xdr:colOff>
      <xdr:row>30</xdr:row>
      <xdr:rowOff>9526</xdr:rowOff>
    </xdr:from>
    <xdr:to>
      <xdr:col>2</xdr:col>
      <xdr:colOff>293697</xdr:colOff>
      <xdr:row>32</xdr:row>
      <xdr:rowOff>44172</xdr:rowOff>
    </xdr:to>
    <xdr:pic>
      <xdr:nvPicPr>
        <xdr:cNvPr id="39" name="Picture 42" descr="C:\Users\Natália\AppData\Local\Microsoft\Windows\Temporary Internet Files\Content.IE5\LT00TPWD\MM900336967[1]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162051" y="4867276"/>
          <a:ext cx="350846" cy="358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457201</xdr:colOff>
      <xdr:row>28</xdr:row>
      <xdr:rowOff>76201</xdr:rowOff>
    </xdr:from>
    <xdr:to>
      <xdr:col>2</xdr:col>
      <xdr:colOff>447676</xdr:colOff>
      <xdr:row>29</xdr:row>
      <xdr:rowOff>133351</xdr:rowOff>
    </xdr:to>
    <xdr:sp macro="" textlink="">
      <xdr:nvSpPr>
        <xdr:cNvPr id="40" name="CaixaDeTexto 39"/>
        <xdr:cNvSpPr txBox="1"/>
      </xdr:nvSpPr>
      <xdr:spPr>
        <a:xfrm>
          <a:off x="1066801" y="4610101"/>
          <a:ext cx="600075" cy="2190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000">
              <a:solidFill>
                <a:srgbClr val="0070C0"/>
              </a:solidFill>
              <a:latin typeface="Comic Sans MS" pitchFamily="66" charset="0"/>
            </a:rPr>
            <a:t>Outra</a:t>
          </a:r>
        </a:p>
      </xdr:txBody>
    </xdr:sp>
    <xdr:clientData/>
  </xdr:twoCellAnchor>
  <xdr:twoCellAnchor>
    <xdr:from>
      <xdr:col>1</xdr:col>
      <xdr:colOff>171450</xdr:colOff>
      <xdr:row>24</xdr:row>
      <xdr:rowOff>104775</xdr:rowOff>
    </xdr:from>
    <xdr:to>
      <xdr:col>3</xdr:col>
      <xdr:colOff>123825</xdr:colOff>
      <xdr:row>26</xdr:row>
      <xdr:rowOff>76200</xdr:rowOff>
    </xdr:to>
    <xdr:sp macro="" textlink="">
      <xdr:nvSpPr>
        <xdr:cNvPr id="37" name="CaixaDeTexto 36"/>
        <xdr:cNvSpPr txBox="1"/>
      </xdr:nvSpPr>
      <xdr:spPr>
        <a:xfrm>
          <a:off x="781050" y="3990975"/>
          <a:ext cx="1171575" cy="295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000">
              <a:solidFill>
                <a:schemeClr val="accent5">
                  <a:lumMod val="75000"/>
                </a:schemeClr>
              </a:solidFill>
              <a:latin typeface="Comic Sans MS" pitchFamily="66" charset="0"/>
            </a:rPr>
            <a:t>Altura do joelho</a:t>
          </a:r>
        </a:p>
      </xdr:txBody>
    </xdr:sp>
    <xdr:clientData/>
  </xdr:twoCellAnchor>
  <xdr:twoCellAnchor>
    <xdr:from>
      <xdr:col>1</xdr:col>
      <xdr:colOff>561976</xdr:colOff>
      <xdr:row>26</xdr:row>
      <xdr:rowOff>19051</xdr:rowOff>
    </xdr:from>
    <xdr:to>
      <xdr:col>2</xdr:col>
      <xdr:colOff>303222</xdr:colOff>
      <xdr:row>28</xdr:row>
      <xdr:rowOff>53697</xdr:rowOff>
    </xdr:to>
    <xdr:pic>
      <xdr:nvPicPr>
        <xdr:cNvPr id="38" name="Picture 42" descr="C:\Users\Natália\AppData\Local\Microsoft\Windows\Temporary Internet Files\Content.IE5\LT00TPWD\MM900336967[1].gif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171576" y="4229101"/>
          <a:ext cx="350846" cy="358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390526</xdr:colOff>
      <xdr:row>1</xdr:row>
      <xdr:rowOff>28575</xdr:rowOff>
    </xdr:from>
    <xdr:to>
      <xdr:col>8</xdr:col>
      <xdr:colOff>238126</xdr:colOff>
      <xdr:row>3</xdr:row>
      <xdr:rowOff>76200</xdr:rowOff>
    </xdr:to>
    <xdr:sp macro="" textlink="">
      <xdr:nvSpPr>
        <xdr:cNvPr id="2" name="Retângulo de cantos arredondados 1"/>
        <xdr:cNvSpPr/>
      </xdr:nvSpPr>
      <xdr:spPr>
        <a:xfrm>
          <a:off x="2828926" y="190500"/>
          <a:ext cx="2286000" cy="371475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400"/>
            </a:lnSpc>
          </a:pPr>
          <a:r>
            <a:rPr lang="pt-BR" sz="1100"/>
            <a:t>Instruções</a:t>
          </a:r>
          <a:r>
            <a:rPr lang="pt-BR" sz="1100" baseline="0"/>
            <a:t> de uso do material</a:t>
          </a:r>
        </a:p>
        <a:p>
          <a:pPr algn="l">
            <a:lnSpc>
              <a:spcPts val="1400"/>
            </a:lnSpc>
          </a:pPr>
          <a:endParaRPr lang="pt-BR" sz="1100"/>
        </a:p>
      </xdr:txBody>
    </xdr:sp>
    <xdr:clientData/>
  </xdr:twoCellAnchor>
  <xdr:twoCellAnchor>
    <xdr:from>
      <xdr:col>2</xdr:col>
      <xdr:colOff>466725</xdr:colOff>
      <xdr:row>8</xdr:row>
      <xdr:rowOff>47625</xdr:rowOff>
    </xdr:from>
    <xdr:to>
      <xdr:col>5</xdr:col>
      <xdr:colOff>295275</xdr:colOff>
      <xdr:row>17</xdr:row>
      <xdr:rowOff>123825</xdr:rowOff>
    </xdr:to>
    <xdr:sp macro="" textlink="">
      <xdr:nvSpPr>
        <xdr:cNvPr id="4" name="Elipse 3">
          <a:hlinkClick xmlns:r="http://schemas.openxmlformats.org/officeDocument/2006/relationships" r:id="rId1"/>
        </xdr:cNvPr>
        <xdr:cNvSpPr/>
      </xdr:nvSpPr>
      <xdr:spPr>
        <a:xfrm>
          <a:off x="1685925" y="1019175"/>
          <a:ext cx="1657350" cy="1533525"/>
        </a:xfrm>
        <a:prstGeom prst="ellipse">
          <a:avLst/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lnSpc>
              <a:spcPts val="1400"/>
            </a:lnSpc>
          </a:pPr>
          <a:r>
            <a:rPr lang="pt-BR" sz="1100"/>
            <a:t>Compreenda o</a:t>
          </a:r>
          <a:r>
            <a:rPr lang="pt-BR" sz="1100" baseline="0"/>
            <a:t> estado nutricional </a:t>
          </a:r>
          <a:endParaRPr lang="pt-BR" sz="1100"/>
        </a:p>
      </xdr:txBody>
    </xdr:sp>
    <xdr:clientData/>
  </xdr:twoCellAnchor>
  <xdr:twoCellAnchor>
    <xdr:from>
      <xdr:col>7</xdr:col>
      <xdr:colOff>209550</xdr:colOff>
      <xdr:row>8</xdr:row>
      <xdr:rowOff>47625</xdr:rowOff>
    </xdr:from>
    <xdr:to>
      <xdr:col>10</xdr:col>
      <xdr:colOff>38100</xdr:colOff>
      <xdr:row>17</xdr:row>
      <xdr:rowOff>133350</xdr:rowOff>
    </xdr:to>
    <xdr:sp macro="" textlink="">
      <xdr:nvSpPr>
        <xdr:cNvPr id="7" name="Elipse 6">
          <a:hlinkClick xmlns:r="http://schemas.openxmlformats.org/officeDocument/2006/relationships" r:id="rId2"/>
        </xdr:cNvPr>
        <xdr:cNvSpPr/>
      </xdr:nvSpPr>
      <xdr:spPr>
        <a:xfrm>
          <a:off x="4476750" y="1019175"/>
          <a:ext cx="1657350" cy="1543050"/>
        </a:xfrm>
        <a:prstGeom prst="ellipse">
          <a:avLst/>
        </a:prstGeom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lnSpc>
              <a:spcPts val="1400"/>
            </a:lnSpc>
          </a:pPr>
          <a:r>
            <a:rPr lang="pt-BR" sz="1100" baseline="0"/>
            <a:t>Uso deste material de apoio </a:t>
          </a:r>
          <a:endParaRPr lang="pt-BR" sz="1100"/>
        </a:p>
      </xdr:txBody>
    </xdr:sp>
    <xdr:clientData/>
  </xdr:twoCellAnchor>
  <xdr:twoCellAnchor editAs="oneCell">
    <xdr:from>
      <xdr:col>0</xdr:col>
      <xdr:colOff>76200</xdr:colOff>
      <xdr:row>0</xdr:row>
      <xdr:rowOff>85725</xdr:rowOff>
    </xdr:from>
    <xdr:to>
      <xdr:col>0</xdr:col>
      <xdr:colOff>571500</xdr:colOff>
      <xdr:row>3</xdr:row>
      <xdr:rowOff>95250</xdr:rowOff>
    </xdr:to>
    <xdr:pic>
      <xdr:nvPicPr>
        <xdr:cNvPr id="5" name="Picture 57" descr="C:\Users\Natália\AppData\Local\Microsoft\Windows\Temporary Internet Files\Content.IE5\3WYPPG2D\MC900442122[1].pn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76200" y="85725"/>
          <a:ext cx="4953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219075</xdr:colOff>
      <xdr:row>14</xdr:row>
      <xdr:rowOff>133350</xdr:rowOff>
    </xdr:from>
    <xdr:to>
      <xdr:col>10</xdr:col>
      <xdr:colOff>7286</xdr:colOff>
      <xdr:row>17</xdr:row>
      <xdr:rowOff>51100</xdr:rowOff>
    </xdr:to>
    <xdr:pic>
      <xdr:nvPicPr>
        <xdr:cNvPr id="6" name="Picture 240" descr="C:\Users\Lanpop\AppData\Local\Microsoft\Windows\Temporary Internet Files\Content.IE5\IG3JVR2O\MC900434828[1]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05475" y="2076450"/>
          <a:ext cx="397811" cy="40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57151</xdr:colOff>
      <xdr:row>2</xdr:row>
      <xdr:rowOff>76200</xdr:rowOff>
    </xdr:from>
    <xdr:to>
      <xdr:col>8</xdr:col>
      <xdr:colOff>371475</xdr:colOff>
      <xdr:row>5</xdr:row>
      <xdr:rowOff>118035</xdr:rowOff>
    </xdr:to>
    <xdr:pic>
      <xdr:nvPicPr>
        <xdr:cNvPr id="8" name="Picture 70" descr="C:\Program Files\Microsoft Office\MEDIA\CAGCAT10\j0299125.wmf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933951" y="400050"/>
          <a:ext cx="314324" cy="527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381000</xdr:colOff>
      <xdr:row>15</xdr:row>
      <xdr:rowOff>76200</xdr:rowOff>
    </xdr:from>
    <xdr:to>
      <xdr:col>5</xdr:col>
      <xdr:colOff>169211</xdr:colOff>
      <xdr:row>17</xdr:row>
      <xdr:rowOff>155875</xdr:rowOff>
    </xdr:to>
    <xdr:pic>
      <xdr:nvPicPr>
        <xdr:cNvPr id="9" name="Picture 240" descr="C:\Users\Lanpop\AppData\Local\Microsoft\Windows\Temporary Internet Files\Content.IE5\IG3JVR2O\MC900434828[1]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19400" y="2181225"/>
          <a:ext cx="397811" cy="40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533400</xdr:colOff>
      <xdr:row>1</xdr:row>
      <xdr:rowOff>76200</xdr:rowOff>
    </xdr:from>
    <xdr:to>
      <xdr:col>7</xdr:col>
      <xdr:colOff>257175</xdr:colOff>
      <xdr:row>4</xdr:row>
      <xdr:rowOff>133350</xdr:rowOff>
    </xdr:to>
    <xdr:sp macro="" textlink="">
      <xdr:nvSpPr>
        <xdr:cNvPr id="3" name="Retângulo de cantos arredondados 2">
          <a:hlinkClick xmlns:r="http://schemas.openxmlformats.org/officeDocument/2006/relationships" r:id="rId1"/>
        </xdr:cNvPr>
        <xdr:cNvSpPr/>
      </xdr:nvSpPr>
      <xdr:spPr>
        <a:xfrm>
          <a:off x="2362200" y="238125"/>
          <a:ext cx="2771775" cy="542925"/>
        </a:xfrm>
        <a:prstGeom prst="round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solidFill>
                <a:sysClr val="windowText" lastClr="000000"/>
              </a:solidFill>
            </a:rPr>
            <a:t>Cálculos</a:t>
          </a:r>
          <a:r>
            <a:rPr lang="pt-BR" sz="1050" baseline="0">
              <a:solidFill>
                <a:sysClr val="windowText" lastClr="000000"/>
              </a:solidFill>
            </a:rPr>
            <a:t>  de estimativa e classificações</a:t>
          </a:r>
          <a:r>
            <a:rPr lang="pt-BR" sz="1000" baseline="0">
              <a:solidFill>
                <a:sysClr val="windowText" lastClr="000000"/>
              </a:solidFill>
            </a:rPr>
            <a:t> </a:t>
          </a:r>
        </a:p>
        <a:p>
          <a:pPr algn="ctr"/>
          <a:r>
            <a:rPr lang="pt-BR" sz="1050" baseline="0"/>
            <a:t> </a:t>
          </a:r>
          <a:endParaRPr lang="pt-BR" sz="1100"/>
        </a:p>
      </xdr:txBody>
    </xdr:sp>
    <xdr:clientData/>
  </xdr:twoCellAnchor>
  <xdr:twoCellAnchor editAs="oneCell">
    <xdr:from>
      <xdr:col>0</xdr:col>
      <xdr:colOff>104775</xdr:colOff>
      <xdr:row>0</xdr:row>
      <xdr:rowOff>114300</xdr:rowOff>
    </xdr:from>
    <xdr:to>
      <xdr:col>1</xdr:col>
      <xdr:colOff>9525</xdr:colOff>
      <xdr:row>3</xdr:row>
      <xdr:rowOff>142875</xdr:rowOff>
    </xdr:to>
    <xdr:pic>
      <xdr:nvPicPr>
        <xdr:cNvPr id="6" name="Picture 57" descr="C:\Users\Natália\AppData\Local\Microsoft\Windows\Temporary Internet Files\Content.IE5\3WYPPG2D\MC900442122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04775" y="114300"/>
          <a:ext cx="5143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</xdr:row>
      <xdr:rowOff>104775</xdr:rowOff>
    </xdr:from>
    <xdr:to>
      <xdr:col>4</xdr:col>
      <xdr:colOff>428625</xdr:colOff>
      <xdr:row>17</xdr:row>
      <xdr:rowOff>78654</xdr:rowOff>
    </xdr:to>
    <xdr:grpSp>
      <xdr:nvGrpSpPr>
        <xdr:cNvPr id="2" name="Grupo 1"/>
        <xdr:cNvGrpSpPr/>
      </xdr:nvGrpSpPr>
      <xdr:grpSpPr>
        <a:xfrm>
          <a:off x="1219200" y="1076325"/>
          <a:ext cx="1647825" cy="1755054"/>
          <a:chOff x="1219200" y="1076325"/>
          <a:chExt cx="1647825" cy="1755054"/>
        </a:xfrm>
      </xdr:grpSpPr>
      <xdr:sp macro="" textlink="">
        <xdr:nvSpPr>
          <xdr:cNvPr id="4" name="Elipse 3">
            <a:hlinkClick xmlns:r="http://schemas.openxmlformats.org/officeDocument/2006/relationships" r:id="rId4"/>
          </xdr:cNvPr>
          <xdr:cNvSpPr/>
        </xdr:nvSpPr>
        <xdr:spPr>
          <a:xfrm>
            <a:off x="1219200" y="1076325"/>
            <a:ext cx="1647825" cy="1581149"/>
          </a:xfrm>
          <a:prstGeom prst="ellipse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>
              <a:lnSpc>
                <a:spcPts val="1800"/>
              </a:lnSpc>
            </a:pPr>
            <a:r>
              <a:rPr lang="pt-BR" sz="1400"/>
              <a:t>Cálculos de estimativa</a:t>
            </a:r>
          </a:p>
        </xdr:txBody>
      </xdr:sp>
      <xdr:pic>
        <xdr:nvPicPr>
          <xdr:cNvPr id="7" name="Picture 55" descr="C:\Users\Natália\AppData\Local\Microsoft\Windows\Temporary Internet Files\Content.IE5\8DW2NJPU\MC900433845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 rot="21423078">
            <a:off x="1219200" y="2003286"/>
            <a:ext cx="536317" cy="82809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5</xdr:col>
      <xdr:colOff>104774</xdr:colOff>
      <xdr:row>6</xdr:row>
      <xdr:rowOff>114300</xdr:rowOff>
    </xdr:from>
    <xdr:to>
      <xdr:col>8</xdr:col>
      <xdr:colOff>95249</xdr:colOff>
      <xdr:row>16</xdr:row>
      <xdr:rowOff>159912</xdr:rowOff>
    </xdr:to>
    <xdr:grpSp>
      <xdr:nvGrpSpPr>
        <xdr:cNvPr id="9" name="Grupo 8"/>
        <xdr:cNvGrpSpPr/>
      </xdr:nvGrpSpPr>
      <xdr:grpSpPr>
        <a:xfrm>
          <a:off x="3152774" y="1085850"/>
          <a:ext cx="1819275" cy="1664862"/>
          <a:chOff x="3152774" y="1085850"/>
          <a:chExt cx="1819275" cy="1664862"/>
        </a:xfrm>
      </xdr:grpSpPr>
      <xdr:sp macro="" textlink="">
        <xdr:nvSpPr>
          <xdr:cNvPr id="5" name="Elipse 4">
            <a:hlinkClick xmlns:r="http://schemas.openxmlformats.org/officeDocument/2006/relationships" r:id="rId6"/>
          </xdr:cNvPr>
          <xdr:cNvSpPr/>
        </xdr:nvSpPr>
        <xdr:spPr>
          <a:xfrm>
            <a:off x="3152774" y="1085850"/>
            <a:ext cx="1762126" cy="1581150"/>
          </a:xfrm>
          <a:prstGeom prst="ellipse">
            <a:avLst/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/>
              <a:t>Classificações</a:t>
            </a:r>
          </a:p>
        </xdr:txBody>
      </xdr:sp>
      <xdr:pic>
        <xdr:nvPicPr>
          <xdr:cNvPr id="8" name="Picture 55" descr="C:\Users\Natália\AppData\Local\Microsoft\Windows\Temporary Internet Files\Content.IE5\8DW2NJPU\MC900433845[1]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 flipH="1">
            <a:off x="4219575" y="2057400"/>
            <a:ext cx="752474" cy="6933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285750</xdr:colOff>
      <xdr:row>0</xdr:row>
      <xdr:rowOff>152400</xdr:rowOff>
    </xdr:from>
    <xdr:to>
      <xdr:col>8</xdr:col>
      <xdr:colOff>9525</xdr:colOff>
      <xdr:row>4</xdr:row>
      <xdr:rowOff>47625</xdr:rowOff>
    </xdr:to>
    <xdr:sp macro="" textlink="">
      <xdr:nvSpPr>
        <xdr:cNvPr id="6" name="Retângulo de cantos arredondados 5">
          <a:hlinkClick xmlns:r="http://schemas.openxmlformats.org/officeDocument/2006/relationships" r:id="rId1"/>
        </xdr:cNvPr>
        <xdr:cNvSpPr/>
      </xdr:nvSpPr>
      <xdr:spPr>
        <a:xfrm>
          <a:off x="1504950" y="152400"/>
          <a:ext cx="2771775" cy="54292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/>
            <a:t>Inserir</a:t>
          </a:r>
          <a:r>
            <a:rPr lang="pt-BR" sz="1400" b="1" baseline="0"/>
            <a:t> medidas coletadas</a:t>
          </a:r>
          <a:endParaRPr lang="pt-BR" sz="1600" b="1"/>
        </a:p>
      </xdr:txBody>
    </xdr:sp>
    <xdr:clientData/>
  </xdr:twoCellAnchor>
  <xdr:twoCellAnchor>
    <xdr:from>
      <xdr:col>1</xdr:col>
      <xdr:colOff>295275</xdr:colOff>
      <xdr:row>6</xdr:row>
      <xdr:rowOff>85726</xdr:rowOff>
    </xdr:from>
    <xdr:to>
      <xdr:col>7</xdr:col>
      <xdr:colOff>361950</xdr:colOff>
      <xdr:row>20</xdr:row>
      <xdr:rowOff>57150</xdr:rowOff>
    </xdr:to>
    <xdr:sp macro="" textlink="">
      <xdr:nvSpPr>
        <xdr:cNvPr id="8" name="Retângulo 7"/>
        <xdr:cNvSpPr/>
      </xdr:nvSpPr>
      <xdr:spPr bwMode="auto">
        <a:xfrm>
          <a:off x="295275" y="1057276"/>
          <a:ext cx="3724275" cy="2238374"/>
        </a:xfrm>
        <a:prstGeom prst="rect">
          <a:avLst/>
        </a:prstGeom>
        <a:solidFill>
          <a:schemeClr val="bg1">
            <a:lumMod val="85000"/>
          </a:schemeClr>
        </a:solidFill>
        <a:ln w="38100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  <xdr:txBody>
        <a:bodyPr vertOverflow="clip" wrap="square" lIns="180000" tIns="72000" rIns="72000" bIns="72000" rtlCol="0" anchor="t" anchorCtr="0" upright="1"/>
        <a:lstStyle/>
        <a:p>
          <a:pPr algn="l"/>
          <a:r>
            <a:rPr lang="pt-BR" sz="1200" b="1" i="0">
              <a:solidFill>
                <a:sysClr val="windowText" lastClr="000000"/>
              </a:solidFill>
              <a:latin typeface="Comic Sans MS" pitchFamily="66" charset="0"/>
            </a:rPr>
            <a:t>Siga o passo-a-passo:</a:t>
          </a:r>
        </a:p>
        <a:p>
          <a:pPr algn="l"/>
          <a:endParaRPr lang="pt-BR" sz="1000" b="1" i="0">
            <a:solidFill>
              <a:sysClr val="windowText" lastClr="000000"/>
            </a:solidFill>
            <a:latin typeface="Comic Sans MS" pitchFamily="66" charset="0"/>
          </a:endParaRPr>
        </a:p>
        <a:p>
          <a:pPr algn="l"/>
          <a:r>
            <a:rPr lang="pt-BR" sz="1000" i="0" baseline="0">
              <a:solidFill>
                <a:sysClr val="windowText" lastClr="000000"/>
              </a:solidFill>
              <a:latin typeface="Comic Sans MS" pitchFamily="66" charset="0"/>
            </a:rPr>
            <a:t>1. Insira nos espaços em branco os nomes de cada indivíduo a ser avaliado e suas respectivas medidas coletadas. </a:t>
          </a:r>
        </a:p>
        <a:p>
          <a:pPr algn="l"/>
          <a:endParaRPr lang="pt-BR" sz="1000" i="0" baseline="0">
            <a:solidFill>
              <a:sysClr val="windowText" lastClr="000000"/>
            </a:solidFill>
            <a:latin typeface="Comic Sans MS" pitchFamily="66" charset="0"/>
          </a:endParaRPr>
        </a:p>
        <a:p>
          <a:pPr algn="l"/>
          <a:r>
            <a:rPr lang="pt-BR" sz="1000" i="0" baseline="0">
              <a:solidFill>
                <a:sysClr val="windowText" lastClr="000000"/>
              </a:solidFill>
              <a:latin typeface="Comic Sans MS" pitchFamily="66" charset="0"/>
            </a:rPr>
            <a:t>3. Na próxima página aparecerá as clasificações do IMC segundo a OPAS e  o Ministério da Saúde.</a:t>
          </a:r>
        </a:p>
        <a:p>
          <a:pPr algn="l"/>
          <a:endParaRPr lang="pt-BR" sz="1000" i="0" baseline="0">
            <a:solidFill>
              <a:sysClr val="windowText" lastClr="000000"/>
            </a:solidFill>
            <a:latin typeface="Comic Sans MS" pitchFamily="66" charset="0"/>
          </a:endParaRPr>
        </a:p>
        <a:p>
          <a:pPr algn="l"/>
          <a:r>
            <a:rPr lang="pt-BR" sz="1000" b="1" i="0" baseline="0">
              <a:solidFill>
                <a:schemeClr val="accent1">
                  <a:lumMod val="50000"/>
                </a:schemeClr>
              </a:solidFill>
              <a:latin typeface="Comic Sans MS" pitchFamily="66" charset="0"/>
            </a:rPr>
            <a:t>Clique em iniciar para inserir as medidas.</a:t>
          </a:r>
          <a:endParaRPr lang="pt-BR" sz="1000" b="1" i="0">
            <a:solidFill>
              <a:schemeClr val="accent1">
                <a:lumMod val="50000"/>
              </a:schemeClr>
            </a:solidFill>
            <a:latin typeface="Comic Sans MS" pitchFamily="66" charset="0"/>
          </a:endParaRPr>
        </a:p>
      </xdr:txBody>
    </xdr:sp>
    <xdr:clientData/>
  </xdr:twoCellAnchor>
  <xdr:twoCellAnchor>
    <xdr:from>
      <xdr:col>8</xdr:col>
      <xdr:colOff>295275</xdr:colOff>
      <xdr:row>11</xdr:row>
      <xdr:rowOff>104774</xdr:rowOff>
    </xdr:from>
    <xdr:to>
      <xdr:col>11</xdr:col>
      <xdr:colOff>542925</xdr:colOff>
      <xdr:row>22</xdr:row>
      <xdr:rowOff>161924</xdr:rowOff>
    </xdr:to>
    <xdr:sp macro="" textlink="">
      <xdr:nvSpPr>
        <xdr:cNvPr id="9" name="Retângulo de cantos arredondados 8"/>
        <xdr:cNvSpPr/>
      </xdr:nvSpPr>
      <xdr:spPr bwMode="auto">
        <a:xfrm>
          <a:off x="4562475" y="1885949"/>
          <a:ext cx="2076450" cy="1838325"/>
        </a:xfrm>
        <a:prstGeom prst="roundRect">
          <a:avLst/>
        </a:prstGeom>
        <a:ln>
          <a:headEnd type="none" w="med" len="med"/>
          <a:tailEnd type="none" w="med" len="med"/>
        </a:ln>
        <a:effectLst>
          <a:glow rad="63500">
            <a:schemeClr val="accent1">
              <a:satMod val="175000"/>
              <a:alpha val="40000"/>
            </a:schemeClr>
          </a:glow>
          <a:softEdge rad="63500"/>
        </a:effectLst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 u="sng">
              <a:solidFill>
                <a:sysClr val="windowText" lastClr="000000"/>
              </a:solidFill>
              <a:latin typeface="Comic Sans MS" pitchFamily="66" charset="0"/>
            </a:rPr>
            <a:t>Atenção:</a:t>
          </a:r>
        </a:p>
        <a:p>
          <a:pPr algn="ctr"/>
          <a:r>
            <a:rPr lang="pt-BR" sz="1200">
              <a:latin typeface="Comic Sans MS" pitchFamily="66" charset="0"/>
            </a:rPr>
            <a:t>Insira</a:t>
          </a:r>
          <a:r>
            <a:rPr lang="pt-BR" sz="1200" baseline="0">
              <a:latin typeface="Comic Sans MS" pitchFamily="66" charset="0"/>
            </a:rPr>
            <a:t> todas as medidas manualmente.</a:t>
          </a:r>
        </a:p>
        <a:p>
          <a:pPr algn="ctr"/>
          <a:r>
            <a:rPr lang="pt-BR" sz="1200" b="1" u="sng" baseline="0">
              <a:solidFill>
                <a:srgbClr val="C00000"/>
              </a:solidFill>
              <a:latin typeface="Comic Sans MS" pitchFamily="66" charset="0"/>
            </a:rPr>
            <a:t>Nunca</a:t>
          </a:r>
          <a:r>
            <a:rPr lang="pt-BR" sz="1200" baseline="0">
              <a:latin typeface="Comic Sans MS" pitchFamily="66" charset="0"/>
            </a:rPr>
            <a:t> recorte ou cole os dados, uma vez que isso pode levar a alterações nas fórmulas programadas da planilha.</a:t>
          </a:r>
          <a:endParaRPr lang="pt-BR" sz="1200">
            <a:latin typeface="Comic Sans MS" pitchFamily="66" charset="0"/>
          </a:endParaRPr>
        </a:p>
      </xdr:txBody>
    </xdr:sp>
    <xdr:clientData/>
  </xdr:twoCellAnchor>
  <xdr:twoCellAnchor>
    <xdr:from>
      <xdr:col>9</xdr:col>
      <xdr:colOff>219075</xdr:colOff>
      <xdr:row>0</xdr:row>
      <xdr:rowOff>133349</xdr:rowOff>
    </xdr:from>
    <xdr:to>
      <xdr:col>15</xdr:col>
      <xdr:colOff>47625</xdr:colOff>
      <xdr:row>10</xdr:row>
      <xdr:rowOff>38100</xdr:rowOff>
    </xdr:to>
    <xdr:sp macro="" textlink="">
      <xdr:nvSpPr>
        <xdr:cNvPr id="11" name="Texto Explicativo 1 10">
          <a:hlinkClick xmlns:r="http://schemas.openxmlformats.org/officeDocument/2006/relationships" r:id="rId2"/>
        </xdr:cNvPr>
        <xdr:cNvSpPr/>
      </xdr:nvSpPr>
      <xdr:spPr>
        <a:xfrm>
          <a:off x="5705475" y="133349"/>
          <a:ext cx="3486150" cy="1524001"/>
        </a:xfrm>
        <a:prstGeom prst="borderCallout1">
          <a:avLst>
            <a:gd name="adj1" fmla="val 37051"/>
            <a:gd name="adj2" fmla="val -3244"/>
            <a:gd name="adj3" fmla="val 96160"/>
            <a:gd name="adj4" fmla="val -35938"/>
          </a:avLst>
        </a:prstGeom>
        <a:solidFill>
          <a:schemeClr val="accent6">
            <a:lumMod val="40000"/>
            <a:lumOff val="60000"/>
          </a:schemeClr>
        </a:solidFill>
        <a:ln>
          <a:solidFill>
            <a:schemeClr val="bg1"/>
          </a:solidFill>
        </a:ln>
        <a:effectLst>
          <a:glow rad="63500">
            <a:schemeClr val="accent2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 </a:t>
          </a:r>
          <a:r>
            <a:rPr lang="pt-BR" sz="1100">
              <a:solidFill>
                <a:srgbClr val="7030A0"/>
              </a:solidFill>
            </a:rPr>
            <a:t>ATENÇÃO: As</a:t>
          </a:r>
          <a:r>
            <a:rPr lang="pt-BR" sz="1100" baseline="0">
              <a:solidFill>
                <a:srgbClr val="7030A0"/>
              </a:solidFill>
            </a:rPr>
            <a:t> lacunas de </a:t>
          </a:r>
          <a:r>
            <a:rPr lang="pt-BR" sz="1100" baseline="0">
              <a:solidFill>
                <a:srgbClr val="0070C0"/>
              </a:solidFill>
            </a:rPr>
            <a:t>circunferência muscular do braço</a:t>
          </a:r>
          <a:r>
            <a:rPr lang="pt-BR" sz="1100" baseline="0">
              <a:solidFill>
                <a:srgbClr val="7030A0"/>
              </a:solidFill>
            </a:rPr>
            <a:t>, </a:t>
          </a:r>
          <a:r>
            <a:rPr lang="pt-BR" sz="1100" baseline="0">
              <a:solidFill>
                <a:srgbClr val="0070C0"/>
              </a:solidFill>
            </a:rPr>
            <a:t>altura estimada </a:t>
          </a:r>
          <a:r>
            <a:rPr lang="pt-BR" sz="1100" baseline="0">
              <a:solidFill>
                <a:srgbClr val="7030A0"/>
              </a:solidFill>
            </a:rPr>
            <a:t>e </a:t>
          </a:r>
          <a:r>
            <a:rPr lang="pt-BR" sz="1100" baseline="0">
              <a:solidFill>
                <a:srgbClr val="0070C0"/>
              </a:solidFill>
            </a:rPr>
            <a:t>peso estimado</a:t>
          </a:r>
          <a:r>
            <a:rPr lang="pt-BR" sz="1100" baseline="0">
              <a:solidFill>
                <a:srgbClr val="7030A0"/>
              </a:solidFill>
            </a:rPr>
            <a:t> </a:t>
          </a:r>
          <a:r>
            <a:rPr lang="pt-BR" sz="1100" baseline="0">
              <a:solidFill>
                <a:srgbClr val="FF0000"/>
              </a:solidFill>
            </a:rPr>
            <a:t>NÃO</a:t>
          </a:r>
          <a:r>
            <a:rPr lang="pt-BR" sz="1100" baseline="0">
              <a:solidFill>
                <a:srgbClr val="7030A0"/>
              </a:solidFill>
            </a:rPr>
            <a:t> devem ser preenchidas, pois estas seram calculadas automaticamente através das fórmulas presentes na seção de  </a:t>
          </a:r>
          <a:r>
            <a:rPr lang="pt-BR" sz="1100" baseline="0">
              <a:solidFill>
                <a:srgbClr val="00B050"/>
              </a:solidFill>
            </a:rPr>
            <a:t>Cálculos de estimativas e classificações.</a:t>
          </a:r>
          <a:endParaRPr lang="pt-BR" sz="1100">
            <a:solidFill>
              <a:srgbClr val="00B050"/>
            </a:solidFill>
          </a:endParaRPr>
        </a:p>
      </xdr:txBody>
    </xdr:sp>
    <xdr:clientData/>
  </xdr:twoCellAnchor>
  <xdr:twoCellAnchor>
    <xdr:from>
      <xdr:col>4</xdr:col>
      <xdr:colOff>361950</xdr:colOff>
      <xdr:row>22</xdr:row>
      <xdr:rowOff>0</xdr:rowOff>
    </xdr:from>
    <xdr:to>
      <xdr:col>7</xdr:col>
      <xdr:colOff>285750</xdr:colOff>
      <xdr:row>25</xdr:row>
      <xdr:rowOff>38100</xdr:rowOff>
    </xdr:to>
    <xdr:sp macro="" textlink="">
      <xdr:nvSpPr>
        <xdr:cNvPr id="12" name="Retângulo de cantos arredondados 11">
          <a:hlinkClick xmlns:r="http://schemas.openxmlformats.org/officeDocument/2006/relationships" r:id="rId1"/>
        </xdr:cNvPr>
        <xdr:cNvSpPr/>
      </xdr:nvSpPr>
      <xdr:spPr>
        <a:xfrm>
          <a:off x="2190750" y="3562350"/>
          <a:ext cx="1752600" cy="523875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ln/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>
              <a:solidFill>
                <a:schemeClr val="bg1"/>
              </a:solidFill>
              <a:latin typeface="Calibri" pitchFamily="34" charset="0"/>
              <a:cs typeface="Calibri" pitchFamily="34" charset="0"/>
            </a:rPr>
            <a:t>INICIAR </a:t>
          </a:r>
        </a:p>
      </xdr:txBody>
    </xdr:sp>
    <xdr:clientData/>
  </xdr:twoCellAnchor>
  <xdr:twoCellAnchor editAs="oneCell">
    <xdr:from>
      <xdr:col>0</xdr:col>
      <xdr:colOff>76201</xdr:colOff>
      <xdr:row>0</xdr:row>
      <xdr:rowOff>76201</xdr:rowOff>
    </xdr:from>
    <xdr:to>
      <xdr:col>0</xdr:col>
      <xdr:colOff>590551</xdr:colOff>
      <xdr:row>3</xdr:row>
      <xdr:rowOff>104776</xdr:rowOff>
    </xdr:to>
    <xdr:pic>
      <xdr:nvPicPr>
        <xdr:cNvPr id="7" name="Picture 57" descr="C:\Users\Natália\AppData\Local\Microsoft\Windows\Temporary Internet Files\Content.IE5\3WYPPG2D\MC900442122[1].pn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76201" y="76201"/>
          <a:ext cx="5143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142875</xdr:colOff>
      <xdr:row>1</xdr:row>
      <xdr:rowOff>114300</xdr:rowOff>
    </xdr:from>
    <xdr:to>
      <xdr:col>3</xdr:col>
      <xdr:colOff>495300</xdr:colOff>
      <xdr:row>4</xdr:row>
      <xdr:rowOff>148352</xdr:rowOff>
    </xdr:to>
    <xdr:pic>
      <xdr:nvPicPr>
        <xdr:cNvPr id="10" name="Picture 94" descr="C:\Users\Natália\AppData\Local\Microsoft\Windows\Temporary Internet Files\Content.IE5\LT00TPWD\MC900088888[1].wm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flipH="1">
          <a:off x="1362075" y="276225"/>
          <a:ext cx="352425" cy="519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485774</xdr:colOff>
      <xdr:row>0</xdr:row>
      <xdr:rowOff>152401</xdr:rowOff>
    </xdr:from>
    <xdr:to>
      <xdr:col>10</xdr:col>
      <xdr:colOff>228600</xdr:colOff>
      <xdr:row>4</xdr:row>
      <xdr:rowOff>19050</xdr:rowOff>
    </xdr:to>
    <xdr:sp macro="" textlink="">
      <xdr:nvSpPr>
        <xdr:cNvPr id="4" name="Retângulo com Canto Diagonal Aparado 3"/>
        <xdr:cNvSpPr/>
      </xdr:nvSpPr>
      <xdr:spPr>
        <a:xfrm>
          <a:off x="1095374" y="152401"/>
          <a:ext cx="5229226" cy="514349"/>
        </a:xfrm>
        <a:prstGeom prst="snip2Diag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050">
              <a:ln>
                <a:solidFill>
                  <a:schemeClr val="bg1"/>
                </a:solidFill>
              </a:ln>
              <a:solidFill>
                <a:schemeClr val="bg1"/>
              </a:solidFill>
            </a:rPr>
            <a:t>Para a elaboração</a:t>
          </a:r>
          <a:r>
            <a:rPr lang="pt-BR" sz="1050" baseline="0">
              <a:ln>
                <a:solidFill>
                  <a:schemeClr val="bg1"/>
                </a:solidFill>
              </a:ln>
              <a:solidFill>
                <a:schemeClr val="bg1"/>
              </a:solidFill>
            </a:rPr>
            <a:t> deste documento foram utilizadas as seguintes fontes:</a:t>
          </a:r>
          <a:endParaRPr lang="pt-BR" sz="1050">
            <a:ln>
              <a:solidFill>
                <a:schemeClr val="bg1"/>
              </a:solidFill>
            </a:ln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285750</xdr:colOff>
      <xdr:row>5</xdr:row>
      <xdr:rowOff>142874</xdr:rowOff>
    </xdr:from>
    <xdr:to>
      <xdr:col>12</xdr:col>
      <xdr:colOff>409575</xdr:colOff>
      <xdr:row>30</xdr:row>
      <xdr:rowOff>28575</xdr:rowOff>
    </xdr:to>
    <xdr:sp macro="" textlink="">
      <xdr:nvSpPr>
        <xdr:cNvPr id="5" name="CaixaDeTexto 4"/>
        <xdr:cNvSpPr txBox="1"/>
      </xdr:nvSpPr>
      <xdr:spPr>
        <a:xfrm>
          <a:off x="285750" y="952499"/>
          <a:ext cx="7439025" cy="3933826"/>
        </a:xfrm>
        <a:prstGeom prst="rect">
          <a:avLst/>
        </a:prstGeom>
        <a:noFill/>
        <a:ln w="9525" cmpd="sng">
          <a:solidFill>
            <a:schemeClr val="accent6">
              <a:lumMod val="60000"/>
              <a:lumOff val="40000"/>
            </a:schemeClr>
          </a:solidFill>
          <a:prstDash val="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300"/>
            </a:lnSpc>
          </a:pPr>
          <a:r>
            <a:rPr lang="en-U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Chumlea WC, Roche AF, Steinbaugh ML. Estimating stature from knee height for persons 60 to 90 years of age. </a:t>
          </a:r>
          <a:r>
            <a:rPr lang="pt-BR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Journal of the American Geriatrics Society. 1985; 33(2):116-20.		</a:t>
          </a:r>
        </a:p>
        <a:p>
          <a:pPr>
            <a:lnSpc>
              <a:spcPts val="1100"/>
            </a:lnSpc>
          </a:pPr>
          <a:endParaRPr lang="pt-BR" sz="9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Chumlea WC, Guo S, Roche AF, Steinbaugh ML. Prediction of body weight for the nonambulatory elderly from anthropometry. </a:t>
          </a:r>
          <a:r>
            <a:rPr lang="pt-BR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Journal of American Dietetic Association. 1988; 88(5):564-8.</a:t>
          </a:r>
        </a:p>
        <a:p>
          <a:endParaRPr lang="pt-BR" sz="9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r>
            <a:rPr lang="pt-BR" sz="900" smtClean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Coelho et al. Prevalence of undernutrition in elderly patients hospitalized in a geriatric unit in Belo Horizonte, MG, Brazil. Nutrition 22. 2006; 1005–1011.</a:t>
          </a:r>
        </a:p>
        <a:p>
          <a:pPr marL="0" indent="0"/>
          <a:endParaRPr lang="pt-BR" sz="900" smtClean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r>
            <a:rPr lang="en-U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Lipschitz DA. Screening for nutritional status in the elderly. Primary Care. 1994; 21(1):55-67. </a:t>
          </a:r>
        </a:p>
        <a:p>
          <a:pPr marL="0" indent="0"/>
          <a:endParaRPr lang="en-US" sz="9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5. Ministério da Saúde (BR). Envelhecimento e saúde da pessoa idosa: cadernos de atenção básica, n. 19. </a:t>
          </a:r>
          <a:r>
            <a:rPr lang="en-U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Brasília (DF): Ministério da Saúde; 2006</a:t>
          </a:r>
        </a:p>
        <a:p>
          <a:endParaRPr lang="pt-BR" sz="9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6. Organizacion Panamericana de la saúde-OPAS- Reunióm del comité asesor de Investigaciones en salud Encuestra Multicentrica salud Beinestar y Envejecimiento. 2001</a:t>
          </a:r>
        </a:p>
        <a:p>
          <a:endParaRPr lang="pt-BR" sz="9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7. Troiano RP, Grongiollo EA Jr, Sobal J, Levitsky DA. </a:t>
          </a:r>
          <a:r>
            <a:rPr lang="en-U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relation between body weight and mortality: a quantitative analysis of combined information from existing studies. </a:t>
          </a:r>
          <a:r>
            <a:rPr lang="pt-BR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Int J Obes Relat Metab Disord. 1996; 20(1):63-75.</a:t>
          </a:r>
        </a:p>
        <a:p>
          <a:endParaRPr lang="pt-BR" sz="9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900" smtClean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8. VELLAS et al. The Mini Nutritional Assessment (MNA) and Its Use in Grading the Nutritional State of Elderly Patients. Nutrition Vol. 15, No. 2, 1999.</a:t>
          </a:r>
          <a:endParaRPr lang="pt-BR" sz="9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247650</xdr:colOff>
      <xdr:row>7</xdr:row>
      <xdr:rowOff>38100</xdr:rowOff>
    </xdr:from>
    <xdr:to>
      <xdr:col>14</xdr:col>
      <xdr:colOff>247650</xdr:colOff>
      <xdr:row>10</xdr:row>
      <xdr:rowOff>57150</xdr:rowOff>
    </xdr:to>
    <xdr:sp macro="" textlink="">
      <xdr:nvSpPr>
        <xdr:cNvPr id="8" name="Retângulo de cantos arredondados 7">
          <a:hlinkClick xmlns:r="http://schemas.openxmlformats.org/officeDocument/2006/relationships" r:id="rId1"/>
        </xdr:cNvPr>
        <xdr:cNvSpPr/>
      </xdr:nvSpPr>
      <xdr:spPr>
        <a:xfrm>
          <a:off x="7562850" y="1171575"/>
          <a:ext cx="1219200" cy="504825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aseline="0"/>
            <a:t>Bibliografia </a:t>
          </a:r>
          <a:endParaRPr lang="pt-BR" sz="1100"/>
        </a:p>
      </xdr:txBody>
    </xdr:sp>
    <xdr:clientData/>
  </xdr:twoCellAnchor>
  <xdr:twoCellAnchor editAs="oneCell">
    <xdr:from>
      <xdr:col>0</xdr:col>
      <xdr:colOff>85725</xdr:colOff>
      <xdr:row>0</xdr:row>
      <xdr:rowOff>28575</xdr:rowOff>
    </xdr:from>
    <xdr:to>
      <xdr:col>0</xdr:col>
      <xdr:colOff>542925</xdr:colOff>
      <xdr:row>3</xdr:row>
      <xdr:rowOff>0</xdr:rowOff>
    </xdr:to>
    <xdr:pic>
      <xdr:nvPicPr>
        <xdr:cNvPr id="6" name="Picture 57" descr="C:\Users\Natália\AppData\Local\Microsoft\Windows\Temporary Internet Files\Content.IE5\3WYPPG2D\MC900442122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85725" y="28575"/>
          <a:ext cx="457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9525</xdr:colOff>
      <xdr:row>8</xdr:row>
      <xdr:rowOff>123825</xdr:rowOff>
    </xdr:from>
    <xdr:to>
      <xdr:col>14</xdr:col>
      <xdr:colOff>295276</xdr:colOff>
      <xdr:row>13</xdr:row>
      <xdr:rowOff>39987</xdr:rowOff>
    </xdr:to>
    <xdr:pic>
      <xdr:nvPicPr>
        <xdr:cNvPr id="7" name="Picture 1086" descr="C:\Users\Lanpop\AppData\Local\Microsoft\Windows\Temporary Internet Files\Content.IE5\J5H9SAEO\MC900078711[1].wm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43925" y="1419225"/>
          <a:ext cx="285751" cy="725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2</xdr:row>
      <xdr:rowOff>124862</xdr:rowOff>
    </xdr:from>
    <xdr:to>
      <xdr:col>13</xdr:col>
      <xdr:colOff>66675</xdr:colOff>
      <xdr:row>21</xdr:row>
      <xdr:rowOff>154305</xdr:rowOff>
    </xdr:to>
    <xdr:pic>
      <xdr:nvPicPr>
        <xdr:cNvPr id="9" name="Imagem 8" descr="9.JPG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39000" contrast="-38000"/>
        </a:blip>
        <a:srcRect t="7682"/>
        <a:stretch>
          <a:fillRect/>
        </a:stretch>
      </xdr:blipFill>
      <xdr:spPr>
        <a:xfrm>
          <a:off x="209550" y="124862"/>
          <a:ext cx="7172325" cy="310601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1</xdr:col>
      <xdr:colOff>247649</xdr:colOff>
      <xdr:row>21</xdr:row>
      <xdr:rowOff>19049</xdr:rowOff>
    </xdr:from>
    <xdr:to>
      <xdr:col>11</xdr:col>
      <xdr:colOff>276225</xdr:colOff>
      <xdr:row>26</xdr:row>
      <xdr:rowOff>47625</xdr:rowOff>
    </xdr:to>
    <xdr:sp macro="" textlink="">
      <xdr:nvSpPr>
        <xdr:cNvPr id="2" name="CaixaDeTexto 1"/>
        <xdr:cNvSpPr txBox="1"/>
      </xdr:nvSpPr>
      <xdr:spPr>
        <a:xfrm>
          <a:off x="247649" y="3095624"/>
          <a:ext cx="6124576" cy="838201"/>
        </a:xfrm>
        <a:prstGeom prst="rect">
          <a:avLst/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000">
              <a:solidFill>
                <a:schemeClr val="tx1"/>
              </a:solidFill>
            </a:rPr>
            <a:t>Desenvolvido pela equipe do </a:t>
          </a:r>
          <a:r>
            <a:rPr lang="pt-BR" sz="1000" b="1" u="sng"/>
            <a:t>Laboratório Apoio à Pesquisa e Informática (LAPI) </a:t>
          </a:r>
          <a:r>
            <a:rPr lang="pt-BR" sz="1000" b="0"/>
            <a:t>e</a:t>
          </a:r>
          <a:r>
            <a:rPr lang="pt-BR" sz="1000" b="0" baseline="0"/>
            <a:t> do</a:t>
          </a:r>
          <a:endParaRPr lang="pt-BR" sz="1000" b="0"/>
        </a:p>
        <a:p>
          <a:pPr>
            <a:lnSpc>
              <a:spcPts val="1300"/>
            </a:lnSpc>
          </a:pPr>
          <a:r>
            <a:rPr lang="pt-BR" sz="1000" b="1" u="sng">
              <a:solidFill>
                <a:schemeClr val="tx1"/>
              </a:solidFill>
            </a:rPr>
            <a:t>Laboratório de Avaliação Nutricional de Populações - LANPOP</a:t>
          </a:r>
        </a:p>
        <a:p>
          <a:pPr>
            <a:lnSpc>
              <a:spcPts val="1300"/>
            </a:lnSpc>
          </a:pPr>
          <a:r>
            <a:rPr lang="pt-BR" sz="1000">
              <a:solidFill>
                <a:schemeClr val="tx1"/>
              </a:solidFill>
            </a:rPr>
            <a:t>Departamento de Nutrição, Faculdade de Saúde Pública, Universidade de São Paulo</a:t>
          </a:r>
        </a:p>
        <a:p>
          <a:pPr>
            <a:lnSpc>
              <a:spcPts val="1300"/>
            </a:lnSpc>
          </a:pPr>
          <a:r>
            <a:rPr lang="pt-BR" sz="1000">
              <a:solidFill>
                <a:schemeClr val="tx1"/>
              </a:solidFill>
            </a:rPr>
            <a:t>Av. Dr. Arnaldo, 715 - Cerqueira César - São Paulo/SP</a:t>
          </a:r>
        </a:p>
        <a:p>
          <a:pPr>
            <a:lnSpc>
              <a:spcPts val="1200"/>
            </a:lnSpc>
          </a:pPr>
          <a:r>
            <a:rPr lang="pt-BR" sz="1000">
              <a:solidFill>
                <a:schemeClr val="tx1"/>
              </a:solidFill>
            </a:rPr>
            <a:t>Telefone: (11) 3061-7848</a:t>
          </a:r>
        </a:p>
        <a:p>
          <a:pPr>
            <a:lnSpc>
              <a:spcPts val="1200"/>
            </a:lnSpc>
          </a:pPr>
          <a:endParaRPr lang="pt-BR" sz="10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142873</xdr:colOff>
      <xdr:row>5</xdr:row>
      <xdr:rowOff>66675</xdr:rowOff>
    </xdr:from>
    <xdr:to>
      <xdr:col>16</xdr:col>
      <xdr:colOff>523875</xdr:colOff>
      <xdr:row>18</xdr:row>
      <xdr:rowOff>123825</xdr:rowOff>
    </xdr:to>
    <xdr:sp macro="" textlink="">
      <xdr:nvSpPr>
        <xdr:cNvPr id="20" name="CaixaDeTexto 19"/>
        <xdr:cNvSpPr txBox="1"/>
      </xdr:nvSpPr>
      <xdr:spPr>
        <a:xfrm>
          <a:off x="7458073" y="552450"/>
          <a:ext cx="2209802" cy="2162175"/>
        </a:xfrm>
        <a:prstGeom prst="roundRect">
          <a:avLst/>
        </a:prstGeom>
        <a:ln w="28575"/>
        <a:effectLst>
          <a:glow rad="63500">
            <a:schemeClr val="accent5">
              <a:satMod val="1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pt-BR" sz="900" b="1">
              <a:solidFill>
                <a:sysClr val="windowText" lastClr="000000"/>
              </a:solidFill>
              <a:latin typeface="Comic Sans MS" pitchFamily="66" charset="0"/>
            </a:rPr>
            <a:t>Coordenação:</a:t>
          </a:r>
          <a:r>
            <a:rPr lang="pt-BR" sz="900" b="1" baseline="0">
              <a:solidFill>
                <a:sysClr val="windowText" lastClr="000000"/>
              </a:solidFill>
              <a:latin typeface="Comic Sans MS" pitchFamily="66" charset="0"/>
            </a:rPr>
            <a:t> </a:t>
          </a:r>
        </a:p>
        <a:p>
          <a:pPr algn="ctr"/>
          <a:r>
            <a:rPr lang="pt-BR" sz="900" baseline="0">
              <a:solidFill>
                <a:sysClr val="windowText" lastClr="000000"/>
              </a:solidFill>
              <a:latin typeface="Comic Sans MS" pitchFamily="66" charset="0"/>
            </a:rPr>
            <a:t>Larissa Baraldi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900" baseline="0">
              <a:solidFill>
                <a:sysClr val="windowText" lastClr="000000"/>
              </a:solidFill>
              <a:latin typeface="Comic Sans MS" pitchFamily="66" charset="0"/>
              <a:ea typeface="+mn-ea"/>
              <a:cs typeface="+mn-cs"/>
            </a:rPr>
            <a:t>Regismeire Viana da Silva</a:t>
          </a:r>
        </a:p>
        <a:p>
          <a:pPr algn="ctr"/>
          <a:endParaRPr lang="pt-BR" sz="900" baseline="0">
            <a:solidFill>
              <a:sysClr val="windowText" lastClr="000000"/>
            </a:solidFill>
            <a:latin typeface="Comic Sans MS" pitchFamily="66" charset="0"/>
          </a:endParaRPr>
        </a:p>
        <a:p>
          <a:pPr algn="ctr"/>
          <a:r>
            <a:rPr lang="pt-BR" sz="900" b="1" baseline="0">
              <a:solidFill>
                <a:sysClr val="windowText" lastClr="000000"/>
              </a:solidFill>
              <a:latin typeface="Comic Sans MS" pitchFamily="66" charset="0"/>
            </a:rPr>
            <a:t>Criação e desenvolvimento:</a:t>
          </a:r>
        </a:p>
        <a:p>
          <a:pPr algn="ctr"/>
          <a:r>
            <a:rPr lang="pt-BR" sz="900" b="0" baseline="0">
              <a:solidFill>
                <a:sysClr val="windowText" lastClr="000000"/>
              </a:solidFill>
              <a:latin typeface="Comic Sans MS" pitchFamily="66" charset="0"/>
            </a:rPr>
            <a:t>Marina Fernandes Andre</a:t>
          </a:r>
        </a:p>
        <a:p>
          <a:pPr algn="ctr"/>
          <a:r>
            <a:rPr lang="pt-BR" sz="900" b="0" baseline="0">
              <a:solidFill>
                <a:sysClr val="windowText" lastClr="000000"/>
              </a:solidFill>
              <a:latin typeface="Comic Sans MS" pitchFamily="66" charset="0"/>
            </a:rPr>
            <a:t>Viviana de Paula Soares</a:t>
          </a:r>
        </a:p>
        <a:p>
          <a:pPr algn="ctr"/>
          <a:endParaRPr lang="pt-BR" sz="900" baseline="0">
            <a:solidFill>
              <a:sysClr val="windowText" lastClr="000000"/>
            </a:solidFill>
            <a:latin typeface="Comic Sans MS" pitchFamily="66" charset="0"/>
          </a:endParaRPr>
        </a:p>
        <a:p>
          <a:pPr algn="ctr"/>
          <a:r>
            <a:rPr lang="pt-BR" sz="900" b="1" baseline="0">
              <a:solidFill>
                <a:sysClr val="windowText" lastClr="000000"/>
              </a:solidFill>
              <a:latin typeface="Comic Sans MS" pitchFamily="66" charset="0"/>
            </a:rPr>
            <a:t>Agradecimentos</a:t>
          </a:r>
        </a:p>
        <a:p>
          <a:pPr algn="ctr"/>
          <a:r>
            <a:rPr lang="pt-BR" sz="900">
              <a:latin typeface="Comic Sans MS" pitchFamily="66" charset="0"/>
            </a:rPr>
            <a:t>Prof. Dr</a:t>
          </a:r>
          <a:r>
            <a:rPr lang="pt-BR" sz="900" baseline="0">
              <a:latin typeface="Comic Sans MS" pitchFamily="66" charset="0"/>
            </a:rPr>
            <a:t> Fátima Nunes Marucci </a:t>
          </a:r>
          <a:r>
            <a:rPr lang="pt-BR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endParaRPr lang="pt-BR" sz="900">
            <a:latin typeface="Comic Sans MS" pitchFamily="66" charset="0"/>
          </a:endParaRPr>
        </a:p>
      </xdr:txBody>
    </xdr:sp>
    <xdr:clientData/>
  </xdr:twoCellAnchor>
  <xdr:twoCellAnchor>
    <xdr:from>
      <xdr:col>1</xdr:col>
      <xdr:colOff>266699</xdr:colOff>
      <xdr:row>6</xdr:row>
      <xdr:rowOff>9525</xdr:rowOff>
    </xdr:from>
    <xdr:to>
      <xdr:col>2</xdr:col>
      <xdr:colOff>542924</xdr:colOff>
      <xdr:row>8</xdr:row>
      <xdr:rowOff>142875</xdr:rowOff>
    </xdr:to>
    <xdr:sp macro="" textlink="">
      <xdr:nvSpPr>
        <xdr:cNvPr id="23" name="Retângulo de cantos arredondados 22">
          <a:hlinkClick xmlns:r="http://schemas.openxmlformats.org/officeDocument/2006/relationships" r:id="rId2" tooltip="Site do Lanpop"/>
        </xdr:cNvPr>
        <xdr:cNvSpPr/>
      </xdr:nvSpPr>
      <xdr:spPr bwMode="auto">
        <a:xfrm>
          <a:off x="266699" y="657225"/>
          <a:ext cx="885825" cy="457200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00" b="0">
              <a:solidFill>
                <a:sysClr val="windowText" lastClr="000000"/>
              </a:solidFill>
              <a:latin typeface="Comic Sans MS" pitchFamily="66" charset="0"/>
            </a:rPr>
            <a:t>Site</a:t>
          </a:r>
          <a:r>
            <a:rPr lang="pt-BR" sz="1000" b="1">
              <a:solidFill>
                <a:sysClr val="windowText" lastClr="000000"/>
              </a:solidFill>
              <a:latin typeface="Comic Sans MS" pitchFamily="66" charset="0"/>
            </a:rPr>
            <a:t> </a:t>
          </a:r>
        </a:p>
        <a:p>
          <a:pPr algn="ctr"/>
          <a:r>
            <a:rPr lang="pt-BR" sz="1000" b="1">
              <a:solidFill>
                <a:sysClr val="windowText" lastClr="000000"/>
              </a:solidFill>
              <a:latin typeface="Comic Sans MS" pitchFamily="66" charset="0"/>
            </a:rPr>
            <a:t>LANPOP</a:t>
          </a:r>
        </a:p>
      </xdr:txBody>
    </xdr:sp>
    <xdr:clientData/>
  </xdr:twoCellAnchor>
  <xdr:twoCellAnchor>
    <xdr:from>
      <xdr:col>1</xdr:col>
      <xdr:colOff>247650</xdr:colOff>
      <xdr:row>9</xdr:row>
      <xdr:rowOff>57150</xdr:rowOff>
    </xdr:from>
    <xdr:to>
      <xdr:col>2</xdr:col>
      <xdr:colOff>552450</xdr:colOff>
      <xdr:row>12</xdr:row>
      <xdr:rowOff>19050</xdr:rowOff>
    </xdr:to>
    <xdr:sp macro="" textlink="">
      <xdr:nvSpPr>
        <xdr:cNvPr id="25" name="Retângulo de cantos arredondados 24">
          <a:hlinkClick xmlns:r="http://schemas.openxmlformats.org/officeDocument/2006/relationships" r:id="rId3" tooltip="lanpop.hnt@gmail.com"/>
        </xdr:cNvPr>
        <xdr:cNvSpPr/>
      </xdr:nvSpPr>
      <xdr:spPr bwMode="auto">
        <a:xfrm>
          <a:off x="247650" y="1190625"/>
          <a:ext cx="914400" cy="44767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00" b="0">
              <a:solidFill>
                <a:sysClr val="windowText" lastClr="000000"/>
              </a:solidFill>
              <a:latin typeface="Comic Sans MS" pitchFamily="66" charset="0"/>
            </a:rPr>
            <a:t>E-mail </a:t>
          </a:r>
          <a:r>
            <a:rPr lang="pt-BR" sz="1000" b="1">
              <a:solidFill>
                <a:sysClr val="windowText" lastClr="000000"/>
              </a:solidFill>
              <a:latin typeface="Comic Sans MS" pitchFamily="66" charset="0"/>
            </a:rPr>
            <a:t>LANPOP</a:t>
          </a:r>
        </a:p>
      </xdr:txBody>
    </xdr:sp>
    <xdr:clientData/>
  </xdr:twoCellAnchor>
  <xdr:twoCellAnchor editAs="oneCell">
    <xdr:from>
      <xdr:col>12</xdr:col>
      <xdr:colOff>19050</xdr:colOff>
      <xdr:row>2</xdr:row>
      <xdr:rowOff>49823</xdr:rowOff>
    </xdr:from>
    <xdr:to>
      <xdr:col>12</xdr:col>
      <xdr:colOff>575939</xdr:colOff>
      <xdr:row>5</xdr:row>
      <xdr:rowOff>95250</xdr:rowOff>
    </xdr:to>
    <xdr:pic>
      <xdr:nvPicPr>
        <xdr:cNvPr id="10" name="Picture 57" descr="C:\Users\Natália\AppData\Local\Microsoft\Windows\Temporary Internet Files\Content.IE5\3WYPPG2D\MC900442122[1].png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6724650" y="49823"/>
          <a:ext cx="556889" cy="5312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409575</xdr:colOff>
      <xdr:row>21</xdr:row>
      <xdr:rowOff>19050</xdr:rowOff>
    </xdr:from>
    <xdr:to>
      <xdr:col>12</xdr:col>
      <xdr:colOff>591124</xdr:colOff>
      <xdr:row>26</xdr:row>
      <xdr:rowOff>19050</xdr:rowOff>
    </xdr:to>
    <xdr:pic>
      <xdr:nvPicPr>
        <xdr:cNvPr id="6" name="Imagem 5" descr="Logo_FSP.gif">
          <a:hlinkClick xmlns:r="http://schemas.openxmlformats.org/officeDocument/2006/relationships" r:id="rId6" tooltip="Site da Faculdade de Saúde Pública/USP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0245" t="5208" r="7644" b="7986"/>
        <a:stretch>
          <a:fillRect/>
        </a:stretch>
      </xdr:blipFill>
      <xdr:spPr>
        <a:xfrm>
          <a:off x="6505575" y="3095625"/>
          <a:ext cx="791149" cy="809625"/>
        </a:xfrm>
        <a:prstGeom prst="ellipse">
          <a:avLst/>
        </a:prstGeom>
        <a:ln>
          <a:noFill/>
        </a:ln>
        <a:effectLst/>
      </xdr:spPr>
    </xdr:pic>
    <xdr:clientData/>
  </xdr:twoCellAnchor>
  <xdr:twoCellAnchor>
    <xdr:from>
      <xdr:col>2</xdr:col>
      <xdr:colOff>180975</xdr:colOff>
      <xdr:row>0</xdr:row>
      <xdr:rowOff>142875</xdr:rowOff>
    </xdr:from>
    <xdr:to>
      <xdr:col>5</xdr:col>
      <xdr:colOff>558651</xdr:colOff>
      <xdr:row>3</xdr:row>
      <xdr:rowOff>130654</xdr:rowOff>
    </xdr:to>
    <xdr:grpSp>
      <xdr:nvGrpSpPr>
        <xdr:cNvPr id="18" name="Grupo 17"/>
        <xdr:cNvGrpSpPr/>
      </xdr:nvGrpSpPr>
      <xdr:grpSpPr>
        <a:xfrm>
          <a:off x="1400175" y="142875"/>
          <a:ext cx="2206476" cy="473554"/>
          <a:chOff x="3733800" y="66675"/>
          <a:chExt cx="2206476" cy="473554"/>
        </a:xfrm>
      </xdr:grpSpPr>
      <xdr:sp macro="" textlink="">
        <xdr:nvSpPr>
          <xdr:cNvPr id="3" name="Arredondar Retângulo em um Canto Diagonal 2"/>
          <xdr:cNvSpPr/>
        </xdr:nvSpPr>
        <xdr:spPr>
          <a:xfrm>
            <a:off x="3733800" y="66675"/>
            <a:ext cx="2105025" cy="419100"/>
          </a:xfrm>
          <a:prstGeom prst="round2Diag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>
                <a:solidFill>
                  <a:schemeClr val="bg2">
                    <a:lumMod val="25000"/>
                  </a:schemeClr>
                </a:solidFill>
              </a:rPr>
              <a:t>Créditos e contatos</a:t>
            </a:r>
          </a:p>
        </xdr:txBody>
      </xdr:sp>
      <xdr:pic>
        <xdr:nvPicPr>
          <xdr:cNvPr id="11" name="Picture 1107" descr="C:\Users\Lanpop\AppData\Local\Microsoft\Windows\Temporary Internet Files\Content.IE5\J5H9SAEO\MC900354013[1].wmf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5581650" y="134387"/>
            <a:ext cx="358626" cy="4058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257175</xdr:colOff>
      <xdr:row>13</xdr:row>
      <xdr:rowOff>114300</xdr:rowOff>
    </xdr:from>
    <xdr:to>
      <xdr:col>2</xdr:col>
      <xdr:colOff>533400</xdr:colOff>
      <xdr:row>16</xdr:row>
      <xdr:rowOff>85725</xdr:rowOff>
    </xdr:to>
    <xdr:sp macro="" textlink="">
      <xdr:nvSpPr>
        <xdr:cNvPr id="12" name="Retângulo de cantos arredondados 11">
          <a:hlinkClick xmlns:r="http://schemas.openxmlformats.org/officeDocument/2006/relationships" r:id="rId9" tooltip="Site do Lanpop"/>
        </xdr:cNvPr>
        <xdr:cNvSpPr/>
      </xdr:nvSpPr>
      <xdr:spPr bwMode="auto">
        <a:xfrm>
          <a:off x="257175" y="1895475"/>
          <a:ext cx="885825" cy="457200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00" b="0">
              <a:solidFill>
                <a:sysClr val="windowText" lastClr="000000"/>
              </a:solidFill>
              <a:latin typeface="Comic Sans MS" pitchFamily="66" charset="0"/>
            </a:rPr>
            <a:t>Site</a:t>
          </a:r>
          <a:r>
            <a:rPr lang="pt-BR" sz="1000" b="1">
              <a:solidFill>
                <a:sysClr val="windowText" lastClr="000000"/>
              </a:solidFill>
              <a:latin typeface="Comic Sans MS" pitchFamily="66" charset="0"/>
            </a:rPr>
            <a:t> </a:t>
          </a:r>
        </a:p>
        <a:p>
          <a:pPr algn="ctr"/>
          <a:r>
            <a:rPr lang="pt-BR" sz="1000" b="1">
              <a:solidFill>
                <a:sysClr val="windowText" lastClr="000000"/>
              </a:solidFill>
              <a:latin typeface="Comic Sans MS" pitchFamily="66" charset="0"/>
            </a:rPr>
            <a:t>LAPI</a:t>
          </a:r>
        </a:p>
      </xdr:txBody>
    </xdr:sp>
    <xdr:clientData/>
  </xdr:twoCellAnchor>
  <xdr:twoCellAnchor>
    <xdr:from>
      <xdr:col>1</xdr:col>
      <xdr:colOff>247650</xdr:colOff>
      <xdr:row>17</xdr:row>
      <xdr:rowOff>9525</xdr:rowOff>
    </xdr:from>
    <xdr:to>
      <xdr:col>2</xdr:col>
      <xdr:colOff>523875</xdr:colOff>
      <xdr:row>19</xdr:row>
      <xdr:rowOff>142875</xdr:rowOff>
    </xdr:to>
    <xdr:sp macro="" textlink="">
      <xdr:nvSpPr>
        <xdr:cNvPr id="13" name="Retângulo de cantos arredondados 12">
          <a:hlinkClick xmlns:r="http://schemas.openxmlformats.org/officeDocument/2006/relationships" r:id="rId10" tooltip="Site do Lanpop"/>
        </xdr:cNvPr>
        <xdr:cNvSpPr/>
      </xdr:nvSpPr>
      <xdr:spPr bwMode="auto">
        <a:xfrm>
          <a:off x="247650" y="2438400"/>
          <a:ext cx="885825" cy="457200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00" b="0">
              <a:solidFill>
                <a:sysClr val="windowText" lastClr="000000"/>
              </a:solidFill>
              <a:latin typeface="Comic Sans MS" pitchFamily="66" charset="0"/>
            </a:rPr>
            <a:t>E-mail </a:t>
          </a:r>
        </a:p>
        <a:p>
          <a:pPr algn="ctr"/>
          <a:r>
            <a:rPr lang="pt-BR" sz="1000" b="1">
              <a:solidFill>
                <a:sysClr val="windowText" lastClr="000000"/>
              </a:solidFill>
              <a:latin typeface="Comic Sans MS" pitchFamily="66" charset="0"/>
            </a:rPr>
            <a:t>LAPI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390525</xdr:colOff>
      <xdr:row>3</xdr:row>
      <xdr:rowOff>28576</xdr:rowOff>
    </xdr:from>
    <xdr:ext cx="6096000" cy="4000500"/>
    <xdr:sp macro="" textlink="">
      <xdr:nvSpPr>
        <xdr:cNvPr id="4" name="CaixaDeTexto 3"/>
        <xdr:cNvSpPr txBox="1"/>
      </xdr:nvSpPr>
      <xdr:spPr>
        <a:xfrm>
          <a:off x="390525" y="514351"/>
          <a:ext cx="6096000" cy="40005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accent6">
              <a:lumMod val="75000"/>
            </a:schemeClr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 algn="l">
            <a:lnSpc>
              <a:spcPts val="1200"/>
            </a:lnSpc>
          </a:pPr>
          <a:r>
            <a:rPr lang="pt-BR" sz="1000"/>
            <a:t>Esta planilha</a:t>
          </a:r>
          <a:r>
            <a:rPr lang="pt-BR" sz="1000" baseline="0"/>
            <a:t> interativa, desenvolvida pela equipe do LANPOP, possui o intuito de ajudar o usuário a calcular e estimar o estado nutricional de idosos com 60 anos ou mais. </a:t>
          </a:r>
        </a:p>
        <a:p>
          <a:pPr algn="l">
            <a:lnSpc>
              <a:spcPts val="1200"/>
            </a:lnSpc>
          </a:pPr>
          <a:endParaRPr lang="pt-BR" sz="1000" baseline="0"/>
        </a:p>
        <a:p>
          <a:pPr algn="l">
            <a:lnSpc>
              <a:spcPts val="1200"/>
            </a:lnSpc>
          </a:pPr>
          <a:r>
            <a:rPr lang="pt-BR" sz="1000" baseline="0"/>
            <a:t>A estimativa do estado nutricional é realizada a partir da aferição de medidas como: altura, peso, altura joelho, circunferência da panturrilha, prega cutanêa tricipital, circunferência do braço, prega cutanêa subescapular, altura estimada, peso estimado, cirfunferência muscular do braço. </a:t>
          </a:r>
        </a:p>
        <a:p>
          <a:pPr algn="l">
            <a:lnSpc>
              <a:spcPts val="1200"/>
            </a:lnSpc>
          </a:pPr>
          <a:endParaRPr lang="pt-BR" sz="1000" baseline="0"/>
        </a:p>
        <a:p>
          <a:pPr algn="l">
            <a:lnSpc>
              <a:spcPts val="1200"/>
            </a:lnSpc>
          </a:pPr>
          <a:r>
            <a:rPr lang="pt-BR" sz="1000" baseline="0"/>
            <a:t>O estado nutricional é caracterizado como uma característica individual ou populacional que possui um grande dinamismo. O estado nutricional resulta do balanço entre ingestão e a perda de nutrientes, leva em conta a ingestão, absorção, utilização e excreção desses nutrientes. Para tanto, neste material foi utilizado para classificar o estado nutricional os indicadores de IMC OPAS, 2001 e IMC MS. </a:t>
          </a:r>
        </a:p>
        <a:p>
          <a:pPr algn="l">
            <a:lnSpc>
              <a:spcPts val="1200"/>
            </a:lnSpc>
          </a:pPr>
          <a:endParaRPr lang="pt-BR" sz="1000" baseline="0"/>
        </a:p>
        <a:p>
          <a:pPr algn="l">
            <a:lnSpc>
              <a:spcPts val="1300"/>
            </a:lnSpc>
          </a:pPr>
          <a:r>
            <a:rPr lang="pt-BR" sz="1000" baseline="0"/>
            <a:t>Neste material, a avaliação do estado nutricional de idosos com 60 anos ou mais foi realizado conforme o grau de mobilidade destas pessoas. Para idosos os que não conseguem ou não podem ficar em pé é calculado o IMC estimado, que é baseado na estimativa de peso e altura calculado através das formúlas de estimativa, segundo Chumlea et al (1988)⁶. Já nos  idosos que são capazes de se levantar é calculado o IMC real, baseado em peso e altura aferidos. </a:t>
          </a:r>
        </a:p>
        <a:p>
          <a:pPr algn="l">
            <a:lnSpc>
              <a:spcPts val="1200"/>
            </a:lnSpc>
          </a:pPr>
          <a:endParaRPr lang="pt-BR" sz="1000" baseline="0"/>
        </a:p>
        <a:p>
          <a:pPr algn="l"/>
          <a:r>
            <a:rPr lang="pt-BR" sz="1000" baseline="0"/>
            <a:t>Neste material de apoio você ainda encontrará explicações das técnicas antropométricas utilizadas e dos cálculos realizados para determinar o estado nutricional. </a:t>
          </a:r>
          <a:endParaRPr lang="pt-BR" sz="1000"/>
        </a:p>
      </xdr:txBody>
    </xdr:sp>
    <xdr:clientData/>
  </xdr:oneCellAnchor>
  <xdr:twoCellAnchor>
    <xdr:from>
      <xdr:col>11</xdr:col>
      <xdr:colOff>314324</xdr:colOff>
      <xdr:row>2</xdr:row>
      <xdr:rowOff>38100</xdr:rowOff>
    </xdr:from>
    <xdr:to>
      <xdr:col>14</xdr:col>
      <xdr:colOff>180975</xdr:colOff>
      <xdr:row>11</xdr:row>
      <xdr:rowOff>142875</xdr:rowOff>
    </xdr:to>
    <xdr:sp macro="" textlink="">
      <xdr:nvSpPr>
        <xdr:cNvPr id="3" name="Elipse 2">
          <a:hlinkClick xmlns:r="http://schemas.openxmlformats.org/officeDocument/2006/relationships" r:id="rId1"/>
        </xdr:cNvPr>
        <xdr:cNvSpPr/>
      </xdr:nvSpPr>
      <xdr:spPr>
        <a:xfrm>
          <a:off x="6410324" y="361950"/>
          <a:ext cx="1695451" cy="1562100"/>
        </a:xfrm>
        <a:prstGeom prst="ellipse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Compreenda o</a:t>
          </a:r>
          <a:r>
            <a:rPr lang="pt-BR" sz="1200" b="1" baseline="0"/>
            <a:t> </a:t>
          </a:r>
          <a:r>
            <a:rPr lang="pt-BR" sz="1400" b="1" baseline="0"/>
            <a:t>estado</a:t>
          </a:r>
          <a:r>
            <a:rPr lang="pt-BR" sz="1200" b="1" baseline="0"/>
            <a:t> nutricional </a:t>
          </a:r>
          <a:endParaRPr lang="pt-BR" sz="2000" b="1"/>
        </a:p>
      </xdr:txBody>
    </xdr:sp>
    <xdr:clientData/>
  </xdr:twoCellAnchor>
  <xdr:twoCellAnchor>
    <xdr:from>
      <xdr:col>11</xdr:col>
      <xdr:colOff>571500</xdr:colOff>
      <xdr:row>24</xdr:row>
      <xdr:rowOff>76200</xdr:rowOff>
    </xdr:from>
    <xdr:to>
      <xdr:col>12</xdr:col>
      <xdr:colOff>371475</xdr:colOff>
      <xdr:row>27</xdr:row>
      <xdr:rowOff>19050</xdr:rowOff>
    </xdr:to>
    <xdr:sp macro="" textlink="">
      <xdr:nvSpPr>
        <xdr:cNvPr id="5" name="Seta para a esquerda 4">
          <a:hlinkClick xmlns:r="http://schemas.openxmlformats.org/officeDocument/2006/relationships" r:id="rId2"/>
        </xdr:cNvPr>
        <xdr:cNvSpPr/>
      </xdr:nvSpPr>
      <xdr:spPr>
        <a:xfrm>
          <a:off x="6667500" y="3962400"/>
          <a:ext cx="409575" cy="428625"/>
        </a:xfrm>
        <a:prstGeom prst="lef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 editAs="oneCell">
    <xdr:from>
      <xdr:col>0</xdr:col>
      <xdr:colOff>85725</xdr:colOff>
      <xdr:row>0</xdr:row>
      <xdr:rowOff>57150</xdr:rowOff>
    </xdr:from>
    <xdr:to>
      <xdr:col>0</xdr:col>
      <xdr:colOff>514350</xdr:colOff>
      <xdr:row>3</xdr:row>
      <xdr:rowOff>0</xdr:rowOff>
    </xdr:to>
    <xdr:pic>
      <xdr:nvPicPr>
        <xdr:cNvPr id="6" name="Picture 57" descr="C:\Users\Natália\AppData\Local\Microsoft\Windows\Temporary Internet Files\Content.IE5\3WYPPG2D\MC900442122[1].pn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85725" y="57150"/>
          <a:ext cx="4286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133349</xdr:colOff>
      <xdr:row>10</xdr:row>
      <xdr:rowOff>0</xdr:rowOff>
    </xdr:from>
    <xdr:to>
      <xdr:col>13</xdr:col>
      <xdr:colOff>531160</xdr:colOff>
      <xdr:row>12</xdr:row>
      <xdr:rowOff>79675</xdr:rowOff>
    </xdr:to>
    <xdr:pic>
      <xdr:nvPicPr>
        <xdr:cNvPr id="7" name="Picture 240" descr="C:\Users\Lanpop\AppData\Local\Microsoft\Windows\Temporary Internet Files\Content.IE5\IG3JVR2O\MC900434828[1]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49" y="1619250"/>
          <a:ext cx="397811" cy="40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314326</xdr:colOff>
      <xdr:row>7</xdr:row>
      <xdr:rowOff>133351</xdr:rowOff>
    </xdr:from>
    <xdr:to>
      <xdr:col>11</xdr:col>
      <xdr:colOff>438150</xdr:colOff>
      <xdr:row>13</xdr:row>
      <xdr:rowOff>38101</xdr:rowOff>
    </xdr:to>
    <xdr:graphicFrame macro="">
      <xdr:nvGraphicFramePr>
        <xdr:cNvPr id="10" name="Diagrama 9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3</xdr:col>
      <xdr:colOff>419100</xdr:colOff>
      <xdr:row>1</xdr:row>
      <xdr:rowOff>66675</xdr:rowOff>
    </xdr:from>
    <xdr:to>
      <xdr:col>6</xdr:col>
      <xdr:colOff>314325</xdr:colOff>
      <xdr:row>5</xdr:row>
      <xdr:rowOff>142875</xdr:rowOff>
    </xdr:to>
    <xdr:sp macro="" textlink="">
      <xdr:nvSpPr>
        <xdr:cNvPr id="12" name="Retângulo de cantos arredondados 11"/>
        <xdr:cNvSpPr/>
      </xdr:nvSpPr>
      <xdr:spPr bwMode="auto">
        <a:xfrm>
          <a:off x="2247900" y="228600"/>
          <a:ext cx="1724025" cy="723900"/>
        </a:xfrm>
        <a:prstGeom prst="roundRect">
          <a:avLst/>
        </a:prstGeom>
        <a:solidFill>
          <a:schemeClr val="bg1">
            <a:lumMod val="8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800">
              <a:latin typeface="Comic Sans MS" pitchFamily="66" charset="0"/>
              <a:ea typeface="+mn-ea"/>
              <a:cs typeface="+mn-cs"/>
            </a:rPr>
            <a:t>Neste ícone o usuário terá contato com uma explicação detalhada da planilha e de como utilizá-la.</a:t>
          </a:r>
          <a:endParaRPr lang="pt-BR" sz="800">
            <a:latin typeface="Comic Sans MS" pitchFamily="66" charset="0"/>
          </a:endParaRPr>
        </a:p>
      </xdr:txBody>
    </xdr:sp>
    <xdr:clientData/>
  </xdr:twoCellAnchor>
  <xdr:twoCellAnchor>
    <xdr:from>
      <xdr:col>9</xdr:col>
      <xdr:colOff>76200</xdr:colOff>
      <xdr:row>16</xdr:row>
      <xdr:rowOff>133350</xdr:rowOff>
    </xdr:from>
    <xdr:to>
      <xdr:col>13</xdr:col>
      <xdr:colOff>152399</xdr:colOff>
      <xdr:row>25</xdr:row>
      <xdr:rowOff>28575</xdr:rowOff>
    </xdr:to>
    <xdr:sp macro="" textlink="">
      <xdr:nvSpPr>
        <xdr:cNvPr id="13" name="Retângulo de cantos arredondados 12"/>
        <xdr:cNvSpPr/>
      </xdr:nvSpPr>
      <xdr:spPr bwMode="auto">
        <a:xfrm>
          <a:off x="5562600" y="2724150"/>
          <a:ext cx="2514599" cy="1352550"/>
        </a:xfrm>
        <a:prstGeom prst="roundRect">
          <a:avLst/>
        </a:prstGeom>
        <a:solidFill>
          <a:schemeClr val="bg1">
            <a:lumMod val="8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0" tIns="0" rIns="0" bIns="0" rtlCol="0" anchor="ctr" upright="1"/>
        <a:lstStyle/>
        <a:p>
          <a:pPr lvl="0" algn="ctr"/>
          <a:r>
            <a:rPr lang="pt-BR" sz="800">
              <a:latin typeface="Comic Sans MS" pitchFamily="66" charset="0"/>
              <a:ea typeface="+mn-ea"/>
              <a:cs typeface="+mn-cs"/>
            </a:rPr>
            <a:t>Esta janela fornecerá ao usuário o endereço do LANPOP e</a:t>
          </a:r>
          <a:r>
            <a:rPr lang="pt-BR" sz="800" baseline="0">
              <a:latin typeface="Comic Sans MS" pitchFamily="66" charset="0"/>
              <a:ea typeface="+mn-ea"/>
              <a:cs typeface="+mn-cs"/>
            </a:rPr>
            <a:t> do LAPI </a:t>
          </a:r>
          <a:r>
            <a:rPr lang="pt-BR" sz="800">
              <a:latin typeface="Comic Sans MS" pitchFamily="66" charset="0"/>
              <a:ea typeface="+mn-ea"/>
              <a:cs typeface="+mn-cs"/>
            </a:rPr>
            <a:t>, além da página eletrônica e do e-mail,  destes laboratórios  através do qual ele poderá entrar em contato conosco para eventuais esclarecimentos. </a:t>
          </a:r>
        </a:p>
        <a:p>
          <a:pPr lvl="0" algn="ctr"/>
          <a:r>
            <a:rPr lang="pt-BR" sz="800">
              <a:latin typeface="Comic Sans MS" pitchFamily="66" charset="0"/>
              <a:ea typeface="+mn-ea"/>
              <a:cs typeface="+mn-cs"/>
            </a:rPr>
            <a:t>Aqui também são apresentados os créditos  </a:t>
          </a:r>
          <a:r>
            <a:rPr lang="pt-BR" sz="800" baseline="0">
              <a:latin typeface="Comic Sans MS" pitchFamily="66" charset="0"/>
              <a:ea typeface="+mn-ea"/>
              <a:cs typeface="+mn-cs"/>
            </a:rPr>
            <a:t>à equipe que desenvolveu este material.</a:t>
          </a:r>
          <a:endParaRPr lang="pt-BR" sz="800">
            <a:latin typeface="Comic Sans MS" pitchFamily="66" charset="0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514350</xdr:colOff>
      <xdr:row>13</xdr:row>
      <xdr:rowOff>9525</xdr:rowOff>
    </xdr:from>
    <xdr:to>
      <xdr:col>4</xdr:col>
      <xdr:colOff>57150</xdr:colOff>
      <xdr:row>19</xdr:row>
      <xdr:rowOff>66675</xdr:rowOff>
    </xdr:to>
    <xdr:sp macro="" textlink="">
      <xdr:nvSpPr>
        <xdr:cNvPr id="15" name="Retângulo de cantos arredondados 14"/>
        <xdr:cNvSpPr/>
      </xdr:nvSpPr>
      <xdr:spPr bwMode="auto">
        <a:xfrm>
          <a:off x="514350" y="2114550"/>
          <a:ext cx="1981200" cy="1028700"/>
        </a:xfrm>
        <a:prstGeom prst="roundRect">
          <a:avLst/>
        </a:prstGeom>
        <a:solidFill>
          <a:schemeClr val="bg1">
            <a:lumMod val="8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800">
              <a:latin typeface="Comic Sans MS" pitchFamily="66" charset="0"/>
              <a:ea typeface="+mn-ea"/>
              <a:cs typeface="+mn-cs"/>
            </a:rPr>
            <a:t>Neste ícone serão apresentadas as técnicas</a:t>
          </a:r>
          <a:r>
            <a:rPr lang="pt-BR" sz="800" baseline="0">
              <a:latin typeface="Comic Sans MS" pitchFamily="66" charset="0"/>
              <a:ea typeface="+mn-ea"/>
              <a:cs typeface="+mn-cs"/>
            </a:rPr>
            <a:t> antropométricas utilizadas.</a:t>
          </a:r>
          <a:r>
            <a:rPr lang="pt-BR" sz="800">
              <a:latin typeface="Comic Sans MS" pitchFamily="66" charset="0"/>
              <a:ea typeface="+mn-ea"/>
              <a:cs typeface="+mn-cs"/>
            </a:rPr>
            <a:t> O usuário pode</a:t>
          </a:r>
          <a:r>
            <a:rPr lang="pt-BR" sz="800" baseline="0">
              <a:latin typeface="Comic Sans MS" pitchFamily="66" charset="0"/>
              <a:ea typeface="+mn-ea"/>
              <a:cs typeface="+mn-cs"/>
            </a:rPr>
            <a:t> ser direcionado  ao</a:t>
          </a:r>
          <a:r>
            <a:rPr lang="pt-BR" sz="800">
              <a:latin typeface="Comic Sans MS" pitchFamily="66" charset="0"/>
              <a:ea typeface="+mn-ea"/>
              <a:cs typeface="+mn-cs"/>
            </a:rPr>
            <a:t> </a:t>
          </a:r>
          <a:r>
            <a:rPr lang="pt-BR" sz="800" i="1">
              <a:latin typeface="Comic Sans MS" pitchFamily="66" charset="0"/>
              <a:ea typeface="+mn-ea"/>
              <a:cs typeface="+mn-cs"/>
            </a:rPr>
            <a:t>website</a:t>
          </a:r>
          <a:r>
            <a:rPr lang="pt-BR" sz="800">
              <a:latin typeface="Comic Sans MS" pitchFamily="66" charset="0"/>
              <a:ea typeface="+mn-ea"/>
              <a:cs typeface="+mn-cs"/>
            </a:rPr>
            <a:t> do LANPOP, onde poderá</a:t>
          </a:r>
          <a:r>
            <a:rPr lang="pt-BR" sz="800" baseline="0">
              <a:latin typeface="Comic Sans MS" pitchFamily="66" charset="0"/>
              <a:ea typeface="+mn-ea"/>
              <a:cs typeface="+mn-cs"/>
            </a:rPr>
            <a:t> acessar o </a:t>
          </a:r>
          <a:r>
            <a:rPr lang="pt-BR" sz="800">
              <a:latin typeface="Comic Sans MS" pitchFamily="66" charset="0"/>
              <a:ea typeface="+mn-ea"/>
              <a:cs typeface="+mn-cs"/>
            </a:rPr>
            <a:t>Manual de Práticas Antropométricas e outros materiais.</a:t>
          </a:r>
          <a:endParaRPr lang="pt-BR" sz="800">
            <a:latin typeface="Comic Sans MS" pitchFamily="66" charset="0"/>
          </a:endParaRPr>
        </a:p>
      </xdr:txBody>
    </xdr:sp>
    <xdr:clientData/>
  </xdr:twoCellAnchor>
  <xdr:twoCellAnchor>
    <xdr:from>
      <xdr:col>9</xdr:col>
      <xdr:colOff>533400</xdr:colOff>
      <xdr:row>13</xdr:row>
      <xdr:rowOff>85725</xdr:rowOff>
    </xdr:from>
    <xdr:to>
      <xdr:col>10</xdr:col>
      <xdr:colOff>209550</xdr:colOff>
      <xdr:row>16</xdr:row>
      <xdr:rowOff>133350</xdr:rowOff>
    </xdr:to>
    <xdr:cxnSp macro="">
      <xdr:nvCxnSpPr>
        <xdr:cNvPr id="17" name="Conector angulado 16"/>
        <xdr:cNvCxnSpPr/>
      </xdr:nvCxnSpPr>
      <xdr:spPr>
        <a:xfrm rot="16200000" flipH="1">
          <a:off x="5895975" y="2314575"/>
          <a:ext cx="533400" cy="28575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76200</xdr:colOff>
      <xdr:row>13</xdr:row>
      <xdr:rowOff>104775</xdr:rowOff>
    </xdr:from>
    <xdr:to>
      <xdr:col>5</xdr:col>
      <xdr:colOff>38100</xdr:colOff>
      <xdr:row>15</xdr:row>
      <xdr:rowOff>66675</xdr:rowOff>
    </xdr:to>
    <xdr:cxnSp macro="">
      <xdr:nvCxnSpPr>
        <xdr:cNvPr id="20" name="Conector angulado 19"/>
        <xdr:cNvCxnSpPr/>
      </xdr:nvCxnSpPr>
      <xdr:spPr>
        <a:xfrm rot="10800000" flipV="1">
          <a:off x="2514600" y="2209800"/>
          <a:ext cx="571500" cy="285750"/>
        </a:xfrm>
        <a:prstGeom prst="bentConnector3">
          <a:avLst/>
        </a:prstGeom>
        <a:ln>
          <a:tailEnd type="arrow"/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66675</xdr:colOff>
      <xdr:row>5</xdr:row>
      <xdr:rowOff>114300</xdr:rowOff>
    </xdr:from>
    <xdr:to>
      <xdr:col>5</xdr:col>
      <xdr:colOff>104775</xdr:colOff>
      <xdr:row>7</xdr:row>
      <xdr:rowOff>114300</xdr:rowOff>
    </xdr:to>
    <xdr:cxnSp macro="">
      <xdr:nvCxnSpPr>
        <xdr:cNvPr id="22" name="Conector de seta reta 21"/>
        <xdr:cNvCxnSpPr/>
      </xdr:nvCxnSpPr>
      <xdr:spPr>
        <a:xfrm flipH="1" flipV="1">
          <a:off x="3114675" y="923925"/>
          <a:ext cx="38100" cy="323850"/>
        </a:xfrm>
        <a:prstGeom prst="straightConnector1">
          <a:avLst/>
        </a:prstGeom>
        <a:ln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7</xdr:col>
      <xdr:colOff>47625</xdr:colOff>
      <xdr:row>13</xdr:row>
      <xdr:rowOff>95250</xdr:rowOff>
    </xdr:from>
    <xdr:to>
      <xdr:col>7</xdr:col>
      <xdr:colOff>276225</xdr:colOff>
      <xdr:row>15</xdr:row>
      <xdr:rowOff>76200</xdr:rowOff>
    </xdr:to>
    <xdr:cxnSp macro="">
      <xdr:nvCxnSpPr>
        <xdr:cNvPr id="26" name="Conector de seta reta 25"/>
        <xdr:cNvCxnSpPr/>
      </xdr:nvCxnSpPr>
      <xdr:spPr>
        <a:xfrm flipH="1">
          <a:off x="4314825" y="2200275"/>
          <a:ext cx="228600" cy="304800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161925</xdr:colOff>
      <xdr:row>15</xdr:row>
      <xdr:rowOff>95250</xdr:rowOff>
    </xdr:from>
    <xdr:to>
      <xdr:col>8</xdr:col>
      <xdr:colOff>276225</xdr:colOff>
      <xdr:row>19</xdr:row>
      <xdr:rowOff>19050</xdr:rowOff>
    </xdr:to>
    <xdr:sp macro="" textlink="">
      <xdr:nvSpPr>
        <xdr:cNvPr id="28" name="Retângulo de cantos arredondados 27"/>
        <xdr:cNvSpPr/>
      </xdr:nvSpPr>
      <xdr:spPr bwMode="auto">
        <a:xfrm>
          <a:off x="3209925" y="2524125"/>
          <a:ext cx="1943100" cy="571500"/>
        </a:xfrm>
        <a:prstGeom prst="roundRect">
          <a:avLst/>
        </a:prstGeom>
        <a:solidFill>
          <a:schemeClr val="bg1">
            <a:lumMod val="8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800">
              <a:latin typeface="Comic Sans MS" pitchFamily="66" charset="0"/>
              <a:ea typeface="+mn-ea"/>
              <a:cs typeface="+mn-cs"/>
            </a:rPr>
            <a:t>Neste ícone o usuário terá contato com as</a:t>
          </a:r>
          <a:r>
            <a:rPr lang="pt-BR" sz="800" baseline="0">
              <a:latin typeface="Comic Sans MS" pitchFamily="66" charset="0"/>
              <a:ea typeface="+mn-ea"/>
              <a:cs typeface="+mn-cs"/>
            </a:rPr>
            <a:t> referências utilizadas para a elaboração desse material. </a:t>
          </a:r>
          <a:endParaRPr lang="pt-BR" sz="800">
            <a:latin typeface="Comic Sans MS" pitchFamily="66" charset="0"/>
          </a:endParaRPr>
        </a:p>
      </xdr:txBody>
    </xdr:sp>
    <xdr:clientData/>
  </xdr:twoCellAnchor>
  <xdr:twoCellAnchor>
    <xdr:from>
      <xdr:col>7</xdr:col>
      <xdr:colOff>447676</xdr:colOff>
      <xdr:row>5</xdr:row>
      <xdr:rowOff>38100</xdr:rowOff>
    </xdr:from>
    <xdr:to>
      <xdr:col>7</xdr:col>
      <xdr:colOff>581028</xdr:colOff>
      <xdr:row>7</xdr:row>
      <xdr:rowOff>114301</xdr:rowOff>
    </xdr:to>
    <xdr:cxnSp macro="">
      <xdr:nvCxnSpPr>
        <xdr:cNvPr id="30" name="Conector angulado 29"/>
        <xdr:cNvCxnSpPr/>
      </xdr:nvCxnSpPr>
      <xdr:spPr>
        <a:xfrm rot="16200000" flipV="1">
          <a:off x="4581526" y="981075"/>
          <a:ext cx="400051" cy="133352"/>
        </a:xfrm>
        <a:prstGeom prst="bentConnector3">
          <a:avLst>
            <a:gd name="adj1" fmla="val 50000"/>
          </a:avLst>
        </a:prstGeom>
        <a:ln>
          <a:solidFill>
            <a:srgbClr val="FFFF00"/>
          </a:solidFill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161926</xdr:colOff>
      <xdr:row>0</xdr:row>
      <xdr:rowOff>95250</xdr:rowOff>
    </xdr:from>
    <xdr:to>
      <xdr:col>10</xdr:col>
      <xdr:colOff>600076</xdr:colOff>
      <xdr:row>5</xdr:row>
      <xdr:rowOff>66675</xdr:rowOff>
    </xdr:to>
    <xdr:sp macro="" textlink="">
      <xdr:nvSpPr>
        <xdr:cNvPr id="32" name="Retângulo de cantos arredondados 31"/>
        <xdr:cNvSpPr/>
      </xdr:nvSpPr>
      <xdr:spPr bwMode="auto">
        <a:xfrm>
          <a:off x="4429126" y="95250"/>
          <a:ext cx="2266950" cy="781050"/>
        </a:xfrm>
        <a:prstGeom prst="roundRect">
          <a:avLst/>
        </a:prstGeom>
        <a:solidFill>
          <a:schemeClr val="bg1">
            <a:lumMod val="8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800">
              <a:latin typeface="Comic Sans MS" pitchFamily="66" charset="0"/>
              <a:ea typeface="+mn-ea"/>
              <a:cs typeface="+mn-cs"/>
            </a:rPr>
            <a:t>Este</a:t>
          </a:r>
          <a:r>
            <a:rPr lang="pt-BR" sz="800" baseline="0">
              <a:latin typeface="Comic Sans MS" pitchFamily="66" charset="0"/>
              <a:ea typeface="+mn-ea"/>
              <a:cs typeface="+mn-cs"/>
            </a:rPr>
            <a:t> icone direciona o usuário as explicações dos cálculos usados para estimar o estado nutricional, bem como para as classificações da OPAS 2001 e do MS</a:t>
          </a:r>
          <a:endParaRPr lang="pt-BR" sz="800">
            <a:latin typeface="Comic Sans MS" pitchFamily="66" charset="0"/>
          </a:endParaRPr>
        </a:p>
      </xdr:txBody>
    </xdr:sp>
    <xdr:clientData/>
  </xdr:twoCellAnchor>
  <xdr:twoCellAnchor>
    <xdr:from>
      <xdr:col>10</xdr:col>
      <xdr:colOff>447675</xdr:colOff>
      <xdr:row>7</xdr:row>
      <xdr:rowOff>123825</xdr:rowOff>
    </xdr:from>
    <xdr:to>
      <xdr:col>11</xdr:col>
      <xdr:colOff>238125</xdr:colOff>
      <xdr:row>9</xdr:row>
      <xdr:rowOff>9526</xdr:rowOff>
    </xdr:to>
    <xdr:cxnSp macro="">
      <xdr:nvCxnSpPr>
        <xdr:cNvPr id="42" name="Conector angulado 41"/>
        <xdr:cNvCxnSpPr/>
      </xdr:nvCxnSpPr>
      <xdr:spPr>
        <a:xfrm flipV="1">
          <a:off x="6543675" y="1257300"/>
          <a:ext cx="400050" cy="209551"/>
        </a:xfrm>
        <a:prstGeom prst="bentConnector3">
          <a:avLst>
            <a:gd name="adj1" fmla="val 50000"/>
          </a:avLst>
        </a:prstGeom>
        <a:ln>
          <a:solidFill>
            <a:schemeClr val="bg2">
              <a:lumMod val="50000"/>
            </a:schemeClr>
          </a:solidFill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238125</xdr:colOff>
      <xdr:row>1</xdr:row>
      <xdr:rowOff>57151</xdr:rowOff>
    </xdr:from>
    <xdr:to>
      <xdr:col>15</xdr:col>
      <xdr:colOff>123825</xdr:colOff>
      <xdr:row>13</xdr:row>
      <xdr:rowOff>152401</xdr:rowOff>
    </xdr:to>
    <xdr:sp macro="" textlink="">
      <xdr:nvSpPr>
        <xdr:cNvPr id="46" name="Retângulo de cantos arredondados 45"/>
        <xdr:cNvSpPr/>
      </xdr:nvSpPr>
      <xdr:spPr bwMode="auto">
        <a:xfrm>
          <a:off x="6943725" y="219076"/>
          <a:ext cx="2324100" cy="2038350"/>
        </a:xfrm>
        <a:prstGeom prst="roundRect">
          <a:avLst/>
        </a:prstGeom>
        <a:solidFill>
          <a:schemeClr val="bg1">
            <a:lumMod val="8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lvl="0" algn="ctr"/>
          <a:r>
            <a:rPr lang="pt-BR" sz="800">
              <a:latin typeface="Comic Sans MS" pitchFamily="66" charset="0"/>
              <a:ea typeface="+mn-ea"/>
              <a:cs typeface="+mn-cs"/>
            </a:rPr>
            <a:t>Neste ícone o usuário é direcionado a uma página explicando como inserir os dados coletados. Após ler as recomendações, ele deve clicar em </a:t>
          </a:r>
          <a:r>
            <a:rPr lang="pt-BR" sz="800" u="sng">
              <a:latin typeface="Comic Sans MS" pitchFamily="66" charset="0"/>
              <a:ea typeface="+mn-ea"/>
              <a:cs typeface="+mn-cs"/>
            </a:rPr>
            <a:t>iniciar</a:t>
          </a:r>
          <a:r>
            <a:rPr lang="pt-BR" sz="800">
              <a:latin typeface="Comic Sans MS" pitchFamily="66" charset="0"/>
              <a:ea typeface="+mn-ea"/>
              <a:cs typeface="+mn-cs"/>
            </a:rPr>
            <a:t> será direcionado a uma planilha na qual os dados devem ser inseridos.  O</a:t>
          </a:r>
          <a:r>
            <a:rPr lang="pt-BR" sz="800" baseline="0">
              <a:latin typeface="Comic Sans MS" pitchFamily="66" charset="0"/>
              <a:ea typeface="+mn-ea"/>
              <a:cs typeface="+mn-cs"/>
            </a:rPr>
            <a:t> usuário deve estar atento para inserir as medidas do campo correto, de acordo com o nome do voluntário. </a:t>
          </a:r>
          <a:r>
            <a:rPr lang="pt-BR" sz="800">
              <a:latin typeface="Comic Sans MS" pitchFamily="66" charset="0"/>
              <a:ea typeface="+mn-ea"/>
              <a:cs typeface="+mn-cs"/>
            </a:rPr>
            <a:t>É importante atentar para a unidade de medida das variáveis coletadas. Recomenda-se utilizar apenas uma casa decimal. </a:t>
          </a:r>
        </a:p>
      </xdr:txBody>
    </xdr:sp>
    <xdr:clientData/>
  </xdr:twoCellAnchor>
  <xdr:twoCellAnchor>
    <xdr:from>
      <xdr:col>0</xdr:col>
      <xdr:colOff>352425</xdr:colOff>
      <xdr:row>20</xdr:row>
      <xdr:rowOff>66675</xdr:rowOff>
    </xdr:from>
    <xdr:to>
      <xdr:col>1</xdr:col>
      <xdr:colOff>152400</xdr:colOff>
      <xdr:row>22</xdr:row>
      <xdr:rowOff>104775</xdr:rowOff>
    </xdr:to>
    <xdr:sp macro="" textlink="">
      <xdr:nvSpPr>
        <xdr:cNvPr id="47" name="Seta para a esquerda 46">
          <a:hlinkClick xmlns:r="http://schemas.openxmlformats.org/officeDocument/2006/relationships" r:id="rId6"/>
        </xdr:cNvPr>
        <xdr:cNvSpPr/>
      </xdr:nvSpPr>
      <xdr:spPr>
        <a:xfrm>
          <a:off x="352425" y="3305175"/>
          <a:ext cx="409575" cy="361950"/>
        </a:xfrm>
        <a:prstGeom prst="lef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0</xdr:col>
      <xdr:colOff>542925</xdr:colOff>
      <xdr:row>3</xdr:row>
      <xdr:rowOff>85725</xdr:rowOff>
    </xdr:from>
    <xdr:to>
      <xdr:col>2</xdr:col>
      <xdr:colOff>571500</xdr:colOff>
      <xdr:row>10</xdr:row>
      <xdr:rowOff>133350</xdr:rowOff>
    </xdr:to>
    <xdr:sp macro="" textlink="">
      <xdr:nvSpPr>
        <xdr:cNvPr id="48" name="Elipse 47">
          <a:hlinkClick xmlns:r="http://schemas.openxmlformats.org/officeDocument/2006/relationships" r:id="rId7"/>
        </xdr:cNvPr>
        <xdr:cNvSpPr/>
      </xdr:nvSpPr>
      <xdr:spPr>
        <a:xfrm>
          <a:off x="542925" y="571500"/>
          <a:ext cx="1247775" cy="1181100"/>
        </a:xfrm>
        <a:prstGeom prst="ellipse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lnSpc>
              <a:spcPts val="1400"/>
            </a:lnSpc>
          </a:pPr>
          <a:r>
            <a:rPr lang="pt-BR" sz="1100" baseline="0"/>
            <a:t>Uso deste material de apoio </a:t>
          </a:r>
          <a:endParaRPr lang="pt-BR" sz="1100"/>
        </a:p>
      </xdr:txBody>
    </xdr:sp>
    <xdr:clientData/>
  </xdr:twoCellAnchor>
  <xdr:twoCellAnchor editAs="oneCell">
    <xdr:from>
      <xdr:col>0</xdr:col>
      <xdr:colOff>114300</xdr:colOff>
      <xdr:row>0</xdr:row>
      <xdr:rowOff>85725</xdr:rowOff>
    </xdr:from>
    <xdr:to>
      <xdr:col>0</xdr:col>
      <xdr:colOff>600075</xdr:colOff>
      <xdr:row>3</xdr:row>
      <xdr:rowOff>85725</xdr:rowOff>
    </xdr:to>
    <xdr:pic>
      <xdr:nvPicPr>
        <xdr:cNvPr id="18" name="Picture 57" descr="C:\Users\Natália\AppData\Local\Microsoft\Windows\Temporary Internet Files\Content.IE5\3WYPPG2D\MC900442122[1].png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14300" y="85725"/>
          <a:ext cx="4857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7</xdr:row>
      <xdr:rowOff>9525</xdr:rowOff>
    </xdr:from>
    <xdr:to>
      <xdr:col>1</xdr:col>
      <xdr:colOff>178736</xdr:colOff>
      <xdr:row>9</xdr:row>
      <xdr:rowOff>89200</xdr:rowOff>
    </xdr:to>
    <xdr:pic>
      <xdr:nvPicPr>
        <xdr:cNvPr id="19" name="Picture 240" descr="C:\Users\Lanpop\AppData\Local\Microsoft\Windows\Temporary Internet Files\Content.IE5\IG3JVR2O\MC900434828[1]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90525" y="1143000"/>
          <a:ext cx="397811" cy="40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1</xdr:row>
      <xdr:rowOff>142875</xdr:rowOff>
    </xdr:from>
    <xdr:to>
      <xdr:col>13</xdr:col>
      <xdr:colOff>85725</xdr:colOff>
      <xdr:row>22</xdr:row>
      <xdr:rowOff>95250</xdr:rowOff>
    </xdr:to>
    <xdr:sp macro="" textlink="">
      <xdr:nvSpPr>
        <xdr:cNvPr id="3" name="CaixaDeTexto 2"/>
        <xdr:cNvSpPr txBox="1"/>
      </xdr:nvSpPr>
      <xdr:spPr>
        <a:xfrm>
          <a:off x="485775" y="304800"/>
          <a:ext cx="7524750" cy="3352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300"/>
            </a:lnSpc>
          </a:pPr>
          <a:r>
            <a:rPr lang="pt-BR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Estimativa do peso: Chumlea et al. (1988)⁶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				</a:t>
          </a:r>
        </a:p>
        <a:p>
          <a:pPr>
            <a:lnSpc>
              <a:spcPts val="1300"/>
            </a:lnSpc>
          </a:pP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>
            <a:lnSpc>
              <a:spcPts val="1300"/>
            </a:lnSpc>
          </a:pPr>
          <a:r>
            <a:rPr lang="pt-BR" sz="110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Homem</a:t>
          </a:r>
          <a:r>
            <a:rPr lang="pt-BR" sz="110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: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 (kg)= [0,98 x CP(cm)] + [1,16 x AJ (cm)] + [1,73 x CB (cm)] + [ 0,37 x PCSE (mm)]-81,69</a:t>
          </a:r>
        </a:p>
        <a:p>
          <a:pPr>
            <a:lnSpc>
              <a:spcPts val="1300"/>
            </a:lnSpc>
          </a:pPr>
          <a:r>
            <a:rPr lang="pt-BR" sz="10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</a:p>
        <a:p>
          <a:pPr>
            <a:lnSpc>
              <a:spcPts val="1300"/>
            </a:lnSpc>
          </a:pPr>
          <a:r>
            <a:rPr lang="pt-BR" sz="1050">
              <a:solidFill>
                <a:schemeClr val="accent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Mulher</a:t>
          </a:r>
          <a:r>
            <a:rPr lang="pt-BR" sz="10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P (kg) = [1,27 x CP (cm)] + [0,87 x AJ (cm)] + [0,98 x CB (cm)] + [0,4 x PCSE </a:t>
          </a:r>
          <a:r>
            <a:rPr lang="pt-BR" sz="105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(mm</a:t>
          </a:r>
          <a:r>
            <a:rPr lang="pt-BR" sz="10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)] – 62,35							</a:t>
          </a:r>
        </a:p>
        <a:p>
          <a:pPr>
            <a:lnSpc>
              <a:spcPts val="1300"/>
            </a:lnSpc>
          </a:pPr>
          <a:r>
            <a:rPr lang="pt-BR" sz="10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Legenda					</a:t>
          </a:r>
        </a:p>
        <a:p>
          <a:pPr>
            <a:lnSpc>
              <a:spcPts val="1300"/>
            </a:lnSpc>
          </a:pPr>
          <a:r>
            <a:rPr lang="pt-BR" sz="10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 = peso, CP = circunferência da panturrilha, AJ = altura do joelho, CB = circunferência do braço, PCSE = prega cutânea subescapular,</a:t>
          </a:r>
        </a:p>
        <a:p>
          <a:pPr>
            <a:lnSpc>
              <a:spcPts val="1300"/>
            </a:lnSpc>
          </a:pP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>
            <a:lnSpc>
              <a:spcPts val="1300"/>
            </a:lnSpc>
          </a:pPr>
          <a:r>
            <a:rPr lang="pt-BR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Estimativa da altura: Chumlea et al.(1985)</a:t>
          </a:r>
          <a:r>
            <a:rPr lang="pt-BR" sz="1100" b="1" i="0" u="sng" strike="noStrike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</a:t>
          </a:r>
          <a:r>
            <a:rPr lang="pt-BR" sz="1100" b="1" u="sng"/>
            <a:t> </a:t>
          </a:r>
        </a:p>
        <a:p>
          <a:pPr>
            <a:lnSpc>
              <a:spcPts val="1300"/>
            </a:lnSpc>
          </a:pPr>
          <a:endParaRPr lang="pt-BR" sz="1050"/>
        </a:p>
        <a:p>
          <a:pPr>
            <a:lnSpc>
              <a:spcPts val="1300"/>
            </a:lnSpc>
          </a:pPr>
          <a:r>
            <a:rPr lang="pt-BR" sz="1050" b="0" i="0" u="none" strike="noStrike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Homem</a:t>
          </a:r>
          <a:r>
            <a:rPr lang="pt-BR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[2,02 x </a:t>
          </a:r>
          <a:r>
            <a:rPr lang="pt-BR" sz="105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altura do joelho</a:t>
          </a:r>
          <a:r>
            <a:rPr lang="pt-BR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] — [0,04 x idade] + 64,19</a:t>
          </a:r>
          <a:r>
            <a:rPr lang="pt-BR" sz="1050"/>
            <a:t> </a:t>
          </a:r>
        </a:p>
        <a:p>
          <a:pPr>
            <a:lnSpc>
              <a:spcPts val="1300"/>
            </a:lnSpc>
          </a:pPr>
          <a:endParaRPr lang="pt-BR" sz="1050"/>
        </a:p>
        <a:p>
          <a:pPr>
            <a:lnSpc>
              <a:spcPts val="1300"/>
            </a:lnSpc>
          </a:pPr>
          <a:r>
            <a:rPr lang="pt-BR" sz="1050" b="0" i="0" u="none" strike="noStrike">
              <a:solidFill>
                <a:schemeClr val="accent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Mulher: </a:t>
          </a:r>
          <a:r>
            <a:rPr lang="pt-BR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[1,83 x </a:t>
          </a:r>
          <a:r>
            <a:rPr lang="pt-BR" sz="105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altura do joelho</a:t>
          </a:r>
          <a:r>
            <a:rPr lang="pt-BR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] — [0,24 x idade] + 84,88</a:t>
          </a:r>
          <a:r>
            <a:rPr lang="pt-BR" sz="1050"/>
            <a:t> </a:t>
          </a:r>
        </a:p>
      </xdr:txBody>
    </xdr:sp>
    <xdr:clientData/>
  </xdr:twoCellAnchor>
  <xdr:twoCellAnchor>
    <xdr:from>
      <xdr:col>10</xdr:col>
      <xdr:colOff>371476</xdr:colOff>
      <xdr:row>12</xdr:row>
      <xdr:rowOff>114300</xdr:rowOff>
    </xdr:from>
    <xdr:to>
      <xdr:col>12</xdr:col>
      <xdr:colOff>514350</xdr:colOff>
      <xdr:row>20</xdr:row>
      <xdr:rowOff>133351</xdr:rowOff>
    </xdr:to>
    <xdr:sp macro="" textlink="">
      <xdr:nvSpPr>
        <xdr:cNvPr id="2" name="Elipse 1"/>
        <xdr:cNvSpPr/>
      </xdr:nvSpPr>
      <xdr:spPr>
        <a:xfrm>
          <a:off x="6467476" y="2057400"/>
          <a:ext cx="1362074" cy="131445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Cálculos de estimativa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66674</xdr:rowOff>
    </xdr:from>
    <xdr:to>
      <xdr:col>0</xdr:col>
      <xdr:colOff>523875</xdr:colOff>
      <xdr:row>3</xdr:row>
      <xdr:rowOff>28574</xdr:rowOff>
    </xdr:to>
    <xdr:pic>
      <xdr:nvPicPr>
        <xdr:cNvPr id="4" name="Picture 57" descr="C:\Users\Natália\AppData\Local\Microsoft\Windows\Temporary Internet Files\Content.IE5\3WYPPG2D\MC900442122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76200" y="66674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552450</xdr:colOff>
      <xdr:row>18</xdr:row>
      <xdr:rowOff>114300</xdr:rowOff>
    </xdr:from>
    <xdr:to>
      <xdr:col>12</xdr:col>
      <xdr:colOff>552451</xdr:colOff>
      <xdr:row>22</xdr:row>
      <xdr:rowOff>159912</xdr:rowOff>
    </xdr:to>
    <xdr:pic>
      <xdr:nvPicPr>
        <xdr:cNvPr id="5" name="Picture 55" descr="C:\Users\Natália\AppData\Local\Microsoft\Windows\Temporary Internet Files\Content.IE5\8DW2NJPU\MC900433845[1]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flipH="1">
          <a:off x="7258050" y="3028950"/>
          <a:ext cx="609601" cy="69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</xdr:row>
      <xdr:rowOff>76199</xdr:rowOff>
    </xdr:from>
    <xdr:to>
      <xdr:col>1</xdr:col>
      <xdr:colOff>540000</xdr:colOff>
      <xdr:row>22</xdr:row>
      <xdr:rowOff>22424</xdr:rowOff>
    </xdr:to>
    <xdr:sp macro="" textlink="">
      <xdr:nvSpPr>
        <xdr:cNvPr id="7" name="Seta para a esquerda 6">
          <a:hlinkClick xmlns:r="http://schemas.openxmlformats.org/officeDocument/2006/relationships" r:id="rId4"/>
        </xdr:cNvPr>
        <xdr:cNvSpPr/>
      </xdr:nvSpPr>
      <xdr:spPr>
        <a:xfrm>
          <a:off x="609600" y="3152774"/>
          <a:ext cx="540000" cy="432000"/>
        </a:xfrm>
        <a:prstGeom prst="lef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oncurso">
      <a:majorFont>
        <a:latin typeface="Lucida Sans Unicode"/>
        <a:ea typeface=""/>
        <a:cs typeface=""/>
        <a:font script="Jpan" typeface="ＭＳ Ｐゴシック"/>
        <a:font script="Hang" typeface="맑은 고딕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Uigh" typeface="Microsoft Uighur"/>
        <a:font script="Geor" typeface="Sylfaen"/>
      </a:majorFont>
      <a:minorFont>
        <a:latin typeface="Lucida Sans Unicode"/>
        <a:ea typeface=""/>
        <a:cs typeface=""/>
        <a:font script="Jpan" typeface="ＭＳ Ｐゴシック"/>
        <a:font script="Hang" typeface="맑은 고딕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customProperty" Target="../customProperty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customProperty" Target="../customProperty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customProperty" Target="../customProperty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customProperty" Target="../customProperty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A230"/>
  <sheetViews>
    <sheetView tabSelected="1" zoomScaleNormal="100" workbookViewId="0"/>
  </sheetViews>
  <sheetFormatPr defaultRowHeight="12.75" x14ac:dyDescent="0.2"/>
  <sheetData>
    <row r="1" s="1" customFormat="1" x14ac:dyDescent="0.2"/>
    <row r="2" s="1" customFormat="1" x14ac:dyDescent="0.2"/>
    <row r="3" s="1" customFormat="1" x14ac:dyDescent="0.2"/>
    <row r="4" s="1" customFormat="1" x14ac:dyDescent="0.2"/>
    <row r="5" s="1" customFormat="1" x14ac:dyDescent="0.2"/>
    <row r="6" s="1" customFormat="1" x14ac:dyDescent="0.2"/>
    <row r="7" s="1" customFormat="1" x14ac:dyDescent="0.2"/>
    <row r="8" s="1" customFormat="1" x14ac:dyDescent="0.2"/>
    <row r="9" s="1" customFormat="1" x14ac:dyDescent="0.2"/>
    <row r="10" s="1" customFormat="1" x14ac:dyDescent="0.2"/>
    <row r="11" s="1" customFormat="1" x14ac:dyDescent="0.2"/>
    <row r="12" s="1" customFormat="1" x14ac:dyDescent="0.2"/>
    <row r="13" s="1" customFormat="1" x14ac:dyDescent="0.2"/>
    <row r="14" s="1" customFormat="1" x14ac:dyDescent="0.2"/>
    <row r="15" s="1" customFormat="1" x14ac:dyDescent="0.2"/>
    <row r="16" s="1" customFormat="1" x14ac:dyDescent="0.2"/>
    <row r="17" s="1" customFormat="1" x14ac:dyDescent="0.2"/>
    <row r="18" s="1" customFormat="1" x14ac:dyDescent="0.2"/>
    <row r="19" s="1" customFormat="1" x14ac:dyDescent="0.2"/>
    <row r="20" s="1" customFormat="1" x14ac:dyDescent="0.2"/>
    <row r="21" s="1" customFormat="1" x14ac:dyDescent="0.2"/>
    <row r="22" s="1" customFormat="1" x14ac:dyDescent="0.2"/>
    <row r="23" s="1" customFormat="1" x14ac:dyDescent="0.2"/>
    <row r="24" s="1" customFormat="1" x14ac:dyDescent="0.2"/>
    <row r="25" s="1" customFormat="1" x14ac:dyDescent="0.2"/>
    <row r="26" s="1" customFormat="1" x14ac:dyDescent="0.2"/>
    <row r="27" s="1" customFormat="1" x14ac:dyDescent="0.2"/>
    <row r="28" s="1" customFormat="1" x14ac:dyDescent="0.2"/>
    <row r="29" s="1" customFormat="1" x14ac:dyDescent="0.2"/>
    <row r="30" s="1" customFormat="1" x14ac:dyDescent="0.2"/>
    <row r="31" s="1" customFormat="1" x14ac:dyDescent="0.2"/>
    <row r="32" s="1" customFormat="1" x14ac:dyDescent="0.2"/>
    <row r="33" s="1" customFormat="1" x14ac:dyDescent="0.2"/>
    <row r="34" s="1" customFormat="1" x14ac:dyDescent="0.2"/>
    <row r="35" s="1" customFormat="1" x14ac:dyDescent="0.2"/>
    <row r="36" s="1" customFormat="1" x14ac:dyDescent="0.2"/>
    <row r="37" s="1" customFormat="1" x14ac:dyDescent="0.2"/>
    <row r="38" s="1" customFormat="1" x14ac:dyDescent="0.2"/>
    <row r="39" s="1" customFormat="1" x14ac:dyDescent="0.2"/>
    <row r="40" s="1" customFormat="1" x14ac:dyDescent="0.2"/>
    <row r="41" s="1" customFormat="1" x14ac:dyDescent="0.2"/>
    <row r="42" s="1" customFormat="1" x14ac:dyDescent="0.2"/>
    <row r="43" s="1" customFormat="1" x14ac:dyDescent="0.2"/>
    <row r="44" s="1" customFormat="1" x14ac:dyDescent="0.2"/>
    <row r="45" s="1" customFormat="1" x14ac:dyDescent="0.2"/>
    <row r="46" s="1" customFormat="1" x14ac:dyDescent="0.2"/>
    <row r="47" s="1" customFormat="1" x14ac:dyDescent="0.2"/>
    <row r="48" s="1" customFormat="1" x14ac:dyDescent="0.2"/>
    <row r="49" s="1" customFormat="1" x14ac:dyDescent="0.2"/>
    <row r="50" s="1" customFormat="1" x14ac:dyDescent="0.2"/>
    <row r="51" s="1" customFormat="1" x14ac:dyDescent="0.2"/>
    <row r="52" s="1" customFormat="1" x14ac:dyDescent="0.2"/>
    <row r="53" s="1" customFormat="1" x14ac:dyDescent="0.2"/>
    <row r="54" s="1" customFormat="1" x14ac:dyDescent="0.2"/>
    <row r="55" s="1" customFormat="1" x14ac:dyDescent="0.2"/>
    <row r="56" s="1" customFormat="1" x14ac:dyDescent="0.2"/>
    <row r="57" s="1" customFormat="1" x14ac:dyDescent="0.2"/>
    <row r="58" s="1" customFormat="1" x14ac:dyDescent="0.2"/>
    <row r="59" s="1" customFormat="1" x14ac:dyDescent="0.2"/>
    <row r="60" s="1" customFormat="1" x14ac:dyDescent="0.2"/>
    <row r="61" s="1" customFormat="1" x14ac:dyDescent="0.2"/>
    <row r="62" s="1" customFormat="1" x14ac:dyDescent="0.2"/>
    <row r="63" s="1" customFormat="1" x14ac:dyDescent="0.2"/>
    <row r="64" s="1" customFormat="1" x14ac:dyDescent="0.2"/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  <row r="94" s="1" customFormat="1" x14ac:dyDescent="0.2"/>
    <row r="95" s="1" customFormat="1" x14ac:dyDescent="0.2"/>
    <row r="96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  <row r="102" s="1" customFormat="1" x14ac:dyDescent="0.2"/>
    <row r="103" s="1" customFormat="1" x14ac:dyDescent="0.2"/>
    <row r="104" s="1" customFormat="1" x14ac:dyDescent="0.2"/>
    <row r="105" s="1" customFormat="1" x14ac:dyDescent="0.2"/>
    <row r="106" s="1" customFormat="1" x14ac:dyDescent="0.2"/>
    <row r="107" s="1" customFormat="1" x14ac:dyDescent="0.2"/>
    <row r="108" s="1" customFormat="1" x14ac:dyDescent="0.2"/>
    <row r="109" s="1" customFormat="1" x14ac:dyDescent="0.2"/>
    <row r="110" s="1" customFormat="1" x14ac:dyDescent="0.2"/>
    <row r="111" s="1" customFormat="1" x14ac:dyDescent="0.2"/>
    <row r="112" s="1" customFormat="1" x14ac:dyDescent="0.2"/>
    <row r="113" s="1" customFormat="1" x14ac:dyDescent="0.2"/>
    <row r="114" s="1" customFormat="1" x14ac:dyDescent="0.2"/>
    <row r="115" s="1" customFormat="1" x14ac:dyDescent="0.2"/>
    <row r="116" s="1" customFormat="1" x14ac:dyDescent="0.2"/>
    <row r="117" s="1" customFormat="1" x14ac:dyDescent="0.2"/>
    <row r="118" s="1" customFormat="1" x14ac:dyDescent="0.2"/>
    <row r="119" s="1" customFormat="1" x14ac:dyDescent="0.2"/>
    <row r="120" s="1" customFormat="1" x14ac:dyDescent="0.2"/>
    <row r="121" s="1" customFormat="1" x14ac:dyDescent="0.2"/>
    <row r="122" s="1" customFormat="1" x14ac:dyDescent="0.2"/>
    <row r="123" s="1" customFormat="1" x14ac:dyDescent="0.2"/>
    <row r="124" s="1" customFormat="1" x14ac:dyDescent="0.2"/>
    <row r="125" s="1" customFormat="1" x14ac:dyDescent="0.2"/>
    <row r="126" s="1" customFormat="1" x14ac:dyDescent="0.2"/>
    <row r="127" s="1" customFormat="1" x14ac:dyDescent="0.2"/>
    <row r="128" s="1" customFormat="1" x14ac:dyDescent="0.2"/>
    <row r="129" s="1" customFormat="1" x14ac:dyDescent="0.2"/>
    <row r="130" s="1" customFormat="1" x14ac:dyDescent="0.2"/>
    <row r="131" s="1" customFormat="1" x14ac:dyDescent="0.2"/>
    <row r="132" s="1" customFormat="1" x14ac:dyDescent="0.2"/>
    <row r="133" s="1" customFormat="1" x14ac:dyDescent="0.2"/>
    <row r="134" s="1" customFormat="1" x14ac:dyDescent="0.2"/>
    <row r="135" s="1" customFormat="1" x14ac:dyDescent="0.2"/>
    <row r="136" s="1" customFormat="1" x14ac:dyDescent="0.2"/>
    <row r="137" s="1" customFormat="1" x14ac:dyDescent="0.2"/>
    <row r="138" s="1" customFormat="1" x14ac:dyDescent="0.2"/>
    <row r="139" s="1" customFormat="1" x14ac:dyDescent="0.2"/>
    <row r="140" s="1" customFormat="1" x14ac:dyDescent="0.2"/>
    <row r="141" s="1" customFormat="1" x14ac:dyDescent="0.2"/>
    <row r="142" s="1" customFormat="1" x14ac:dyDescent="0.2"/>
    <row r="143" s="1" customFormat="1" x14ac:dyDescent="0.2"/>
    <row r="144" s="1" customFormat="1" x14ac:dyDescent="0.2"/>
    <row r="145" s="1" customFormat="1" x14ac:dyDescent="0.2"/>
    <row r="146" s="1" customFormat="1" x14ac:dyDescent="0.2"/>
    <row r="147" s="1" customFormat="1" x14ac:dyDescent="0.2"/>
    <row r="148" s="1" customFormat="1" x14ac:dyDescent="0.2"/>
    <row r="149" s="1" customFormat="1" x14ac:dyDescent="0.2"/>
    <row r="150" s="1" customFormat="1" x14ac:dyDescent="0.2"/>
    <row r="151" s="1" customFormat="1" x14ac:dyDescent="0.2"/>
    <row r="152" s="1" customFormat="1" x14ac:dyDescent="0.2"/>
    <row r="153" s="1" customFormat="1" x14ac:dyDescent="0.2"/>
    <row r="154" s="1" customFormat="1" x14ac:dyDescent="0.2"/>
    <row r="155" s="1" customFormat="1" x14ac:dyDescent="0.2"/>
    <row r="156" s="1" customFormat="1" x14ac:dyDescent="0.2"/>
    <row r="157" s="1" customFormat="1" x14ac:dyDescent="0.2"/>
    <row r="158" s="1" customFormat="1" x14ac:dyDescent="0.2"/>
    <row r="159" s="1" customFormat="1" x14ac:dyDescent="0.2"/>
    <row r="160" s="1" customFormat="1" x14ac:dyDescent="0.2"/>
    <row r="161" s="1" customFormat="1" x14ac:dyDescent="0.2"/>
    <row r="162" s="1" customFormat="1" x14ac:dyDescent="0.2"/>
    <row r="163" s="1" customFormat="1" x14ac:dyDescent="0.2"/>
    <row r="164" s="1" customFormat="1" x14ac:dyDescent="0.2"/>
    <row r="165" s="1" customFormat="1" x14ac:dyDescent="0.2"/>
    <row r="166" s="1" customFormat="1" x14ac:dyDescent="0.2"/>
    <row r="167" s="1" customFormat="1" x14ac:dyDescent="0.2"/>
    <row r="168" s="1" customFormat="1" x14ac:dyDescent="0.2"/>
    <row r="169" s="1" customFormat="1" x14ac:dyDescent="0.2"/>
    <row r="170" s="1" customFormat="1" x14ac:dyDescent="0.2"/>
    <row r="171" s="1" customFormat="1" x14ac:dyDescent="0.2"/>
    <row r="172" s="1" customFormat="1" x14ac:dyDescent="0.2"/>
    <row r="173" s="1" customFormat="1" x14ac:dyDescent="0.2"/>
    <row r="174" s="1" customFormat="1" x14ac:dyDescent="0.2"/>
    <row r="175" s="1" customFormat="1" x14ac:dyDescent="0.2"/>
    <row r="176" s="1" customFormat="1" x14ac:dyDescent="0.2"/>
    <row r="177" s="1" customFormat="1" x14ac:dyDescent="0.2"/>
    <row r="178" s="1" customFormat="1" x14ac:dyDescent="0.2"/>
    <row r="179" s="1" customFormat="1" x14ac:dyDescent="0.2"/>
    <row r="180" s="1" customFormat="1" x14ac:dyDescent="0.2"/>
    <row r="181" s="1" customFormat="1" x14ac:dyDescent="0.2"/>
    <row r="182" s="1" customFormat="1" x14ac:dyDescent="0.2"/>
    <row r="183" s="1" customFormat="1" x14ac:dyDescent="0.2"/>
    <row r="184" s="1" customFormat="1" x14ac:dyDescent="0.2"/>
    <row r="185" s="1" customFormat="1" x14ac:dyDescent="0.2"/>
    <row r="186" s="1" customFormat="1" x14ac:dyDescent="0.2"/>
    <row r="187" s="1" customFormat="1" x14ac:dyDescent="0.2"/>
    <row r="188" s="1" customFormat="1" x14ac:dyDescent="0.2"/>
    <row r="189" s="1" customFormat="1" x14ac:dyDescent="0.2"/>
    <row r="190" s="1" customFormat="1" x14ac:dyDescent="0.2"/>
    <row r="191" s="1" customFormat="1" x14ac:dyDescent="0.2"/>
    <row r="192" s="1" customFormat="1" x14ac:dyDescent="0.2"/>
    <row r="193" s="1" customFormat="1" x14ac:dyDescent="0.2"/>
    <row r="194" s="1" customFormat="1" x14ac:dyDescent="0.2"/>
    <row r="195" s="1" customFormat="1" x14ac:dyDescent="0.2"/>
    <row r="196" s="1" customFormat="1" x14ac:dyDescent="0.2"/>
    <row r="197" s="1" customFormat="1" x14ac:dyDescent="0.2"/>
    <row r="198" s="1" customFormat="1" x14ac:dyDescent="0.2"/>
    <row r="199" s="1" customFormat="1" x14ac:dyDescent="0.2"/>
    <row r="200" s="1" customFormat="1" x14ac:dyDescent="0.2"/>
    <row r="201" s="1" customFormat="1" x14ac:dyDescent="0.2"/>
    <row r="202" s="1" customFormat="1" x14ac:dyDescent="0.2"/>
    <row r="203" s="1" customFormat="1" x14ac:dyDescent="0.2"/>
    <row r="204" s="1" customFormat="1" x14ac:dyDescent="0.2"/>
    <row r="205" s="1" customFormat="1" x14ac:dyDescent="0.2"/>
    <row r="206" s="1" customFormat="1" x14ac:dyDescent="0.2"/>
    <row r="207" s="1" customFormat="1" x14ac:dyDescent="0.2"/>
    <row r="208" s="1" customFormat="1" x14ac:dyDescent="0.2"/>
    <row r="209" s="1" customFormat="1" x14ac:dyDescent="0.2"/>
    <row r="210" s="1" customFormat="1" x14ac:dyDescent="0.2"/>
    <row r="211" s="1" customFormat="1" x14ac:dyDescent="0.2"/>
    <row r="212" s="1" customFormat="1" x14ac:dyDescent="0.2"/>
    <row r="213" s="1" customFormat="1" x14ac:dyDescent="0.2"/>
    <row r="214" s="1" customFormat="1" x14ac:dyDescent="0.2"/>
    <row r="215" s="1" customFormat="1" x14ac:dyDescent="0.2"/>
    <row r="216" s="1" customFormat="1" x14ac:dyDescent="0.2"/>
    <row r="217" s="1" customFormat="1" x14ac:dyDescent="0.2"/>
    <row r="218" s="1" customFormat="1" x14ac:dyDescent="0.2"/>
    <row r="219" s="1" customFormat="1" x14ac:dyDescent="0.2"/>
    <row r="220" s="1" customFormat="1" x14ac:dyDescent="0.2"/>
    <row r="221" s="1" customFormat="1" x14ac:dyDescent="0.2"/>
    <row r="222" s="1" customFormat="1" x14ac:dyDescent="0.2"/>
    <row r="223" s="1" customFormat="1" x14ac:dyDescent="0.2"/>
    <row r="224" s="1" customFormat="1" x14ac:dyDescent="0.2"/>
    <row r="225" s="1" customFormat="1" x14ac:dyDescent="0.2"/>
    <row r="226" s="1" customFormat="1" x14ac:dyDescent="0.2"/>
    <row r="227" s="1" customFormat="1" x14ac:dyDescent="0.2"/>
    <row r="228" s="1" customFormat="1" x14ac:dyDescent="0.2"/>
    <row r="229" s="1" customFormat="1" x14ac:dyDescent="0.2"/>
    <row r="230" s="1" customFormat="1" x14ac:dyDescent="0.2"/>
  </sheetData>
  <pageMargins left="0.7" right="0.7" top="0.75" bottom="0.75" header="0.3" footer="0.3"/>
  <pageSetup paperSize="9" orientation="portrait" horizontalDpi="300" verticalDpi="300" r:id="rId1"/>
  <customProperties>
    <customPr name="DVSECTION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AC185"/>
  <sheetViews>
    <sheetView workbookViewId="0"/>
  </sheetViews>
  <sheetFormatPr defaultRowHeight="12.75" x14ac:dyDescent="0.2"/>
  <cols>
    <col min="7" max="7" width="9.140625" customWidth="1"/>
  </cols>
  <sheetData>
    <row r="1" spans="1:29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21.7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9.5" customHeight="1" x14ac:dyDescent="0.2">
      <c r="A12" s="1"/>
      <c r="B12" s="42" t="s">
        <v>26</v>
      </c>
      <c r="C12" s="42"/>
      <c r="D12" s="42"/>
      <c r="E12" s="42"/>
      <c r="F12" s="42"/>
      <c r="G12" s="42"/>
      <c r="H12" s="26"/>
      <c r="I12" s="39" t="s">
        <v>19</v>
      </c>
      <c r="J12" s="39"/>
      <c r="K12" s="39"/>
      <c r="L12" s="39"/>
      <c r="M12" s="39"/>
      <c r="N12" s="39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s="1" customFormat="1" ht="19.5" customHeight="1" x14ac:dyDescent="0.2">
      <c r="B13" s="37" t="s">
        <v>27</v>
      </c>
      <c r="C13" s="37"/>
      <c r="D13" s="37"/>
      <c r="E13" s="37" t="s">
        <v>21</v>
      </c>
      <c r="F13" s="37"/>
      <c r="G13" s="37"/>
      <c r="H13" s="27"/>
      <c r="I13" s="40" t="s">
        <v>20</v>
      </c>
      <c r="J13" s="40"/>
      <c r="K13" s="40"/>
      <c r="L13" s="40" t="s">
        <v>21</v>
      </c>
      <c r="M13" s="40"/>
      <c r="N13" s="40"/>
    </row>
    <row r="14" spans="1:29" ht="16.5" customHeight="1" x14ac:dyDescent="0.2">
      <c r="A14" s="1"/>
      <c r="B14" s="38" t="s">
        <v>28</v>
      </c>
      <c r="C14" s="38"/>
      <c r="D14" s="38"/>
      <c r="E14" s="38" t="s">
        <v>23</v>
      </c>
      <c r="F14" s="38"/>
      <c r="G14" s="38"/>
      <c r="H14" s="27"/>
      <c r="I14" s="41" t="s">
        <v>22</v>
      </c>
      <c r="J14" s="41"/>
      <c r="K14" s="41"/>
      <c r="L14" s="41" t="s">
        <v>23</v>
      </c>
      <c r="M14" s="41"/>
      <c r="N14" s="4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8" customHeight="1" x14ac:dyDescent="0.2">
      <c r="A15" s="1"/>
      <c r="B15" s="37" t="s">
        <v>29</v>
      </c>
      <c r="C15" s="37"/>
      <c r="D15" s="37"/>
      <c r="E15" s="37" t="s">
        <v>30</v>
      </c>
      <c r="F15" s="37"/>
      <c r="G15" s="37"/>
      <c r="H15" s="27"/>
      <c r="I15" s="40" t="s">
        <v>24</v>
      </c>
      <c r="J15" s="40"/>
      <c r="K15" s="40"/>
      <c r="L15" s="40" t="s">
        <v>25</v>
      </c>
      <c r="M15" s="40"/>
      <c r="N15" s="4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9.5" customHeight="1" x14ac:dyDescent="0.2">
      <c r="A16" s="1"/>
      <c r="B16" s="38" t="s">
        <v>31</v>
      </c>
      <c r="C16" s="38"/>
      <c r="D16" s="38"/>
      <c r="E16" s="38" t="s">
        <v>32</v>
      </c>
      <c r="F16" s="38"/>
      <c r="G16" s="38"/>
      <c r="H16" s="28"/>
      <c r="I16" s="28"/>
      <c r="J16" s="28"/>
      <c r="K16" s="28"/>
      <c r="L16" s="28"/>
      <c r="M16" s="28"/>
      <c r="N16" s="28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</sheetData>
  <mergeCells count="16">
    <mergeCell ref="E15:G15"/>
    <mergeCell ref="E16:G16"/>
    <mergeCell ref="I12:N12"/>
    <mergeCell ref="I13:K13"/>
    <mergeCell ref="I14:K14"/>
    <mergeCell ref="I15:K15"/>
    <mergeCell ref="L13:N13"/>
    <mergeCell ref="L14:N14"/>
    <mergeCell ref="L15:N15"/>
    <mergeCell ref="B12:G12"/>
    <mergeCell ref="B13:D13"/>
    <mergeCell ref="B14:D14"/>
    <mergeCell ref="B15:D15"/>
    <mergeCell ref="B16:D16"/>
    <mergeCell ref="E13:G13"/>
    <mergeCell ref="E14:G14"/>
  </mergeCells>
  <pageMargins left="0.511811024" right="0.511811024" top="0.78740157499999996" bottom="0.78740157499999996" header="0.31496062000000002" footer="0.31496062000000002"/>
  <customProperties>
    <customPr name="DVSECTIONID" r:id="rId1"/>
  </customPropertie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"/>
  <dimension ref="A1:BY232"/>
  <sheetViews>
    <sheetView zoomScale="91" zoomScaleNormal="91" workbookViewId="0">
      <selection activeCell="R13" sqref="R13"/>
    </sheetView>
  </sheetViews>
  <sheetFormatPr defaultRowHeight="12.75" x14ac:dyDescent="0.2"/>
  <cols>
    <col min="1" max="1" width="9.140625" style="1"/>
    <col min="2" max="2" width="15.140625" style="63" customWidth="1"/>
    <col min="3" max="3" width="8.140625" style="63" customWidth="1"/>
    <col min="4" max="4" width="11.5703125" style="63" customWidth="1"/>
    <col min="5" max="5" width="9.28515625" style="63" customWidth="1"/>
    <col min="6" max="6" width="9.42578125" style="63" customWidth="1"/>
    <col min="7" max="7" width="9.85546875" style="63" customWidth="1"/>
    <col min="8" max="8" width="13.7109375" style="63" customWidth="1"/>
    <col min="9" max="9" width="15.140625" style="56" customWidth="1"/>
    <col min="10" max="10" width="13" style="63" bestFit="1" customWidth="1"/>
    <col min="11" max="11" width="12.42578125" style="63" customWidth="1"/>
    <col min="12" max="12" width="13.5703125" style="7" customWidth="1"/>
    <col min="13" max="13" width="9.140625" style="7" bestFit="1" customWidth="1"/>
    <col min="14" max="14" width="9.140625" style="7"/>
  </cols>
  <sheetData>
    <row r="1" spans="2:77" s="1" customFormat="1" x14ac:dyDescent="0.2">
      <c r="B1" s="51"/>
      <c r="C1" s="51"/>
      <c r="D1" s="51"/>
      <c r="E1" s="51"/>
      <c r="F1" s="51"/>
      <c r="G1" s="51"/>
      <c r="H1" s="51"/>
      <c r="I1" s="52"/>
      <c r="J1" s="51"/>
      <c r="K1" s="51"/>
      <c r="L1" s="6"/>
      <c r="M1" s="6"/>
      <c r="N1" s="6"/>
    </row>
    <row r="2" spans="2:77" x14ac:dyDescent="0.2">
      <c r="B2" s="64"/>
      <c r="C2" s="64"/>
      <c r="D2" s="64"/>
      <c r="E2" s="64"/>
      <c r="F2" s="64"/>
      <c r="G2" s="64"/>
      <c r="H2" s="64"/>
      <c r="I2" s="65"/>
      <c r="J2" s="64"/>
      <c r="K2" s="64"/>
      <c r="L2" s="6"/>
      <c r="M2" s="6"/>
      <c r="N2" s="6"/>
      <c r="O2" s="1"/>
      <c r="P2" s="5" t="s">
        <v>15</v>
      </c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</row>
    <row r="3" spans="2:77" x14ac:dyDescent="0.2">
      <c r="B3" s="64"/>
      <c r="C3" s="64"/>
      <c r="D3" s="64"/>
      <c r="E3" s="64"/>
      <c r="F3" s="64"/>
      <c r="G3" s="64"/>
      <c r="H3" s="64"/>
      <c r="I3" s="65"/>
      <c r="J3" s="64"/>
      <c r="K3" s="64"/>
      <c r="L3" s="6"/>
      <c r="M3" s="6"/>
      <c r="N3" s="6"/>
      <c r="O3" s="1"/>
      <c r="P3" s="5" t="s">
        <v>16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</row>
    <row r="4" spans="2:77" x14ac:dyDescent="0.2">
      <c r="B4" s="64"/>
      <c r="C4" s="64"/>
      <c r="D4" s="64"/>
      <c r="E4" s="64"/>
      <c r="F4" s="64"/>
      <c r="G4" s="64"/>
      <c r="H4" s="64"/>
      <c r="I4" s="65"/>
      <c r="J4" s="64"/>
      <c r="K4" s="64"/>
      <c r="L4" s="6"/>
      <c r="M4" s="6"/>
      <c r="N4" s="6"/>
      <c r="O4" s="1"/>
      <c r="P4" s="5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</row>
    <row r="5" spans="2:77" x14ac:dyDescent="0.2">
      <c r="B5" s="64"/>
      <c r="C5" s="64"/>
      <c r="D5" s="64"/>
      <c r="E5" s="64"/>
      <c r="F5" s="64"/>
      <c r="G5" s="64"/>
      <c r="H5" s="64"/>
      <c r="I5" s="65"/>
      <c r="J5" s="64"/>
      <c r="K5" s="64"/>
      <c r="L5" s="6"/>
      <c r="M5" s="6"/>
      <c r="N5" s="6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</row>
    <row r="6" spans="2:77" ht="45" x14ac:dyDescent="0.2">
      <c r="B6" s="66" t="s">
        <v>0</v>
      </c>
      <c r="C6" s="66" t="s">
        <v>1</v>
      </c>
      <c r="D6" s="66" t="s">
        <v>2</v>
      </c>
      <c r="E6" s="66" t="s">
        <v>3</v>
      </c>
      <c r="F6" s="66" t="s">
        <v>4</v>
      </c>
      <c r="G6" s="66" t="s">
        <v>5</v>
      </c>
      <c r="H6" s="66" t="s">
        <v>8</v>
      </c>
      <c r="I6" s="67" t="s">
        <v>6</v>
      </c>
      <c r="J6" s="66" t="s">
        <v>9</v>
      </c>
      <c r="K6" s="66" t="s">
        <v>7</v>
      </c>
      <c r="L6" s="10" t="s">
        <v>10</v>
      </c>
      <c r="M6" s="10" t="s">
        <v>11</v>
      </c>
      <c r="N6" s="10" t="s">
        <v>12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</row>
    <row r="7" spans="2:77" x14ac:dyDescent="0.2">
      <c r="B7" s="53"/>
      <c r="C7" s="54"/>
      <c r="D7" s="53"/>
      <c r="E7" s="55"/>
      <c r="F7" s="55"/>
      <c r="G7" s="54"/>
      <c r="H7" s="54"/>
      <c r="J7" s="54"/>
      <c r="K7" s="54"/>
      <c r="L7" s="11" t="str">
        <f t="shared" ref="L7:L70" si="0">IF(G7="","",IF(G7&gt;0,H7-(3.14*K7)/10))</f>
        <v/>
      </c>
      <c r="M7" s="11" t="str">
        <f>IF(D7="feminino",((1.83*G7)-(0.24*C7)+84.88)/100,IF(D7="masculino",((2.02*G7)-(0.04*C7)+64.19)/100,""))</f>
        <v/>
      </c>
      <c r="N7" s="11" t="str">
        <f>IF(D7="feminino",(1.27*I7)+(0.87*G7)+(0.98*H7)+(0.4*J7)-62.35,IF(D7="masculino",(0.98*I7)+(1.16*G7)+(1.73*H7)+(0.37*J7)-81.69,""))</f>
        <v/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</row>
    <row r="8" spans="2:77" x14ac:dyDescent="0.2">
      <c r="B8" s="54"/>
      <c r="C8" s="54"/>
      <c r="D8" s="53"/>
      <c r="E8" s="55"/>
      <c r="F8" s="55"/>
      <c r="G8" s="54"/>
      <c r="H8" s="54"/>
      <c r="I8" s="57"/>
      <c r="J8" s="54"/>
      <c r="K8" s="54"/>
      <c r="L8" s="11" t="str">
        <f t="shared" si="0"/>
        <v/>
      </c>
      <c r="M8" s="11" t="str">
        <f t="shared" ref="M8:M71" si="1">IF(D8="feminino",((1.83*G8)-(0.24*C8)+84.88)/100,IF(D8="masculino",((2.02*G8)-(0.04*C8)+64.19)/100,""))</f>
        <v/>
      </c>
      <c r="N8" s="11" t="str">
        <f t="shared" ref="N8:N71" si="2">IF(D8="feminino",(1.27*I8)+(0.87*G8)+(0.98*H8)+(0.4*J8)-62.35,IF(D8="masculino",(0.98*I8)+(1.16*G8)+(1.73*H8)+(0.37*J8)-81.69,""))</f>
        <v/>
      </c>
      <c r="O8" s="25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</row>
    <row r="9" spans="2:77" x14ac:dyDescent="0.2">
      <c r="B9" s="54"/>
      <c r="C9" s="54"/>
      <c r="D9" s="53"/>
      <c r="E9" s="55"/>
      <c r="F9" s="55"/>
      <c r="G9" s="54"/>
      <c r="H9" s="54"/>
      <c r="I9" s="57"/>
      <c r="J9" s="54"/>
      <c r="K9" s="54"/>
      <c r="L9" s="11" t="str">
        <f t="shared" si="0"/>
        <v/>
      </c>
      <c r="M9" s="11" t="str">
        <f t="shared" si="1"/>
        <v/>
      </c>
      <c r="N9" s="11" t="str">
        <f t="shared" si="2"/>
        <v/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</row>
    <row r="10" spans="2:77" x14ac:dyDescent="0.2">
      <c r="B10" s="54"/>
      <c r="C10" s="54"/>
      <c r="D10" s="53"/>
      <c r="E10" s="55"/>
      <c r="F10" s="55"/>
      <c r="G10" s="54"/>
      <c r="H10" s="54"/>
      <c r="I10" s="57"/>
      <c r="J10" s="54"/>
      <c r="K10" s="54"/>
      <c r="L10" s="12" t="str">
        <f t="shared" si="0"/>
        <v/>
      </c>
      <c r="M10" s="11" t="str">
        <f t="shared" si="1"/>
        <v/>
      </c>
      <c r="N10" s="11" t="str">
        <f t="shared" si="2"/>
        <v/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</row>
    <row r="11" spans="2:77" x14ac:dyDescent="0.2">
      <c r="B11" s="54"/>
      <c r="C11" s="54"/>
      <c r="D11" s="53"/>
      <c r="E11" s="55"/>
      <c r="F11" s="55"/>
      <c r="G11" s="54"/>
      <c r="H11" s="54"/>
      <c r="I11" s="57"/>
      <c r="J11" s="54"/>
      <c r="K11" s="54"/>
      <c r="L11" s="11" t="str">
        <f t="shared" si="0"/>
        <v/>
      </c>
      <c r="M11" s="11" t="str">
        <f t="shared" si="1"/>
        <v/>
      </c>
      <c r="N11" s="11" t="str">
        <f t="shared" si="2"/>
        <v/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</row>
    <row r="12" spans="2:77" x14ac:dyDescent="0.2">
      <c r="B12" s="54"/>
      <c r="C12" s="54"/>
      <c r="D12" s="53"/>
      <c r="E12" s="55"/>
      <c r="F12" s="55"/>
      <c r="G12" s="54"/>
      <c r="H12" s="54"/>
      <c r="I12" s="57"/>
      <c r="J12" s="54"/>
      <c r="K12" s="54"/>
      <c r="L12" s="12" t="str">
        <f t="shared" si="0"/>
        <v/>
      </c>
      <c r="M12" s="11" t="str">
        <f t="shared" si="1"/>
        <v/>
      </c>
      <c r="N12" s="11" t="str">
        <f>IF(D12="feminino",(1.27*I12)+(0.87*G12)+(0.98*H12)+(0.4*J12)-62.35,IF(D12="masculino",(0.98*I12)+(1.16*G12)+(1.73*H12)+(0.37*J12)-81.69,""))</f>
        <v/>
      </c>
      <c r="O12" s="1"/>
      <c r="P12" s="25"/>
      <c r="Q12" s="9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</row>
    <row r="13" spans="2:77" x14ac:dyDescent="0.2">
      <c r="B13" s="54"/>
      <c r="C13" s="54"/>
      <c r="D13" s="53"/>
      <c r="E13" s="55"/>
      <c r="F13" s="55"/>
      <c r="G13" s="54"/>
      <c r="H13" s="54"/>
      <c r="I13" s="58"/>
      <c r="J13" s="54"/>
      <c r="K13" s="54"/>
      <c r="L13" s="12" t="str">
        <f t="shared" si="0"/>
        <v/>
      </c>
      <c r="M13" s="11" t="str">
        <f t="shared" si="1"/>
        <v/>
      </c>
      <c r="N13" s="11" t="str">
        <f t="shared" si="2"/>
        <v/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</row>
    <row r="14" spans="2:77" x14ac:dyDescent="0.2">
      <c r="B14" s="54"/>
      <c r="C14" s="54"/>
      <c r="D14" s="53"/>
      <c r="E14" s="55"/>
      <c r="F14" s="55"/>
      <c r="G14" s="54"/>
      <c r="H14" s="54"/>
      <c r="I14" s="57"/>
      <c r="J14" s="54"/>
      <c r="K14" s="54"/>
      <c r="L14" s="12" t="str">
        <f t="shared" si="0"/>
        <v/>
      </c>
      <c r="M14" s="11" t="str">
        <f t="shared" si="1"/>
        <v/>
      </c>
      <c r="N14" s="11" t="str">
        <f t="shared" si="2"/>
        <v/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</row>
    <row r="15" spans="2:77" x14ac:dyDescent="0.2">
      <c r="B15" s="54"/>
      <c r="C15" s="54"/>
      <c r="D15" s="53"/>
      <c r="E15" s="55"/>
      <c r="F15" s="55"/>
      <c r="G15" s="54"/>
      <c r="H15" s="54"/>
      <c r="I15" s="57"/>
      <c r="J15" s="54"/>
      <c r="K15" s="54"/>
      <c r="L15" s="12" t="str">
        <f t="shared" si="0"/>
        <v/>
      </c>
      <c r="M15" s="11" t="str">
        <f t="shared" si="1"/>
        <v/>
      </c>
      <c r="N15" s="11" t="str">
        <f t="shared" si="2"/>
        <v/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</row>
    <row r="16" spans="2:77" x14ac:dyDescent="0.2">
      <c r="B16" s="54"/>
      <c r="C16" s="54"/>
      <c r="D16" s="53"/>
      <c r="E16" s="55"/>
      <c r="F16" s="55"/>
      <c r="G16" s="54"/>
      <c r="H16" s="54"/>
      <c r="I16" s="57"/>
      <c r="J16" s="54"/>
      <c r="K16" s="54"/>
      <c r="L16" s="12" t="str">
        <f t="shared" si="0"/>
        <v/>
      </c>
      <c r="M16" s="11" t="str">
        <f t="shared" si="1"/>
        <v/>
      </c>
      <c r="N16" s="11" t="str">
        <f t="shared" si="2"/>
        <v/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</row>
    <row r="17" spans="2:77" x14ac:dyDescent="0.2">
      <c r="B17" s="54"/>
      <c r="C17" s="54"/>
      <c r="D17" s="53"/>
      <c r="E17" s="55"/>
      <c r="F17" s="55"/>
      <c r="G17" s="54"/>
      <c r="H17" s="54"/>
      <c r="I17" s="57"/>
      <c r="J17" s="54"/>
      <c r="K17" s="54"/>
      <c r="L17" s="12" t="str">
        <f t="shared" si="0"/>
        <v/>
      </c>
      <c r="M17" s="11" t="str">
        <f t="shared" si="1"/>
        <v/>
      </c>
      <c r="N17" s="11" t="str">
        <f t="shared" si="2"/>
        <v/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</row>
    <row r="18" spans="2:77" x14ac:dyDescent="0.2">
      <c r="B18" s="54"/>
      <c r="C18" s="54"/>
      <c r="D18" s="53"/>
      <c r="E18" s="55"/>
      <c r="F18" s="55"/>
      <c r="G18" s="54"/>
      <c r="H18" s="54"/>
      <c r="I18" s="57"/>
      <c r="J18" s="54"/>
      <c r="K18" s="54"/>
      <c r="L18" s="12" t="str">
        <f t="shared" si="0"/>
        <v/>
      </c>
      <c r="M18" s="11" t="str">
        <f t="shared" si="1"/>
        <v/>
      </c>
      <c r="N18" s="11" t="str">
        <f t="shared" si="2"/>
        <v/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</row>
    <row r="19" spans="2:77" x14ac:dyDescent="0.2">
      <c r="B19" s="54"/>
      <c r="C19" s="54"/>
      <c r="D19" s="53"/>
      <c r="E19" s="55"/>
      <c r="F19" s="55"/>
      <c r="G19" s="54"/>
      <c r="H19" s="54"/>
      <c r="I19" s="57"/>
      <c r="J19" s="54"/>
      <c r="K19" s="54"/>
      <c r="L19" s="12" t="str">
        <f t="shared" si="0"/>
        <v/>
      </c>
      <c r="M19" s="11" t="str">
        <f t="shared" si="1"/>
        <v/>
      </c>
      <c r="N19" s="11" t="str">
        <f t="shared" si="2"/>
        <v/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</row>
    <row r="20" spans="2:77" x14ac:dyDescent="0.2">
      <c r="B20" s="54"/>
      <c r="C20" s="54"/>
      <c r="D20" s="53"/>
      <c r="E20" s="55"/>
      <c r="F20" s="55"/>
      <c r="G20" s="54"/>
      <c r="H20" s="54"/>
      <c r="I20" s="57"/>
      <c r="J20" s="54"/>
      <c r="K20" s="54"/>
      <c r="L20" s="12" t="str">
        <f t="shared" si="0"/>
        <v/>
      </c>
      <c r="M20" s="11" t="str">
        <f t="shared" si="1"/>
        <v/>
      </c>
      <c r="N20" s="11" t="str">
        <f t="shared" si="2"/>
        <v/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</row>
    <row r="21" spans="2:77" x14ac:dyDescent="0.2">
      <c r="B21" s="54"/>
      <c r="C21" s="54"/>
      <c r="D21" s="53"/>
      <c r="E21" s="55"/>
      <c r="F21" s="55"/>
      <c r="G21" s="54"/>
      <c r="H21" s="54"/>
      <c r="I21" s="57"/>
      <c r="J21" s="54"/>
      <c r="K21" s="54"/>
      <c r="L21" s="12" t="str">
        <f t="shared" si="0"/>
        <v/>
      </c>
      <c r="M21" s="11" t="str">
        <f t="shared" si="1"/>
        <v/>
      </c>
      <c r="N21" s="11" t="str">
        <f t="shared" si="2"/>
        <v/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</row>
    <row r="22" spans="2:77" x14ac:dyDescent="0.2">
      <c r="B22" s="54"/>
      <c r="C22" s="54"/>
      <c r="D22" s="53"/>
      <c r="E22" s="55"/>
      <c r="F22" s="55"/>
      <c r="G22" s="54"/>
      <c r="H22" s="54"/>
      <c r="I22" s="57"/>
      <c r="J22" s="54"/>
      <c r="K22" s="54"/>
      <c r="L22" s="12" t="str">
        <f t="shared" si="0"/>
        <v/>
      </c>
      <c r="M22" s="11" t="str">
        <f t="shared" si="1"/>
        <v/>
      </c>
      <c r="N22" s="11" t="str">
        <f t="shared" si="2"/>
        <v/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</row>
    <row r="23" spans="2:77" x14ac:dyDescent="0.2">
      <c r="B23" s="54"/>
      <c r="C23" s="54"/>
      <c r="D23" s="53"/>
      <c r="E23" s="55"/>
      <c r="F23" s="55"/>
      <c r="G23" s="54"/>
      <c r="H23" s="54"/>
      <c r="I23" s="57"/>
      <c r="J23" s="54"/>
      <c r="K23" s="54"/>
      <c r="L23" s="12" t="str">
        <f t="shared" si="0"/>
        <v/>
      </c>
      <c r="M23" s="11" t="str">
        <f t="shared" si="1"/>
        <v/>
      </c>
      <c r="N23" s="11" t="str">
        <f t="shared" si="2"/>
        <v/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</row>
    <row r="24" spans="2:77" x14ac:dyDescent="0.2">
      <c r="B24" s="54"/>
      <c r="C24" s="54"/>
      <c r="D24" s="53"/>
      <c r="E24" s="55"/>
      <c r="F24" s="55"/>
      <c r="G24" s="54"/>
      <c r="H24" s="54"/>
      <c r="I24" s="57"/>
      <c r="J24" s="54"/>
      <c r="K24" s="54"/>
      <c r="L24" s="12" t="str">
        <f t="shared" si="0"/>
        <v/>
      </c>
      <c r="M24" s="11" t="str">
        <f t="shared" si="1"/>
        <v/>
      </c>
      <c r="N24" s="11" t="str">
        <f t="shared" si="2"/>
        <v/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</row>
    <row r="25" spans="2:77" x14ac:dyDescent="0.2">
      <c r="B25" s="54"/>
      <c r="C25" s="54"/>
      <c r="D25" s="53"/>
      <c r="E25" s="55"/>
      <c r="F25" s="55"/>
      <c r="G25" s="54"/>
      <c r="H25" s="54"/>
      <c r="I25" s="57"/>
      <c r="J25" s="54"/>
      <c r="K25" s="54"/>
      <c r="L25" s="12" t="str">
        <f t="shared" si="0"/>
        <v/>
      </c>
      <c r="M25" s="11" t="str">
        <f t="shared" si="1"/>
        <v/>
      </c>
      <c r="N25" s="11" t="str">
        <f t="shared" si="2"/>
        <v/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</row>
    <row r="26" spans="2:77" x14ac:dyDescent="0.2">
      <c r="B26" s="54"/>
      <c r="C26" s="54"/>
      <c r="D26" s="53"/>
      <c r="E26" s="55"/>
      <c r="F26" s="55"/>
      <c r="G26" s="54"/>
      <c r="H26" s="54"/>
      <c r="I26" s="57"/>
      <c r="J26" s="54"/>
      <c r="K26" s="54"/>
      <c r="L26" s="12" t="str">
        <f t="shared" si="0"/>
        <v/>
      </c>
      <c r="M26" s="11" t="str">
        <f t="shared" si="1"/>
        <v/>
      </c>
      <c r="N26" s="11" t="str">
        <f t="shared" si="2"/>
        <v/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</row>
    <row r="27" spans="2:77" x14ac:dyDescent="0.2">
      <c r="B27" s="54"/>
      <c r="C27" s="54"/>
      <c r="D27" s="53"/>
      <c r="E27" s="55"/>
      <c r="F27" s="55"/>
      <c r="G27" s="54"/>
      <c r="H27" s="54"/>
      <c r="I27" s="57"/>
      <c r="J27" s="54"/>
      <c r="K27" s="54"/>
      <c r="L27" s="12" t="str">
        <f t="shared" si="0"/>
        <v/>
      </c>
      <c r="M27" s="11" t="str">
        <f t="shared" si="1"/>
        <v/>
      </c>
      <c r="N27" s="11" t="str">
        <f t="shared" si="2"/>
        <v/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</row>
    <row r="28" spans="2:77" x14ac:dyDescent="0.2">
      <c r="B28" s="54"/>
      <c r="C28" s="54"/>
      <c r="D28" s="53"/>
      <c r="E28" s="55"/>
      <c r="F28" s="55"/>
      <c r="G28" s="54"/>
      <c r="H28" s="54"/>
      <c r="I28" s="57"/>
      <c r="J28" s="54"/>
      <c r="K28" s="54"/>
      <c r="L28" s="12" t="str">
        <f t="shared" si="0"/>
        <v/>
      </c>
      <c r="M28" s="11" t="str">
        <f t="shared" si="1"/>
        <v/>
      </c>
      <c r="N28" s="11" t="str">
        <f t="shared" si="2"/>
        <v/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</row>
    <row r="29" spans="2:77" x14ac:dyDescent="0.2">
      <c r="B29" s="54"/>
      <c r="C29" s="54"/>
      <c r="D29" s="53"/>
      <c r="E29" s="55"/>
      <c r="F29" s="55"/>
      <c r="G29" s="54"/>
      <c r="H29" s="54"/>
      <c r="I29" s="57"/>
      <c r="J29" s="54"/>
      <c r="K29" s="54"/>
      <c r="L29" s="12" t="str">
        <f t="shared" si="0"/>
        <v/>
      </c>
      <c r="M29" s="11" t="str">
        <f t="shared" si="1"/>
        <v/>
      </c>
      <c r="N29" s="11" t="str">
        <f t="shared" si="2"/>
        <v/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</row>
    <row r="30" spans="2:77" x14ac:dyDescent="0.2">
      <c r="B30" s="54"/>
      <c r="C30" s="54"/>
      <c r="D30" s="53"/>
      <c r="E30" s="55"/>
      <c r="F30" s="55"/>
      <c r="G30" s="54"/>
      <c r="H30" s="54"/>
      <c r="I30" s="57"/>
      <c r="J30" s="54"/>
      <c r="K30" s="54"/>
      <c r="L30" s="12" t="str">
        <f t="shared" si="0"/>
        <v/>
      </c>
      <c r="M30" s="11" t="str">
        <f t="shared" si="1"/>
        <v/>
      </c>
      <c r="N30" s="11" t="str">
        <f t="shared" si="2"/>
        <v/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</row>
    <row r="31" spans="2:77" x14ac:dyDescent="0.2">
      <c r="B31" s="54"/>
      <c r="C31" s="54"/>
      <c r="D31" s="53"/>
      <c r="E31" s="55"/>
      <c r="F31" s="55"/>
      <c r="G31" s="54"/>
      <c r="H31" s="54"/>
      <c r="I31" s="57"/>
      <c r="J31" s="54"/>
      <c r="K31" s="54"/>
      <c r="L31" s="12" t="str">
        <f t="shared" si="0"/>
        <v/>
      </c>
      <c r="M31" s="11" t="str">
        <f t="shared" si="1"/>
        <v/>
      </c>
      <c r="N31" s="11" t="str">
        <f t="shared" si="2"/>
        <v/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</row>
    <row r="32" spans="2:77" x14ac:dyDescent="0.2">
      <c r="B32" s="54"/>
      <c r="C32" s="54"/>
      <c r="D32" s="53"/>
      <c r="E32" s="55"/>
      <c r="F32" s="55"/>
      <c r="G32" s="54"/>
      <c r="H32" s="54"/>
      <c r="I32" s="57"/>
      <c r="J32" s="54"/>
      <c r="K32" s="54"/>
      <c r="L32" s="12" t="str">
        <f t="shared" si="0"/>
        <v/>
      </c>
      <c r="M32" s="11" t="str">
        <f t="shared" si="1"/>
        <v/>
      </c>
      <c r="N32" s="11" t="str">
        <f t="shared" si="2"/>
        <v/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</row>
    <row r="33" spans="2:77" x14ac:dyDescent="0.2">
      <c r="B33" s="54"/>
      <c r="C33" s="54"/>
      <c r="D33" s="53"/>
      <c r="E33" s="55"/>
      <c r="F33" s="55"/>
      <c r="G33" s="54"/>
      <c r="H33" s="54"/>
      <c r="I33" s="57"/>
      <c r="J33" s="54"/>
      <c r="K33" s="54"/>
      <c r="L33" s="12" t="str">
        <f t="shared" si="0"/>
        <v/>
      </c>
      <c r="M33" s="11" t="str">
        <f t="shared" si="1"/>
        <v/>
      </c>
      <c r="N33" s="11" t="str">
        <f t="shared" si="2"/>
        <v/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</row>
    <row r="34" spans="2:77" x14ac:dyDescent="0.2">
      <c r="B34" s="54"/>
      <c r="C34" s="54"/>
      <c r="D34" s="53"/>
      <c r="E34" s="55"/>
      <c r="F34" s="55"/>
      <c r="G34" s="54"/>
      <c r="H34" s="54"/>
      <c r="I34" s="57"/>
      <c r="J34" s="54"/>
      <c r="K34" s="54"/>
      <c r="L34" s="12" t="str">
        <f t="shared" si="0"/>
        <v/>
      </c>
      <c r="M34" s="11" t="str">
        <f t="shared" si="1"/>
        <v/>
      </c>
      <c r="N34" s="11" t="str">
        <f t="shared" si="2"/>
        <v/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</row>
    <row r="35" spans="2:77" x14ac:dyDescent="0.2">
      <c r="B35" s="54"/>
      <c r="C35" s="54"/>
      <c r="D35" s="53"/>
      <c r="E35" s="55"/>
      <c r="F35" s="55"/>
      <c r="G35" s="54"/>
      <c r="H35" s="54"/>
      <c r="I35" s="57"/>
      <c r="J35" s="54"/>
      <c r="K35" s="54"/>
      <c r="L35" s="12" t="str">
        <f t="shared" si="0"/>
        <v/>
      </c>
      <c r="M35" s="11" t="str">
        <f t="shared" si="1"/>
        <v/>
      </c>
      <c r="N35" s="11" t="str">
        <f t="shared" si="2"/>
        <v/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</row>
    <row r="36" spans="2:77" x14ac:dyDescent="0.2">
      <c r="B36" s="54"/>
      <c r="C36" s="54"/>
      <c r="D36" s="53"/>
      <c r="E36" s="55"/>
      <c r="F36" s="55"/>
      <c r="G36" s="54"/>
      <c r="H36" s="54"/>
      <c r="I36" s="57"/>
      <c r="J36" s="54"/>
      <c r="K36" s="54"/>
      <c r="L36" s="12" t="str">
        <f t="shared" si="0"/>
        <v/>
      </c>
      <c r="M36" s="11" t="str">
        <f t="shared" si="1"/>
        <v/>
      </c>
      <c r="N36" s="11" t="str">
        <f t="shared" si="2"/>
        <v/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</row>
    <row r="37" spans="2:77" x14ac:dyDescent="0.2">
      <c r="B37" s="54"/>
      <c r="C37" s="54"/>
      <c r="D37" s="53"/>
      <c r="E37" s="55"/>
      <c r="F37" s="55"/>
      <c r="G37" s="54"/>
      <c r="H37" s="54"/>
      <c r="I37" s="57"/>
      <c r="J37" s="54"/>
      <c r="K37" s="54"/>
      <c r="L37" s="12" t="str">
        <f t="shared" si="0"/>
        <v/>
      </c>
      <c r="M37" s="11" t="str">
        <f t="shared" si="1"/>
        <v/>
      </c>
      <c r="N37" s="11" t="str">
        <f t="shared" si="2"/>
        <v/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</row>
    <row r="38" spans="2:77" x14ac:dyDescent="0.2">
      <c r="B38" s="54"/>
      <c r="C38" s="54"/>
      <c r="D38" s="53"/>
      <c r="E38" s="55"/>
      <c r="F38" s="55"/>
      <c r="G38" s="54"/>
      <c r="H38" s="54"/>
      <c r="I38" s="57"/>
      <c r="J38" s="54"/>
      <c r="K38" s="54"/>
      <c r="L38" s="12" t="str">
        <f t="shared" si="0"/>
        <v/>
      </c>
      <c r="M38" s="11" t="str">
        <f t="shared" si="1"/>
        <v/>
      </c>
      <c r="N38" s="11" t="str">
        <f t="shared" si="2"/>
        <v/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</row>
    <row r="39" spans="2:77" x14ac:dyDescent="0.2">
      <c r="B39" s="54"/>
      <c r="C39" s="54"/>
      <c r="D39" s="53"/>
      <c r="E39" s="55"/>
      <c r="F39" s="55"/>
      <c r="G39" s="54"/>
      <c r="H39" s="54"/>
      <c r="I39" s="57"/>
      <c r="J39" s="54"/>
      <c r="K39" s="54"/>
      <c r="L39" s="12" t="str">
        <f t="shared" si="0"/>
        <v/>
      </c>
      <c r="M39" s="11" t="str">
        <f t="shared" si="1"/>
        <v/>
      </c>
      <c r="N39" s="11" t="str">
        <f t="shared" si="2"/>
        <v/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</row>
    <row r="40" spans="2:77" x14ac:dyDescent="0.2">
      <c r="B40" s="54"/>
      <c r="C40" s="54"/>
      <c r="D40" s="53"/>
      <c r="E40" s="55"/>
      <c r="F40" s="55"/>
      <c r="G40" s="54"/>
      <c r="H40" s="54"/>
      <c r="I40" s="57"/>
      <c r="J40" s="54"/>
      <c r="K40" s="54"/>
      <c r="L40" s="12" t="str">
        <f t="shared" si="0"/>
        <v/>
      </c>
      <c r="M40" s="11" t="str">
        <f t="shared" si="1"/>
        <v/>
      </c>
      <c r="N40" s="11" t="str">
        <f t="shared" si="2"/>
        <v/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</row>
    <row r="41" spans="2:77" x14ac:dyDescent="0.2">
      <c r="B41" s="54"/>
      <c r="C41" s="54"/>
      <c r="D41" s="53"/>
      <c r="E41" s="55"/>
      <c r="F41" s="55"/>
      <c r="G41" s="54"/>
      <c r="H41" s="54"/>
      <c r="I41" s="57"/>
      <c r="J41" s="54"/>
      <c r="K41" s="54"/>
      <c r="L41" s="12" t="str">
        <f t="shared" si="0"/>
        <v/>
      </c>
      <c r="M41" s="11" t="str">
        <f t="shared" si="1"/>
        <v/>
      </c>
      <c r="N41" s="11" t="str">
        <f t="shared" si="2"/>
        <v/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</row>
    <row r="42" spans="2:77" x14ac:dyDescent="0.2">
      <c r="B42" s="54"/>
      <c r="C42" s="54"/>
      <c r="D42" s="53"/>
      <c r="E42" s="55"/>
      <c r="F42" s="55"/>
      <c r="G42" s="54"/>
      <c r="H42" s="54"/>
      <c r="I42" s="57"/>
      <c r="J42" s="54"/>
      <c r="K42" s="54"/>
      <c r="L42" s="12" t="str">
        <f t="shared" si="0"/>
        <v/>
      </c>
      <c r="M42" s="11" t="str">
        <f t="shared" si="1"/>
        <v/>
      </c>
      <c r="N42" s="11" t="str">
        <f t="shared" si="2"/>
        <v/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</row>
    <row r="43" spans="2:77" x14ac:dyDescent="0.2">
      <c r="B43" s="54"/>
      <c r="C43" s="54"/>
      <c r="D43" s="53"/>
      <c r="E43" s="55"/>
      <c r="F43" s="55"/>
      <c r="G43" s="54"/>
      <c r="H43" s="54"/>
      <c r="I43" s="57"/>
      <c r="J43" s="54"/>
      <c r="K43" s="54"/>
      <c r="L43" s="12" t="str">
        <f t="shared" si="0"/>
        <v/>
      </c>
      <c r="M43" s="11" t="str">
        <f t="shared" si="1"/>
        <v/>
      </c>
      <c r="N43" s="11" t="str">
        <f t="shared" si="2"/>
        <v/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</row>
    <row r="44" spans="2:77" x14ac:dyDescent="0.2">
      <c r="B44" s="54"/>
      <c r="C44" s="54"/>
      <c r="D44" s="53"/>
      <c r="E44" s="55"/>
      <c r="F44" s="55"/>
      <c r="G44" s="54"/>
      <c r="H44" s="54"/>
      <c r="I44" s="57"/>
      <c r="J44" s="54"/>
      <c r="K44" s="54"/>
      <c r="L44" s="12" t="str">
        <f t="shared" si="0"/>
        <v/>
      </c>
      <c r="M44" s="11" t="str">
        <f t="shared" si="1"/>
        <v/>
      </c>
      <c r="N44" s="11" t="str">
        <f t="shared" si="2"/>
        <v/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</row>
    <row r="45" spans="2:77" x14ac:dyDescent="0.2">
      <c r="B45" s="54"/>
      <c r="C45" s="54"/>
      <c r="D45" s="53"/>
      <c r="E45" s="55"/>
      <c r="F45" s="55"/>
      <c r="G45" s="54"/>
      <c r="H45" s="54"/>
      <c r="I45" s="57"/>
      <c r="J45" s="54"/>
      <c r="K45" s="54"/>
      <c r="L45" s="12" t="str">
        <f t="shared" si="0"/>
        <v/>
      </c>
      <c r="M45" s="11" t="str">
        <f t="shared" si="1"/>
        <v/>
      </c>
      <c r="N45" s="11" t="str">
        <f t="shared" si="2"/>
        <v/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</row>
    <row r="46" spans="2:77" x14ac:dyDescent="0.2">
      <c r="B46" s="54"/>
      <c r="C46" s="54"/>
      <c r="D46" s="53"/>
      <c r="E46" s="55"/>
      <c r="F46" s="55"/>
      <c r="G46" s="54"/>
      <c r="H46" s="54"/>
      <c r="I46" s="57"/>
      <c r="J46" s="54"/>
      <c r="K46" s="54"/>
      <c r="L46" s="12" t="str">
        <f t="shared" si="0"/>
        <v/>
      </c>
      <c r="M46" s="11" t="str">
        <f t="shared" si="1"/>
        <v/>
      </c>
      <c r="N46" s="11" t="str">
        <f t="shared" si="2"/>
        <v/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</row>
    <row r="47" spans="2:77" x14ac:dyDescent="0.2">
      <c r="B47" s="54"/>
      <c r="C47" s="54"/>
      <c r="D47" s="53"/>
      <c r="E47" s="55"/>
      <c r="F47" s="55"/>
      <c r="G47" s="54"/>
      <c r="H47" s="54"/>
      <c r="I47" s="57"/>
      <c r="J47" s="54"/>
      <c r="K47" s="54"/>
      <c r="L47" s="12" t="str">
        <f t="shared" si="0"/>
        <v/>
      </c>
      <c r="M47" s="11" t="str">
        <f t="shared" si="1"/>
        <v/>
      </c>
      <c r="N47" s="11" t="str">
        <f t="shared" si="2"/>
        <v/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</row>
    <row r="48" spans="2:77" x14ac:dyDescent="0.2">
      <c r="B48" s="54"/>
      <c r="C48" s="54"/>
      <c r="D48" s="53"/>
      <c r="E48" s="55"/>
      <c r="F48" s="55"/>
      <c r="G48" s="54"/>
      <c r="H48" s="54"/>
      <c r="I48" s="57"/>
      <c r="J48" s="54"/>
      <c r="K48" s="54"/>
      <c r="L48" s="12" t="str">
        <f t="shared" si="0"/>
        <v/>
      </c>
      <c r="M48" s="11" t="str">
        <f t="shared" si="1"/>
        <v/>
      </c>
      <c r="N48" s="11" t="str">
        <f t="shared" si="2"/>
        <v/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</row>
    <row r="49" spans="2:77" x14ac:dyDescent="0.2">
      <c r="B49" s="54"/>
      <c r="C49" s="54"/>
      <c r="D49" s="53"/>
      <c r="E49" s="55"/>
      <c r="F49" s="55"/>
      <c r="G49" s="54"/>
      <c r="H49" s="54"/>
      <c r="I49" s="57"/>
      <c r="J49" s="54"/>
      <c r="K49" s="54"/>
      <c r="L49" s="12" t="str">
        <f t="shared" si="0"/>
        <v/>
      </c>
      <c r="M49" s="11" t="str">
        <f t="shared" si="1"/>
        <v/>
      </c>
      <c r="N49" s="11" t="str">
        <f t="shared" si="2"/>
        <v/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</row>
    <row r="50" spans="2:77" x14ac:dyDescent="0.2">
      <c r="B50" s="54"/>
      <c r="C50" s="54"/>
      <c r="D50" s="53"/>
      <c r="E50" s="55"/>
      <c r="F50" s="55"/>
      <c r="G50" s="54"/>
      <c r="H50" s="54"/>
      <c r="I50" s="57"/>
      <c r="J50" s="54"/>
      <c r="K50" s="54"/>
      <c r="L50" s="12" t="str">
        <f t="shared" si="0"/>
        <v/>
      </c>
      <c r="M50" s="11" t="str">
        <f t="shared" si="1"/>
        <v/>
      </c>
      <c r="N50" s="11" t="str">
        <f t="shared" si="2"/>
        <v/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</row>
    <row r="51" spans="2:77" x14ac:dyDescent="0.2">
      <c r="B51" s="54"/>
      <c r="C51" s="54"/>
      <c r="D51" s="53"/>
      <c r="E51" s="55"/>
      <c r="F51" s="55"/>
      <c r="G51" s="54"/>
      <c r="H51" s="54"/>
      <c r="I51" s="57"/>
      <c r="J51" s="54"/>
      <c r="K51" s="54"/>
      <c r="L51" s="12" t="str">
        <f t="shared" si="0"/>
        <v/>
      </c>
      <c r="M51" s="11" t="str">
        <f t="shared" si="1"/>
        <v/>
      </c>
      <c r="N51" s="11" t="str">
        <f t="shared" si="2"/>
        <v/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</row>
    <row r="52" spans="2:77" x14ac:dyDescent="0.2">
      <c r="B52" s="54"/>
      <c r="C52" s="54"/>
      <c r="D52" s="53"/>
      <c r="E52" s="55"/>
      <c r="F52" s="55"/>
      <c r="G52" s="54"/>
      <c r="H52" s="54"/>
      <c r="I52" s="57"/>
      <c r="J52" s="54"/>
      <c r="K52" s="54"/>
      <c r="L52" s="12" t="str">
        <f t="shared" si="0"/>
        <v/>
      </c>
      <c r="M52" s="11" t="str">
        <f t="shared" si="1"/>
        <v/>
      </c>
      <c r="N52" s="11" t="str">
        <f t="shared" si="2"/>
        <v/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</row>
    <row r="53" spans="2:77" x14ac:dyDescent="0.2">
      <c r="B53" s="54"/>
      <c r="C53" s="54"/>
      <c r="D53" s="53"/>
      <c r="E53" s="55"/>
      <c r="F53" s="55"/>
      <c r="G53" s="54"/>
      <c r="H53" s="54"/>
      <c r="I53" s="57"/>
      <c r="J53" s="54"/>
      <c r="K53" s="54"/>
      <c r="L53" s="12" t="str">
        <f t="shared" si="0"/>
        <v/>
      </c>
      <c r="M53" s="11" t="str">
        <f t="shared" si="1"/>
        <v/>
      </c>
      <c r="N53" s="11" t="str">
        <f t="shared" si="2"/>
        <v/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</row>
    <row r="54" spans="2:77" x14ac:dyDescent="0.2">
      <c r="B54" s="54"/>
      <c r="C54" s="54"/>
      <c r="D54" s="53"/>
      <c r="E54" s="55"/>
      <c r="F54" s="55"/>
      <c r="G54" s="54"/>
      <c r="H54" s="54"/>
      <c r="I54" s="57"/>
      <c r="J54" s="54"/>
      <c r="K54" s="54"/>
      <c r="L54" s="12" t="str">
        <f t="shared" si="0"/>
        <v/>
      </c>
      <c r="M54" s="11" t="str">
        <f t="shared" si="1"/>
        <v/>
      </c>
      <c r="N54" s="11" t="str">
        <f t="shared" si="2"/>
        <v/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</row>
    <row r="55" spans="2:77" x14ac:dyDescent="0.2">
      <c r="B55" s="54"/>
      <c r="C55" s="54"/>
      <c r="D55" s="53"/>
      <c r="E55" s="55"/>
      <c r="F55" s="55"/>
      <c r="G55" s="54"/>
      <c r="H55" s="54"/>
      <c r="I55" s="57"/>
      <c r="J55" s="54"/>
      <c r="K55" s="54"/>
      <c r="L55" s="12" t="str">
        <f t="shared" si="0"/>
        <v/>
      </c>
      <c r="M55" s="11" t="str">
        <f t="shared" si="1"/>
        <v/>
      </c>
      <c r="N55" s="11" t="str">
        <f t="shared" si="2"/>
        <v/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</row>
    <row r="56" spans="2:77" x14ac:dyDescent="0.2">
      <c r="B56" s="54"/>
      <c r="C56" s="54"/>
      <c r="D56" s="53"/>
      <c r="E56" s="55"/>
      <c r="F56" s="55"/>
      <c r="G56" s="54"/>
      <c r="H56" s="54"/>
      <c r="I56" s="57"/>
      <c r="J56" s="54"/>
      <c r="K56" s="54"/>
      <c r="L56" s="12" t="str">
        <f t="shared" si="0"/>
        <v/>
      </c>
      <c r="M56" s="11" t="str">
        <f t="shared" si="1"/>
        <v/>
      </c>
      <c r="N56" s="11" t="str">
        <f t="shared" si="2"/>
        <v/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</row>
    <row r="57" spans="2:77" x14ac:dyDescent="0.2">
      <c r="B57" s="54"/>
      <c r="C57" s="54"/>
      <c r="D57" s="53"/>
      <c r="E57" s="55"/>
      <c r="F57" s="55"/>
      <c r="G57" s="54"/>
      <c r="H57" s="54"/>
      <c r="I57" s="57"/>
      <c r="J57" s="54"/>
      <c r="K57" s="54"/>
      <c r="L57" s="12" t="str">
        <f t="shared" si="0"/>
        <v/>
      </c>
      <c r="M57" s="11" t="str">
        <f t="shared" si="1"/>
        <v/>
      </c>
      <c r="N57" s="11" t="str">
        <f t="shared" si="2"/>
        <v/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</row>
    <row r="58" spans="2:77" x14ac:dyDescent="0.2">
      <c r="B58" s="54"/>
      <c r="C58" s="54"/>
      <c r="D58" s="53"/>
      <c r="E58" s="55"/>
      <c r="F58" s="55"/>
      <c r="G58" s="54"/>
      <c r="H58" s="54"/>
      <c r="I58" s="57"/>
      <c r="J58" s="54"/>
      <c r="K58" s="54"/>
      <c r="L58" s="12" t="str">
        <f t="shared" si="0"/>
        <v/>
      </c>
      <c r="M58" s="11" t="str">
        <f t="shared" si="1"/>
        <v/>
      </c>
      <c r="N58" s="11" t="str">
        <f t="shared" si="2"/>
        <v/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</row>
    <row r="59" spans="2:77" x14ac:dyDescent="0.2">
      <c r="B59" s="54"/>
      <c r="C59" s="54"/>
      <c r="D59" s="53"/>
      <c r="E59" s="55"/>
      <c r="F59" s="55"/>
      <c r="G59" s="54"/>
      <c r="H59" s="54"/>
      <c r="I59" s="57"/>
      <c r="J59" s="54"/>
      <c r="K59" s="54"/>
      <c r="L59" s="12" t="str">
        <f t="shared" si="0"/>
        <v/>
      </c>
      <c r="M59" s="11" t="str">
        <f t="shared" si="1"/>
        <v/>
      </c>
      <c r="N59" s="11" t="str">
        <f t="shared" si="2"/>
        <v/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</row>
    <row r="60" spans="2:77" x14ac:dyDescent="0.2">
      <c r="B60" s="54"/>
      <c r="C60" s="54"/>
      <c r="D60" s="53"/>
      <c r="E60" s="55"/>
      <c r="F60" s="55"/>
      <c r="G60" s="54"/>
      <c r="H60" s="54"/>
      <c r="I60" s="57"/>
      <c r="J60" s="54"/>
      <c r="K60" s="54"/>
      <c r="L60" s="12" t="str">
        <f t="shared" si="0"/>
        <v/>
      </c>
      <c r="M60" s="11" t="str">
        <f t="shared" si="1"/>
        <v/>
      </c>
      <c r="N60" s="11" t="str">
        <f t="shared" si="2"/>
        <v/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</row>
    <row r="61" spans="2:77" x14ac:dyDescent="0.2">
      <c r="B61" s="54"/>
      <c r="C61" s="54"/>
      <c r="D61" s="53"/>
      <c r="E61" s="55"/>
      <c r="F61" s="55"/>
      <c r="G61" s="54"/>
      <c r="H61" s="54"/>
      <c r="I61" s="57"/>
      <c r="J61" s="54"/>
      <c r="K61" s="54"/>
      <c r="L61" s="12" t="str">
        <f t="shared" si="0"/>
        <v/>
      </c>
      <c r="M61" s="11" t="str">
        <f t="shared" si="1"/>
        <v/>
      </c>
      <c r="N61" s="11" t="str">
        <f t="shared" si="2"/>
        <v/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</row>
    <row r="62" spans="2:77" x14ac:dyDescent="0.2">
      <c r="B62" s="54"/>
      <c r="C62" s="54"/>
      <c r="D62" s="53"/>
      <c r="E62" s="55"/>
      <c r="F62" s="55"/>
      <c r="G62" s="54"/>
      <c r="H62" s="54"/>
      <c r="I62" s="57"/>
      <c r="J62" s="54"/>
      <c r="K62" s="54"/>
      <c r="L62" s="12" t="str">
        <f t="shared" si="0"/>
        <v/>
      </c>
      <c r="M62" s="11" t="str">
        <f t="shared" si="1"/>
        <v/>
      </c>
      <c r="N62" s="11" t="str">
        <f t="shared" si="2"/>
        <v/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</row>
    <row r="63" spans="2:77" x14ac:dyDescent="0.2">
      <c r="B63" s="54"/>
      <c r="C63" s="54"/>
      <c r="D63" s="53"/>
      <c r="E63" s="55"/>
      <c r="F63" s="55"/>
      <c r="G63" s="54"/>
      <c r="H63" s="54"/>
      <c r="I63" s="57"/>
      <c r="J63" s="54"/>
      <c r="K63" s="54"/>
      <c r="L63" s="12" t="str">
        <f t="shared" si="0"/>
        <v/>
      </c>
      <c r="M63" s="11" t="str">
        <f t="shared" si="1"/>
        <v/>
      </c>
      <c r="N63" s="11" t="str">
        <f t="shared" si="2"/>
        <v/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</row>
    <row r="64" spans="2:77" x14ac:dyDescent="0.2">
      <c r="B64" s="54"/>
      <c r="C64" s="54"/>
      <c r="D64" s="53"/>
      <c r="E64" s="55"/>
      <c r="F64" s="55"/>
      <c r="G64" s="54"/>
      <c r="H64" s="54"/>
      <c r="I64" s="57"/>
      <c r="J64" s="54"/>
      <c r="K64" s="54"/>
      <c r="L64" s="12" t="str">
        <f t="shared" si="0"/>
        <v/>
      </c>
      <c r="M64" s="11" t="str">
        <f t="shared" si="1"/>
        <v/>
      </c>
      <c r="N64" s="11" t="str">
        <f t="shared" si="2"/>
        <v/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</row>
    <row r="65" spans="2:77" x14ac:dyDescent="0.2">
      <c r="B65" s="54"/>
      <c r="C65" s="54"/>
      <c r="D65" s="53"/>
      <c r="E65" s="55"/>
      <c r="F65" s="55"/>
      <c r="G65" s="54"/>
      <c r="H65" s="54"/>
      <c r="I65" s="57"/>
      <c r="J65" s="54"/>
      <c r="K65" s="54"/>
      <c r="L65" s="12" t="str">
        <f t="shared" si="0"/>
        <v/>
      </c>
      <c r="M65" s="11" t="str">
        <f t="shared" si="1"/>
        <v/>
      </c>
      <c r="N65" s="11" t="str">
        <f t="shared" si="2"/>
        <v/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</row>
    <row r="66" spans="2:77" x14ac:dyDescent="0.2">
      <c r="B66" s="54"/>
      <c r="C66" s="54"/>
      <c r="D66" s="53"/>
      <c r="E66" s="55"/>
      <c r="F66" s="55"/>
      <c r="G66" s="54"/>
      <c r="H66" s="54"/>
      <c r="I66" s="57"/>
      <c r="J66" s="54"/>
      <c r="K66" s="54"/>
      <c r="L66" s="12" t="str">
        <f t="shared" si="0"/>
        <v/>
      </c>
      <c r="M66" s="11" t="str">
        <f t="shared" si="1"/>
        <v/>
      </c>
      <c r="N66" s="11" t="str">
        <f t="shared" si="2"/>
        <v/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</row>
    <row r="67" spans="2:77" x14ac:dyDescent="0.2">
      <c r="B67" s="54"/>
      <c r="C67" s="54"/>
      <c r="D67" s="53"/>
      <c r="E67" s="55"/>
      <c r="F67" s="55"/>
      <c r="G67" s="54"/>
      <c r="H67" s="54"/>
      <c r="I67" s="57"/>
      <c r="J67" s="54"/>
      <c r="K67" s="54"/>
      <c r="L67" s="12" t="str">
        <f t="shared" si="0"/>
        <v/>
      </c>
      <c r="M67" s="11" t="str">
        <f t="shared" si="1"/>
        <v/>
      </c>
      <c r="N67" s="11" t="str">
        <f t="shared" si="2"/>
        <v/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</row>
    <row r="68" spans="2:77" x14ac:dyDescent="0.2">
      <c r="B68" s="54"/>
      <c r="C68" s="54"/>
      <c r="D68" s="53"/>
      <c r="E68" s="55"/>
      <c r="F68" s="55"/>
      <c r="G68" s="54"/>
      <c r="H68" s="54"/>
      <c r="I68" s="57"/>
      <c r="J68" s="54"/>
      <c r="K68" s="54"/>
      <c r="L68" s="12" t="str">
        <f t="shared" si="0"/>
        <v/>
      </c>
      <c r="M68" s="11" t="str">
        <f t="shared" si="1"/>
        <v/>
      </c>
      <c r="N68" s="11" t="str">
        <f t="shared" si="2"/>
        <v/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</row>
    <row r="69" spans="2:77" x14ac:dyDescent="0.2">
      <c r="B69" s="54"/>
      <c r="C69" s="54"/>
      <c r="D69" s="53"/>
      <c r="E69" s="55"/>
      <c r="F69" s="55"/>
      <c r="G69" s="54"/>
      <c r="H69" s="54"/>
      <c r="I69" s="57"/>
      <c r="J69" s="54"/>
      <c r="K69" s="54"/>
      <c r="L69" s="12" t="str">
        <f t="shared" si="0"/>
        <v/>
      </c>
      <c r="M69" s="11" t="str">
        <f t="shared" si="1"/>
        <v/>
      </c>
      <c r="N69" s="11" t="str">
        <f t="shared" si="2"/>
        <v/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</row>
    <row r="70" spans="2:77" x14ac:dyDescent="0.2">
      <c r="B70" s="54"/>
      <c r="C70" s="54"/>
      <c r="D70" s="53"/>
      <c r="E70" s="55"/>
      <c r="F70" s="55"/>
      <c r="G70" s="54"/>
      <c r="H70" s="54"/>
      <c r="I70" s="57"/>
      <c r="J70" s="54"/>
      <c r="K70" s="54"/>
      <c r="L70" s="12" t="str">
        <f t="shared" si="0"/>
        <v/>
      </c>
      <c r="M70" s="11" t="str">
        <f t="shared" si="1"/>
        <v/>
      </c>
      <c r="N70" s="11" t="str">
        <f t="shared" si="2"/>
        <v/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</row>
    <row r="71" spans="2:77" x14ac:dyDescent="0.2">
      <c r="B71" s="54"/>
      <c r="C71" s="54"/>
      <c r="D71" s="53"/>
      <c r="E71" s="55"/>
      <c r="F71" s="55"/>
      <c r="G71" s="54"/>
      <c r="H71" s="54"/>
      <c r="I71" s="57"/>
      <c r="J71" s="54"/>
      <c r="K71" s="54"/>
      <c r="L71" s="12" t="str">
        <f t="shared" ref="L71:L134" si="3">IF(G71="","",IF(G71&gt;0,H71-(3.14*K71)/10))</f>
        <v/>
      </c>
      <c r="M71" s="11" t="str">
        <f t="shared" si="1"/>
        <v/>
      </c>
      <c r="N71" s="11" t="str">
        <f t="shared" si="2"/>
        <v/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</row>
    <row r="72" spans="2:77" x14ac:dyDescent="0.2">
      <c r="B72" s="54"/>
      <c r="C72" s="54"/>
      <c r="D72" s="53"/>
      <c r="E72" s="55"/>
      <c r="F72" s="55"/>
      <c r="G72" s="54"/>
      <c r="H72" s="54"/>
      <c r="I72" s="57"/>
      <c r="J72" s="54"/>
      <c r="K72" s="54"/>
      <c r="L72" s="12" t="str">
        <f t="shared" si="3"/>
        <v/>
      </c>
      <c r="M72" s="11" t="str">
        <f t="shared" ref="M72:M135" si="4">IF(D72="feminino",((1.83*G72)-(0.24*C72)+84.88)/100,IF(D72="masculino",((2.02*G72)-(0.04*C72)+64.19)/100,""))</f>
        <v/>
      </c>
      <c r="N72" s="11" t="str">
        <f t="shared" ref="N72:N135" si="5">IF(D72="feminino",(1.27*I72)+(0.87*G72)+(0.98*H72)+(0.4*J72)-62.35,IF(D72="masculino",(0.98*I72)+(1.16*G72)+(1.73*H72)+(0.37*J72)-81.69,""))</f>
        <v/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</row>
    <row r="73" spans="2:77" x14ac:dyDescent="0.2">
      <c r="B73" s="54"/>
      <c r="C73" s="54"/>
      <c r="D73" s="53"/>
      <c r="E73" s="55"/>
      <c r="F73" s="55"/>
      <c r="G73" s="54"/>
      <c r="H73" s="54"/>
      <c r="I73" s="57"/>
      <c r="J73" s="54"/>
      <c r="K73" s="54"/>
      <c r="L73" s="12" t="str">
        <f t="shared" si="3"/>
        <v/>
      </c>
      <c r="M73" s="11" t="str">
        <f t="shared" si="4"/>
        <v/>
      </c>
      <c r="N73" s="11" t="str">
        <f t="shared" si="5"/>
        <v/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</row>
    <row r="74" spans="2:77" x14ac:dyDescent="0.2">
      <c r="B74" s="54"/>
      <c r="C74" s="54"/>
      <c r="D74" s="53"/>
      <c r="E74" s="55"/>
      <c r="F74" s="55"/>
      <c r="G74" s="54"/>
      <c r="H74" s="54"/>
      <c r="I74" s="57"/>
      <c r="J74" s="54"/>
      <c r="K74" s="54"/>
      <c r="L74" s="12" t="str">
        <f t="shared" si="3"/>
        <v/>
      </c>
      <c r="M74" s="11" t="str">
        <f t="shared" si="4"/>
        <v/>
      </c>
      <c r="N74" s="11" t="str">
        <f t="shared" si="5"/>
        <v/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</row>
    <row r="75" spans="2:77" x14ac:dyDescent="0.2">
      <c r="B75" s="54"/>
      <c r="C75" s="54"/>
      <c r="D75" s="53"/>
      <c r="E75" s="55"/>
      <c r="F75" s="55"/>
      <c r="G75" s="54"/>
      <c r="H75" s="54"/>
      <c r="I75" s="57"/>
      <c r="J75" s="54"/>
      <c r="K75" s="54"/>
      <c r="L75" s="12" t="str">
        <f t="shared" si="3"/>
        <v/>
      </c>
      <c r="M75" s="11" t="str">
        <f t="shared" si="4"/>
        <v/>
      </c>
      <c r="N75" s="11" t="str">
        <f t="shared" si="5"/>
        <v/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</row>
    <row r="76" spans="2:77" x14ac:dyDescent="0.2">
      <c r="B76" s="54"/>
      <c r="C76" s="54"/>
      <c r="D76" s="53"/>
      <c r="E76" s="55"/>
      <c r="F76" s="55"/>
      <c r="G76" s="54"/>
      <c r="H76" s="54"/>
      <c r="I76" s="57"/>
      <c r="J76" s="54"/>
      <c r="K76" s="54"/>
      <c r="L76" s="12" t="str">
        <f t="shared" si="3"/>
        <v/>
      </c>
      <c r="M76" s="11" t="str">
        <f t="shared" si="4"/>
        <v/>
      </c>
      <c r="N76" s="11" t="str">
        <f t="shared" si="5"/>
        <v/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</row>
    <row r="77" spans="2:77" x14ac:dyDescent="0.2">
      <c r="B77" s="54"/>
      <c r="C77" s="54"/>
      <c r="D77" s="53"/>
      <c r="E77" s="55"/>
      <c r="F77" s="55"/>
      <c r="G77" s="54"/>
      <c r="H77" s="54"/>
      <c r="I77" s="57"/>
      <c r="J77" s="54"/>
      <c r="K77" s="54"/>
      <c r="L77" s="12" t="str">
        <f t="shared" si="3"/>
        <v/>
      </c>
      <c r="M77" s="11" t="str">
        <f t="shared" si="4"/>
        <v/>
      </c>
      <c r="N77" s="11" t="str">
        <f t="shared" si="5"/>
        <v/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</row>
    <row r="78" spans="2:77" x14ac:dyDescent="0.2">
      <c r="B78" s="54"/>
      <c r="C78" s="54"/>
      <c r="D78" s="53"/>
      <c r="E78" s="55"/>
      <c r="F78" s="55"/>
      <c r="G78" s="54"/>
      <c r="H78" s="54"/>
      <c r="I78" s="57"/>
      <c r="J78" s="54"/>
      <c r="K78" s="54"/>
      <c r="L78" s="12" t="str">
        <f t="shared" si="3"/>
        <v/>
      </c>
      <c r="M78" s="11" t="str">
        <f t="shared" si="4"/>
        <v/>
      </c>
      <c r="N78" s="11" t="str">
        <f t="shared" si="5"/>
        <v/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</row>
    <row r="79" spans="2:77" x14ac:dyDescent="0.2">
      <c r="B79" s="54"/>
      <c r="C79" s="54"/>
      <c r="D79" s="53"/>
      <c r="E79" s="55"/>
      <c r="F79" s="55"/>
      <c r="G79" s="54"/>
      <c r="H79" s="54"/>
      <c r="I79" s="57"/>
      <c r="J79" s="54"/>
      <c r="K79" s="54"/>
      <c r="L79" s="12" t="str">
        <f t="shared" si="3"/>
        <v/>
      </c>
      <c r="M79" s="11" t="str">
        <f t="shared" si="4"/>
        <v/>
      </c>
      <c r="N79" s="11" t="str">
        <f t="shared" si="5"/>
        <v/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</row>
    <row r="80" spans="2:77" x14ac:dyDescent="0.2">
      <c r="B80" s="54"/>
      <c r="C80" s="54"/>
      <c r="D80" s="53"/>
      <c r="E80" s="55"/>
      <c r="F80" s="55"/>
      <c r="G80" s="54"/>
      <c r="H80" s="54"/>
      <c r="I80" s="57"/>
      <c r="J80" s="54"/>
      <c r="K80" s="54"/>
      <c r="L80" s="12" t="str">
        <f t="shared" si="3"/>
        <v/>
      </c>
      <c r="M80" s="11" t="str">
        <f t="shared" si="4"/>
        <v/>
      </c>
      <c r="N80" s="11" t="str">
        <f t="shared" si="5"/>
        <v/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</row>
    <row r="81" spans="2:77" x14ac:dyDescent="0.2">
      <c r="B81" s="54"/>
      <c r="C81" s="54"/>
      <c r="D81" s="53"/>
      <c r="E81" s="55"/>
      <c r="F81" s="55"/>
      <c r="G81" s="54"/>
      <c r="H81" s="54"/>
      <c r="I81" s="57"/>
      <c r="J81" s="54"/>
      <c r="K81" s="54"/>
      <c r="L81" s="12" t="str">
        <f t="shared" si="3"/>
        <v/>
      </c>
      <c r="M81" s="11" t="str">
        <f t="shared" si="4"/>
        <v/>
      </c>
      <c r="N81" s="11" t="str">
        <f t="shared" si="5"/>
        <v/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</row>
    <row r="82" spans="2:77" x14ac:dyDescent="0.2">
      <c r="B82" s="54"/>
      <c r="C82" s="54"/>
      <c r="D82" s="53"/>
      <c r="E82" s="55"/>
      <c r="F82" s="55"/>
      <c r="G82" s="54"/>
      <c r="H82" s="54"/>
      <c r="I82" s="57"/>
      <c r="J82" s="54"/>
      <c r="K82" s="54"/>
      <c r="L82" s="12" t="str">
        <f t="shared" si="3"/>
        <v/>
      </c>
      <c r="M82" s="11" t="str">
        <f t="shared" si="4"/>
        <v/>
      </c>
      <c r="N82" s="11" t="str">
        <f t="shared" si="5"/>
        <v/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</row>
    <row r="83" spans="2:77" x14ac:dyDescent="0.2">
      <c r="B83" s="54"/>
      <c r="C83" s="54"/>
      <c r="D83" s="53"/>
      <c r="E83" s="55"/>
      <c r="F83" s="55"/>
      <c r="G83" s="54"/>
      <c r="H83" s="54"/>
      <c r="I83" s="57"/>
      <c r="J83" s="54"/>
      <c r="K83" s="54"/>
      <c r="L83" s="12" t="str">
        <f t="shared" si="3"/>
        <v/>
      </c>
      <c r="M83" s="11" t="str">
        <f t="shared" si="4"/>
        <v/>
      </c>
      <c r="N83" s="11" t="str">
        <f t="shared" si="5"/>
        <v/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</row>
    <row r="84" spans="2:77" x14ac:dyDescent="0.2">
      <c r="B84" s="54"/>
      <c r="C84" s="54"/>
      <c r="D84" s="53"/>
      <c r="E84" s="55"/>
      <c r="F84" s="55"/>
      <c r="G84" s="54"/>
      <c r="H84" s="54"/>
      <c r="I84" s="57"/>
      <c r="J84" s="54"/>
      <c r="K84" s="54"/>
      <c r="L84" s="12" t="str">
        <f t="shared" si="3"/>
        <v/>
      </c>
      <c r="M84" s="11" t="str">
        <f t="shared" si="4"/>
        <v/>
      </c>
      <c r="N84" s="11" t="str">
        <f t="shared" si="5"/>
        <v/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</row>
    <row r="85" spans="2:77" x14ac:dyDescent="0.2">
      <c r="B85" s="54"/>
      <c r="C85" s="54"/>
      <c r="D85" s="53"/>
      <c r="E85" s="55"/>
      <c r="F85" s="55"/>
      <c r="G85" s="54"/>
      <c r="H85" s="54"/>
      <c r="I85" s="57"/>
      <c r="J85" s="54"/>
      <c r="K85" s="54"/>
      <c r="L85" s="12" t="str">
        <f t="shared" si="3"/>
        <v/>
      </c>
      <c r="M85" s="11" t="str">
        <f t="shared" si="4"/>
        <v/>
      </c>
      <c r="N85" s="11" t="str">
        <f t="shared" si="5"/>
        <v/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</row>
    <row r="86" spans="2:77" x14ac:dyDescent="0.2">
      <c r="B86" s="54"/>
      <c r="C86" s="54"/>
      <c r="D86" s="53"/>
      <c r="E86" s="55"/>
      <c r="F86" s="55"/>
      <c r="G86" s="54"/>
      <c r="H86" s="54"/>
      <c r="I86" s="57"/>
      <c r="J86" s="54"/>
      <c r="K86" s="54"/>
      <c r="L86" s="12" t="str">
        <f t="shared" si="3"/>
        <v/>
      </c>
      <c r="M86" s="11" t="str">
        <f t="shared" si="4"/>
        <v/>
      </c>
      <c r="N86" s="11" t="str">
        <f t="shared" si="5"/>
        <v/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</row>
    <row r="87" spans="2:77" x14ac:dyDescent="0.2">
      <c r="B87" s="54"/>
      <c r="C87" s="54"/>
      <c r="D87" s="53"/>
      <c r="E87" s="55"/>
      <c r="F87" s="55"/>
      <c r="G87" s="54"/>
      <c r="H87" s="54"/>
      <c r="I87" s="57"/>
      <c r="J87" s="54"/>
      <c r="K87" s="54"/>
      <c r="L87" s="12" t="str">
        <f t="shared" si="3"/>
        <v/>
      </c>
      <c r="M87" s="11" t="str">
        <f t="shared" si="4"/>
        <v/>
      </c>
      <c r="N87" s="11" t="str">
        <f t="shared" si="5"/>
        <v/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</row>
    <row r="88" spans="2:77" x14ac:dyDescent="0.2">
      <c r="B88" s="54"/>
      <c r="C88" s="54"/>
      <c r="D88" s="53"/>
      <c r="E88" s="55"/>
      <c r="F88" s="55"/>
      <c r="G88" s="54"/>
      <c r="H88" s="54"/>
      <c r="I88" s="57"/>
      <c r="J88" s="54"/>
      <c r="K88" s="54"/>
      <c r="L88" s="12" t="str">
        <f t="shared" si="3"/>
        <v/>
      </c>
      <c r="M88" s="11" t="str">
        <f t="shared" si="4"/>
        <v/>
      </c>
      <c r="N88" s="11" t="str">
        <f t="shared" si="5"/>
        <v/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</row>
    <row r="89" spans="2:77" x14ac:dyDescent="0.2">
      <c r="B89" s="54"/>
      <c r="C89" s="54"/>
      <c r="D89" s="53"/>
      <c r="E89" s="55"/>
      <c r="F89" s="55"/>
      <c r="G89" s="54"/>
      <c r="H89" s="54"/>
      <c r="I89" s="57"/>
      <c r="J89" s="54"/>
      <c r="K89" s="54"/>
      <c r="L89" s="12" t="str">
        <f t="shared" si="3"/>
        <v/>
      </c>
      <c r="M89" s="11" t="str">
        <f t="shared" si="4"/>
        <v/>
      </c>
      <c r="N89" s="11" t="str">
        <f t="shared" si="5"/>
        <v/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</row>
    <row r="90" spans="2:77" x14ac:dyDescent="0.2">
      <c r="B90" s="54"/>
      <c r="C90" s="54"/>
      <c r="D90" s="53"/>
      <c r="E90" s="55"/>
      <c r="F90" s="55"/>
      <c r="G90" s="54"/>
      <c r="H90" s="54"/>
      <c r="I90" s="57"/>
      <c r="J90" s="54"/>
      <c r="K90" s="54"/>
      <c r="L90" s="12" t="str">
        <f t="shared" si="3"/>
        <v/>
      </c>
      <c r="M90" s="11" t="str">
        <f t="shared" si="4"/>
        <v/>
      </c>
      <c r="N90" s="11" t="str">
        <f t="shared" si="5"/>
        <v/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</row>
    <row r="91" spans="2:77" x14ac:dyDescent="0.2">
      <c r="B91" s="54"/>
      <c r="C91" s="54"/>
      <c r="D91" s="53"/>
      <c r="E91" s="55"/>
      <c r="F91" s="55"/>
      <c r="G91" s="54"/>
      <c r="H91" s="54"/>
      <c r="I91" s="57"/>
      <c r="J91" s="54"/>
      <c r="K91" s="54"/>
      <c r="L91" s="12" t="str">
        <f t="shared" si="3"/>
        <v/>
      </c>
      <c r="M91" s="11" t="str">
        <f t="shared" si="4"/>
        <v/>
      </c>
      <c r="N91" s="11" t="str">
        <f t="shared" si="5"/>
        <v/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</row>
    <row r="92" spans="2:77" x14ac:dyDescent="0.2">
      <c r="B92" s="54"/>
      <c r="C92" s="54"/>
      <c r="D92" s="53"/>
      <c r="E92" s="55"/>
      <c r="F92" s="55"/>
      <c r="G92" s="54"/>
      <c r="H92" s="54"/>
      <c r="I92" s="57"/>
      <c r="J92" s="54"/>
      <c r="K92" s="54"/>
      <c r="L92" s="12" t="str">
        <f t="shared" si="3"/>
        <v/>
      </c>
      <c r="M92" s="11" t="str">
        <f t="shared" si="4"/>
        <v/>
      </c>
      <c r="N92" s="11" t="str">
        <f t="shared" si="5"/>
        <v/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</row>
    <row r="93" spans="2:77" x14ac:dyDescent="0.2">
      <c r="B93" s="54"/>
      <c r="C93" s="54"/>
      <c r="D93" s="53"/>
      <c r="E93" s="55"/>
      <c r="F93" s="55"/>
      <c r="G93" s="54"/>
      <c r="H93" s="54"/>
      <c r="I93" s="57"/>
      <c r="J93" s="54"/>
      <c r="K93" s="54"/>
      <c r="L93" s="12" t="str">
        <f t="shared" si="3"/>
        <v/>
      </c>
      <c r="M93" s="11" t="str">
        <f t="shared" si="4"/>
        <v/>
      </c>
      <c r="N93" s="11" t="str">
        <f t="shared" si="5"/>
        <v/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</row>
    <row r="94" spans="2:77" x14ac:dyDescent="0.2">
      <c r="B94" s="54"/>
      <c r="C94" s="54"/>
      <c r="D94" s="53"/>
      <c r="E94" s="55"/>
      <c r="F94" s="55"/>
      <c r="G94" s="54"/>
      <c r="H94" s="54"/>
      <c r="I94" s="57"/>
      <c r="J94" s="54"/>
      <c r="K94" s="54"/>
      <c r="L94" s="12" t="str">
        <f t="shared" si="3"/>
        <v/>
      </c>
      <c r="M94" s="11" t="str">
        <f t="shared" si="4"/>
        <v/>
      </c>
      <c r="N94" s="11" t="str">
        <f t="shared" si="5"/>
        <v/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</row>
    <row r="95" spans="2:77" x14ac:dyDescent="0.2">
      <c r="B95" s="54"/>
      <c r="C95" s="54"/>
      <c r="D95" s="53"/>
      <c r="E95" s="55"/>
      <c r="F95" s="55"/>
      <c r="G95" s="54"/>
      <c r="H95" s="54"/>
      <c r="I95" s="57"/>
      <c r="J95" s="54"/>
      <c r="K95" s="54"/>
      <c r="L95" s="12" t="str">
        <f t="shared" si="3"/>
        <v/>
      </c>
      <c r="M95" s="11" t="str">
        <f t="shared" si="4"/>
        <v/>
      </c>
      <c r="N95" s="11" t="str">
        <f t="shared" si="5"/>
        <v/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</row>
    <row r="96" spans="2:77" x14ac:dyDescent="0.2">
      <c r="B96" s="54"/>
      <c r="C96" s="54"/>
      <c r="D96" s="53"/>
      <c r="E96" s="55"/>
      <c r="F96" s="55"/>
      <c r="G96" s="54"/>
      <c r="H96" s="54"/>
      <c r="I96" s="57"/>
      <c r="J96" s="54"/>
      <c r="K96" s="54"/>
      <c r="L96" s="12" t="str">
        <f t="shared" si="3"/>
        <v/>
      </c>
      <c r="M96" s="11" t="str">
        <f t="shared" si="4"/>
        <v/>
      </c>
      <c r="N96" s="11" t="str">
        <f t="shared" si="5"/>
        <v/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</row>
    <row r="97" spans="2:77" x14ac:dyDescent="0.2">
      <c r="B97" s="54"/>
      <c r="C97" s="54"/>
      <c r="D97" s="53"/>
      <c r="E97" s="55"/>
      <c r="F97" s="55"/>
      <c r="G97" s="54"/>
      <c r="H97" s="54"/>
      <c r="I97" s="57"/>
      <c r="J97" s="54"/>
      <c r="K97" s="54"/>
      <c r="L97" s="12" t="str">
        <f t="shared" si="3"/>
        <v/>
      </c>
      <c r="M97" s="11" t="str">
        <f t="shared" si="4"/>
        <v/>
      </c>
      <c r="N97" s="11" t="str">
        <f t="shared" si="5"/>
        <v/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</row>
    <row r="98" spans="2:77" x14ac:dyDescent="0.2">
      <c r="B98" s="54"/>
      <c r="C98" s="54"/>
      <c r="D98" s="53"/>
      <c r="E98" s="55"/>
      <c r="F98" s="55"/>
      <c r="G98" s="54"/>
      <c r="H98" s="54"/>
      <c r="I98" s="57"/>
      <c r="J98" s="54"/>
      <c r="K98" s="54"/>
      <c r="L98" s="12" t="str">
        <f t="shared" si="3"/>
        <v/>
      </c>
      <c r="M98" s="11" t="str">
        <f t="shared" si="4"/>
        <v/>
      </c>
      <c r="N98" s="11" t="str">
        <f t="shared" si="5"/>
        <v/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</row>
    <row r="99" spans="2:77" x14ac:dyDescent="0.2">
      <c r="B99" s="54"/>
      <c r="C99" s="54"/>
      <c r="D99" s="53"/>
      <c r="E99" s="55"/>
      <c r="F99" s="55"/>
      <c r="G99" s="54"/>
      <c r="H99" s="54"/>
      <c r="I99" s="57"/>
      <c r="J99" s="54"/>
      <c r="K99" s="54"/>
      <c r="L99" s="12" t="str">
        <f t="shared" si="3"/>
        <v/>
      </c>
      <c r="M99" s="11" t="str">
        <f t="shared" si="4"/>
        <v/>
      </c>
      <c r="N99" s="11" t="str">
        <f t="shared" si="5"/>
        <v/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</row>
    <row r="100" spans="2:77" x14ac:dyDescent="0.2">
      <c r="B100" s="54"/>
      <c r="C100" s="54"/>
      <c r="D100" s="53"/>
      <c r="E100" s="55"/>
      <c r="F100" s="55"/>
      <c r="G100" s="54"/>
      <c r="H100" s="54"/>
      <c r="I100" s="57"/>
      <c r="J100" s="54"/>
      <c r="K100" s="54"/>
      <c r="L100" s="12" t="str">
        <f t="shared" si="3"/>
        <v/>
      </c>
      <c r="M100" s="11" t="str">
        <f t="shared" si="4"/>
        <v/>
      </c>
      <c r="N100" s="11" t="str">
        <f t="shared" si="5"/>
        <v/>
      </c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</row>
    <row r="101" spans="2:77" x14ac:dyDescent="0.2">
      <c r="B101" s="54"/>
      <c r="C101" s="54"/>
      <c r="D101" s="53"/>
      <c r="E101" s="55"/>
      <c r="F101" s="55"/>
      <c r="G101" s="54"/>
      <c r="H101" s="54"/>
      <c r="I101" s="57"/>
      <c r="J101" s="54"/>
      <c r="K101" s="54"/>
      <c r="L101" s="12" t="str">
        <f t="shared" si="3"/>
        <v/>
      </c>
      <c r="M101" s="11" t="str">
        <f t="shared" si="4"/>
        <v/>
      </c>
      <c r="N101" s="11" t="str">
        <f t="shared" si="5"/>
        <v/>
      </c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</row>
    <row r="102" spans="2:77" x14ac:dyDescent="0.2">
      <c r="B102" s="54"/>
      <c r="C102" s="54"/>
      <c r="D102" s="53"/>
      <c r="E102" s="55"/>
      <c r="F102" s="55"/>
      <c r="G102" s="54"/>
      <c r="H102" s="54"/>
      <c r="I102" s="57"/>
      <c r="J102" s="54"/>
      <c r="K102" s="54"/>
      <c r="L102" s="12" t="str">
        <f t="shared" si="3"/>
        <v/>
      </c>
      <c r="M102" s="11" t="str">
        <f t="shared" si="4"/>
        <v/>
      </c>
      <c r="N102" s="11" t="str">
        <f t="shared" si="5"/>
        <v/>
      </c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</row>
    <row r="103" spans="2:77" x14ac:dyDescent="0.2">
      <c r="B103" s="54"/>
      <c r="C103" s="54"/>
      <c r="D103" s="53"/>
      <c r="E103" s="55"/>
      <c r="F103" s="55"/>
      <c r="G103" s="54"/>
      <c r="H103" s="54"/>
      <c r="I103" s="57"/>
      <c r="J103" s="54"/>
      <c r="K103" s="54"/>
      <c r="L103" s="12" t="str">
        <f t="shared" si="3"/>
        <v/>
      </c>
      <c r="M103" s="11" t="str">
        <f t="shared" si="4"/>
        <v/>
      </c>
      <c r="N103" s="11" t="str">
        <f t="shared" si="5"/>
        <v/>
      </c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</row>
    <row r="104" spans="2:77" x14ac:dyDescent="0.2">
      <c r="B104" s="54"/>
      <c r="C104" s="54"/>
      <c r="D104" s="53"/>
      <c r="E104" s="55"/>
      <c r="F104" s="55"/>
      <c r="G104" s="54"/>
      <c r="H104" s="54"/>
      <c r="I104" s="57"/>
      <c r="J104" s="54"/>
      <c r="K104" s="54"/>
      <c r="L104" s="12" t="str">
        <f t="shared" si="3"/>
        <v/>
      </c>
      <c r="M104" s="11" t="str">
        <f t="shared" si="4"/>
        <v/>
      </c>
      <c r="N104" s="11" t="str">
        <f t="shared" si="5"/>
        <v/>
      </c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</row>
    <row r="105" spans="2:77" x14ac:dyDescent="0.2">
      <c r="B105" s="54"/>
      <c r="C105" s="54"/>
      <c r="D105" s="53"/>
      <c r="E105" s="55"/>
      <c r="F105" s="55"/>
      <c r="G105" s="54"/>
      <c r="H105" s="54"/>
      <c r="I105" s="57"/>
      <c r="J105" s="54"/>
      <c r="K105" s="54"/>
      <c r="L105" s="12" t="str">
        <f t="shared" si="3"/>
        <v/>
      </c>
      <c r="M105" s="11" t="str">
        <f t="shared" si="4"/>
        <v/>
      </c>
      <c r="N105" s="11" t="str">
        <f t="shared" si="5"/>
        <v/>
      </c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</row>
    <row r="106" spans="2:77" x14ac:dyDescent="0.2">
      <c r="B106" s="54"/>
      <c r="C106" s="54"/>
      <c r="D106" s="53"/>
      <c r="E106" s="55"/>
      <c r="F106" s="55"/>
      <c r="G106" s="54"/>
      <c r="H106" s="54"/>
      <c r="I106" s="57"/>
      <c r="J106" s="54"/>
      <c r="K106" s="54"/>
      <c r="L106" s="12" t="str">
        <f t="shared" si="3"/>
        <v/>
      </c>
      <c r="M106" s="11" t="str">
        <f t="shared" si="4"/>
        <v/>
      </c>
      <c r="N106" s="11" t="str">
        <f t="shared" si="5"/>
        <v/>
      </c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</row>
    <row r="107" spans="2:77" x14ac:dyDescent="0.2">
      <c r="B107" s="54"/>
      <c r="C107" s="54"/>
      <c r="D107" s="53"/>
      <c r="E107" s="55"/>
      <c r="F107" s="55"/>
      <c r="G107" s="54"/>
      <c r="H107" s="54"/>
      <c r="I107" s="57"/>
      <c r="J107" s="54"/>
      <c r="K107" s="54"/>
      <c r="L107" s="12" t="str">
        <f t="shared" si="3"/>
        <v/>
      </c>
      <c r="M107" s="11" t="str">
        <f t="shared" si="4"/>
        <v/>
      </c>
      <c r="N107" s="11" t="str">
        <f t="shared" si="5"/>
        <v/>
      </c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</row>
    <row r="108" spans="2:77" x14ac:dyDescent="0.2">
      <c r="B108" s="54"/>
      <c r="C108" s="54"/>
      <c r="D108" s="53"/>
      <c r="E108" s="55"/>
      <c r="F108" s="55"/>
      <c r="G108" s="54"/>
      <c r="H108" s="54"/>
      <c r="I108" s="57"/>
      <c r="J108" s="54"/>
      <c r="K108" s="54"/>
      <c r="L108" s="12" t="str">
        <f t="shared" si="3"/>
        <v/>
      </c>
      <c r="M108" s="11" t="str">
        <f t="shared" si="4"/>
        <v/>
      </c>
      <c r="N108" s="11" t="str">
        <f t="shared" si="5"/>
        <v/>
      </c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</row>
    <row r="109" spans="2:77" x14ac:dyDescent="0.2">
      <c r="B109" s="54"/>
      <c r="C109" s="54"/>
      <c r="D109" s="53"/>
      <c r="E109" s="55"/>
      <c r="F109" s="55"/>
      <c r="G109" s="54"/>
      <c r="H109" s="54"/>
      <c r="I109" s="57"/>
      <c r="J109" s="54"/>
      <c r="K109" s="54"/>
      <c r="L109" s="12" t="str">
        <f t="shared" si="3"/>
        <v/>
      </c>
      <c r="M109" s="11" t="str">
        <f t="shared" si="4"/>
        <v/>
      </c>
      <c r="N109" s="11" t="str">
        <f t="shared" si="5"/>
        <v/>
      </c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</row>
    <row r="110" spans="2:77" x14ac:dyDescent="0.2">
      <c r="B110" s="54"/>
      <c r="C110" s="54"/>
      <c r="D110" s="53"/>
      <c r="E110" s="55"/>
      <c r="F110" s="55"/>
      <c r="G110" s="54"/>
      <c r="H110" s="54"/>
      <c r="I110" s="57"/>
      <c r="J110" s="54"/>
      <c r="K110" s="54"/>
      <c r="L110" s="12" t="str">
        <f t="shared" si="3"/>
        <v/>
      </c>
      <c r="M110" s="11" t="str">
        <f t="shared" si="4"/>
        <v/>
      </c>
      <c r="N110" s="11" t="str">
        <f t="shared" si="5"/>
        <v/>
      </c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</row>
    <row r="111" spans="2:77" x14ac:dyDescent="0.2">
      <c r="B111" s="54"/>
      <c r="C111" s="54"/>
      <c r="D111" s="53"/>
      <c r="E111" s="55"/>
      <c r="F111" s="55"/>
      <c r="G111" s="54"/>
      <c r="H111" s="54"/>
      <c r="I111" s="57"/>
      <c r="J111" s="54"/>
      <c r="K111" s="54"/>
      <c r="L111" s="12" t="str">
        <f t="shared" si="3"/>
        <v/>
      </c>
      <c r="M111" s="11" t="str">
        <f t="shared" si="4"/>
        <v/>
      </c>
      <c r="N111" s="11" t="str">
        <f t="shared" si="5"/>
        <v/>
      </c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</row>
    <row r="112" spans="2:77" x14ac:dyDescent="0.2">
      <c r="B112" s="54"/>
      <c r="C112" s="54"/>
      <c r="D112" s="53"/>
      <c r="E112" s="55"/>
      <c r="F112" s="55"/>
      <c r="G112" s="54"/>
      <c r="H112" s="54"/>
      <c r="I112" s="57"/>
      <c r="J112" s="54"/>
      <c r="K112" s="54"/>
      <c r="L112" s="12" t="str">
        <f t="shared" si="3"/>
        <v/>
      </c>
      <c r="M112" s="11" t="str">
        <f t="shared" si="4"/>
        <v/>
      </c>
      <c r="N112" s="11" t="str">
        <f t="shared" si="5"/>
        <v/>
      </c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</row>
    <row r="113" spans="2:77" x14ac:dyDescent="0.2">
      <c r="B113" s="54"/>
      <c r="C113" s="54"/>
      <c r="D113" s="53"/>
      <c r="E113" s="55"/>
      <c r="F113" s="55"/>
      <c r="G113" s="54"/>
      <c r="H113" s="54"/>
      <c r="I113" s="57"/>
      <c r="J113" s="54"/>
      <c r="K113" s="54"/>
      <c r="L113" s="12" t="str">
        <f t="shared" si="3"/>
        <v/>
      </c>
      <c r="M113" s="11" t="str">
        <f t="shared" si="4"/>
        <v/>
      </c>
      <c r="N113" s="11" t="str">
        <f t="shared" si="5"/>
        <v/>
      </c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</row>
    <row r="114" spans="2:77" x14ac:dyDescent="0.2">
      <c r="B114" s="54"/>
      <c r="C114" s="59"/>
      <c r="D114" s="53"/>
      <c r="E114" s="55"/>
      <c r="F114" s="55"/>
      <c r="G114" s="54"/>
      <c r="H114" s="54"/>
      <c r="I114" s="57"/>
      <c r="J114" s="54"/>
      <c r="K114" s="54"/>
      <c r="L114" s="12" t="str">
        <f t="shared" si="3"/>
        <v/>
      </c>
      <c r="M114" s="11" t="str">
        <f t="shared" si="4"/>
        <v/>
      </c>
      <c r="N114" s="11" t="str">
        <f t="shared" si="5"/>
        <v/>
      </c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</row>
    <row r="115" spans="2:77" x14ac:dyDescent="0.2">
      <c r="B115" s="60"/>
      <c r="C115" s="60"/>
      <c r="D115" s="53"/>
      <c r="E115" s="55"/>
      <c r="F115" s="55"/>
      <c r="G115" s="60"/>
      <c r="H115" s="60"/>
      <c r="I115" s="61"/>
      <c r="J115" s="60"/>
      <c r="K115" s="60"/>
      <c r="L115" s="12" t="str">
        <f t="shared" si="3"/>
        <v/>
      </c>
      <c r="M115" s="11" t="str">
        <f t="shared" si="4"/>
        <v/>
      </c>
      <c r="N115" s="11" t="str">
        <f t="shared" si="5"/>
        <v/>
      </c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</row>
    <row r="116" spans="2:77" x14ac:dyDescent="0.2">
      <c r="B116" s="60"/>
      <c r="C116" s="60"/>
      <c r="D116" s="53"/>
      <c r="E116" s="55"/>
      <c r="F116" s="55"/>
      <c r="G116" s="60"/>
      <c r="H116" s="60"/>
      <c r="I116" s="61"/>
      <c r="J116" s="60"/>
      <c r="K116" s="60"/>
      <c r="L116" s="12" t="str">
        <f t="shared" si="3"/>
        <v/>
      </c>
      <c r="M116" s="11" t="str">
        <f t="shared" si="4"/>
        <v/>
      </c>
      <c r="N116" s="11" t="str">
        <f t="shared" si="5"/>
        <v/>
      </c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</row>
    <row r="117" spans="2:77" x14ac:dyDescent="0.2">
      <c r="B117" s="60"/>
      <c r="C117" s="60"/>
      <c r="D117" s="53"/>
      <c r="E117" s="55"/>
      <c r="F117" s="55"/>
      <c r="G117" s="60"/>
      <c r="H117" s="60"/>
      <c r="I117" s="61"/>
      <c r="J117" s="60"/>
      <c r="K117" s="60"/>
      <c r="L117" s="12" t="str">
        <f t="shared" si="3"/>
        <v/>
      </c>
      <c r="M117" s="11" t="str">
        <f t="shared" si="4"/>
        <v/>
      </c>
      <c r="N117" s="11" t="str">
        <f t="shared" si="5"/>
        <v/>
      </c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</row>
    <row r="118" spans="2:77" x14ac:dyDescent="0.2">
      <c r="B118" s="60"/>
      <c r="C118" s="60"/>
      <c r="D118" s="53"/>
      <c r="E118" s="55"/>
      <c r="F118" s="55"/>
      <c r="G118" s="60"/>
      <c r="H118" s="60"/>
      <c r="I118" s="61"/>
      <c r="J118" s="60"/>
      <c r="K118" s="60"/>
      <c r="L118" s="12" t="str">
        <f t="shared" si="3"/>
        <v/>
      </c>
      <c r="M118" s="11" t="str">
        <f t="shared" si="4"/>
        <v/>
      </c>
      <c r="N118" s="11" t="str">
        <f t="shared" si="5"/>
        <v/>
      </c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</row>
    <row r="119" spans="2:77" x14ac:dyDescent="0.2">
      <c r="B119" s="60"/>
      <c r="C119" s="60"/>
      <c r="D119" s="53"/>
      <c r="E119" s="55"/>
      <c r="F119" s="55"/>
      <c r="G119" s="60"/>
      <c r="H119" s="60"/>
      <c r="I119" s="61"/>
      <c r="J119" s="60"/>
      <c r="K119" s="60"/>
      <c r="L119" s="12" t="str">
        <f t="shared" si="3"/>
        <v/>
      </c>
      <c r="M119" s="11" t="str">
        <f t="shared" si="4"/>
        <v/>
      </c>
      <c r="N119" s="11" t="str">
        <f t="shared" si="5"/>
        <v/>
      </c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</row>
    <row r="120" spans="2:77" x14ac:dyDescent="0.2">
      <c r="B120" s="60"/>
      <c r="C120" s="60"/>
      <c r="D120" s="53"/>
      <c r="E120" s="55"/>
      <c r="F120" s="55"/>
      <c r="G120" s="60"/>
      <c r="H120" s="60"/>
      <c r="I120" s="61"/>
      <c r="J120" s="60"/>
      <c r="K120" s="60"/>
      <c r="L120" s="12" t="str">
        <f t="shared" si="3"/>
        <v/>
      </c>
      <c r="M120" s="11" t="str">
        <f t="shared" si="4"/>
        <v/>
      </c>
      <c r="N120" s="11" t="str">
        <f t="shared" si="5"/>
        <v/>
      </c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</row>
    <row r="121" spans="2:77" x14ac:dyDescent="0.2">
      <c r="B121" s="60"/>
      <c r="C121" s="60"/>
      <c r="D121" s="53"/>
      <c r="E121" s="55"/>
      <c r="F121" s="55"/>
      <c r="G121" s="60"/>
      <c r="H121" s="60"/>
      <c r="I121" s="61"/>
      <c r="J121" s="60"/>
      <c r="K121" s="60"/>
      <c r="L121" s="12" t="str">
        <f t="shared" si="3"/>
        <v/>
      </c>
      <c r="M121" s="11" t="str">
        <f t="shared" si="4"/>
        <v/>
      </c>
      <c r="N121" s="11" t="str">
        <f t="shared" si="5"/>
        <v/>
      </c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</row>
    <row r="122" spans="2:77" x14ac:dyDescent="0.2">
      <c r="B122" s="60"/>
      <c r="C122" s="60"/>
      <c r="D122" s="53"/>
      <c r="E122" s="55"/>
      <c r="F122" s="55"/>
      <c r="G122" s="60"/>
      <c r="H122" s="60"/>
      <c r="I122" s="61"/>
      <c r="J122" s="60"/>
      <c r="K122" s="60"/>
      <c r="L122" s="12" t="str">
        <f t="shared" si="3"/>
        <v/>
      </c>
      <c r="M122" s="11" t="str">
        <f t="shared" si="4"/>
        <v/>
      </c>
      <c r="N122" s="11" t="str">
        <f t="shared" si="5"/>
        <v/>
      </c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</row>
    <row r="123" spans="2:77" x14ac:dyDescent="0.2">
      <c r="B123" s="60"/>
      <c r="C123" s="60"/>
      <c r="D123" s="53"/>
      <c r="E123" s="55"/>
      <c r="F123" s="55"/>
      <c r="G123" s="60"/>
      <c r="H123" s="60"/>
      <c r="I123" s="61"/>
      <c r="J123" s="60"/>
      <c r="K123" s="60"/>
      <c r="L123" s="12" t="str">
        <f t="shared" si="3"/>
        <v/>
      </c>
      <c r="M123" s="11" t="str">
        <f t="shared" si="4"/>
        <v/>
      </c>
      <c r="N123" s="11" t="str">
        <f t="shared" si="5"/>
        <v/>
      </c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</row>
    <row r="124" spans="2:77" x14ac:dyDescent="0.2">
      <c r="B124" s="60"/>
      <c r="C124" s="60"/>
      <c r="D124" s="53"/>
      <c r="E124" s="55"/>
      <c r="F124" s="55"/>
      <c r="G124" s="60"/>
      <c r="H124" s="60"/>
      <c r="I124" s="61"/>
      <c r="J124" s="60"/>
      <c r="K124" s="60"/>
      <c r="L124" s="12" t="str">
        <f t="shared" si="3"/>
        <v/>
      </c>
      <c r="M124" s="11" t="str">
        <f t="shared" si="4"/>
        <v/>
      </c>
      <c r="N124" s="11" t="str">
        <f t="shared" si="5"/>
        <v/>
      </c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</row>
    <row r="125" spans="2:77" x14ac:dyDescent="0.2">
      <c r="B125" s="60"/>
      <c r="C125" s="60"/>
      <c r="D125" s="53"/>
      <c r="E125" s="55"/>
      <c r="F125" s="55"/>
      <c r="G125" s="60"/>
      <c r="H125" s="60"/>
      <c r="I125" s="61"/>
      <c r="J125" s="60"/>
      <c r="K125" s="60"/>
      <c r="L125" s="12" t="str">
        <f t="shared" si="3"/>
        <v/>
      </c>
      <c r="M125" s="11" t="str">
        <f t="shared" si="4"/>
        <v/>
      </c>
      <c r="N125" s="11" t="str">
        <f t="shared" si="5"/>
        <v/>
      </c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</row>
    <row r="126" spans="2:77" x14ac:dyDescent="0.2">
      <c r="B126" s="60"/>
      <c r="C126" s="60"/>
      <c r="D126" s="53"/>
      <c r="E126" s="55"/>
      <c r="F126" s="55"/>
      <c r="G126" s="60"/>
      <c r="H126" s="60"/>
      <c r="I126" s="61"/>
      <c r="J126" s="60"/>
      <c r="K126" s="60"/>
      <c r="L126" s="12" t="str">
        <f t="shared" si="3"/>
        <v/>
      </c>
      <c r="M126" s="11" t="str">
        <f t="shared" si="4"/>
        <v/>
      </c>
      <c r="N126" s="11" t="str">
        <f t="shared" si="5"/>
        <v/>
      </c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</row>
    <row r="127" spans="2:77" x14ac:dyDescent="0.2">
      <c r="B127" s="60"/>
      <c r="C127" s="60"/>
      <c r="D127" s="53"/>
      <c r="E127" s="55"/>
      <c r="F127" s="55"/>
      <c r="G127" s="60"/>
      <c r="H127" s="60"/>
      <c r="I127" s="61"/>
      <c r="J127" s="60"/>
      <c r="K127" s="60"/>
      <c r="L127" s="12" t="str">
        <f t="shared" si="3"/>
        <v/>
      </c>
      <c r="M127" s="11" t="str">
        <f t="shared" si="4"/>
        <v/>
      </c>
      <c r="N127" s="11" t="str">
        <f t="shared" si="5"/>
        <v/>
      </c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</row>
    <row r="128" spans="2:77" x14ac:dyDescent="0.2">
      <c r="B128" s="60"/>
      <c r="C128" s="60"/>
      <c r="D128" s="53"/>
      <c r="E128" s="55"/>
      <c r="F128" s="55"/>
      <c r="G128" s="60"/>
      <c r="H128" s="60"/>
      <c r="I128" s="61"/>
      <c r="J128" s="60"/>
      <c r="K128" s="60"/>
      <c r="L128" s="12" t="str">
        <f t="shared" si="3"/>
        <v/>
      </c>
      <c r="M128" s="11" t="str">
        <f t="shared" si="4"/>
        <v/>
      </c>
      <c r="N128" s="11" t="str">
        <f t="shared" si="5"/>
        <v/>
      </c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</row>
    <row r="129" spans="2:77" x14ac:dyDescent="0.2">
      <c r="B129" s="60"/>
      <c r="C129" s="60"/>
      <c r="D129" s="53"/>
      <c r="E129" s="55"/>
      <c r="F129" s="55"/>
      <c r="G129" s="60"/>
      <c r="H129" s="60"/>
      <c r="I129" s="61"/>
      <c r="J129" s="60"/>
      <c r="K129" s="60"/>
      <c r="L129" s="12" t="str">
        <f t="shared" si="3"/>
        <v/>
      </c>
      <c r="M129" s="11" t="str">
        <f t="shared" si="4"/>
        <v/>
      </c>
      <c r="N129" s="11" t="str">
        <f t="shared" si="5"/>
        <v/>
      </c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</row>
    <row r="130" spans="2:77" x14ac:dyDescent="0.2">
      <c r="B130" s="60"/>
      <c r="C130" s="60"/>
      <c r="D130" s="53"/>
      <c r="E130" s="55"/>
      <c r="F130" s="55"/>
      <c r="G130" s="60"/>
      <c r="H130" s="60"/>
      <c r="I130" s="61"/>
      <c r="J130" s="60"/>
      <c r="K130" s="60"/>
      <c r="L130" s="12" t="str">
        <f t="shared" si="3"/>
        <v/>
      </c>
      <c r="M130" s="11" t="str">
        <f t="shared" si="4"/>
        <v/>
      </c>
      <c r="N130" s="11" t="str">
        <f t="shared" si="5"/>
        <v/>
      </c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</row>
    <row r="131" spans="2:77" x14ac:dyDescent="0.2">
      <c r="B131" s="60"/>
      <c r="C131" s="60"/>
      <c r="D131" s="53"/>
      <c r="E131" s="55"/>
      <c r="F131" s="55"/>
      <c r="G131" s="60"/>
      <c r="H131" s="60"/>
      <c r="I131" s="61"/>
      <c r="J131" s="60"/>
      <c r="K131" s="60"/>
      <c r="L131" s="12" t="str">
        <f t="shared" si="3"/>
        <v/>
      </c>
      <c r="M131" s="11" t="str">
        <f t="shared" si="4"/>
        <v/>
      </c>
      <c r="N131" s="11" t="str">
        <f t="shared" si="5"/>
        <v/>
      </c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</row>
    <row r="132" spans="2:77" x14ac:dyDescent="0.2">
      <c r="B132" s="60"/>
      <c r="C132" s="60"/>
      <c r="D132" s="53"/>
      <c r="E132" s="55"/>
      <c r="F132" s="55"/>
      <c r="G132" s="60"/>
      <c r="H132" s="60"/>
      <c r="I132" s="61"/>
      <c r="J132" s="60"/>
      <c r="K132" s="60"/>
      <c r="L132" s="12" t="str">
        <f t="shared" si="3"/>
        <v/>
      </c>
      <c r="M132" s="11" t="str">
        <f t="shared" si="4"/>
        <v/>
      </c>
      <c r="N132" s="11" t="str">
        <f t="shared" si="5"/>
        <v/>
      </c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</row>
    <row r="133" spans="2:77" x14ac:dyDescent="0.2">
      <c r="B133" s="60"/>
      <c r="C133" s="60"/>
      <c r="D133" s="53"/>
      <c r="E133" s="55"/>
      <c r="F133" s="55"/>
      <c r="G133" s="60"/>
      <c r="H133" s="60"/>
      <c r="I133" s="61"/>
      <c r="J133" s="60"/>
      <c r="K133" s="60"/>
      <c r="L133" s="12" t="str">
        <f t="shared" si="3"/>
        <v/>
      </c>
      <c r="M133" s="11" t="str">
        <f t="shared" si="4"/>
        <v/>
      </c>
      <c r="N133" s="11" t="str">
        <f t="shared" si="5"/>
        <v/>
      </c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</row>
    <row r="134" spans="2:77" x14ac:dyDescent="0.2">
      <c r="B134" s="60"/>
      <c r="C134" s="60"/>
      <c r="D134" s="53"/>
      <c r="E134" s="55"/>
      <c r="F134" s="55"/>
      <c r="G134" s="60"/>
      <c r="H134" s="60"/>
      <c r="I134" s="61"/>
      <c r="J134" s="60"/>
      <c r="K134" s="60"/>
      <c r="L134" s="12" t="str">
        <f t="shared" si="3"/>
        <v/>
      </c>
      <c r="M134" s="11" t="str">
        <f t="shared" si="4"/>
        <v/>
      </c>
      <c r="N134" s="11" t="str">
        <f t="shared" si="5"/>
        <v/>
      </c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</row>
    <row r="135" spans="2:77" x14ac:dyDescent="0.2">
      <c r="B135" s="60"/>
      <c r="C135" s="60"/>
      <c r="D135" s="53"/>
      <c r="E135" s="55"/>
      <c r="F135" s="55"/>
      <c r="G135" s="60"/>
      <c r="H135" s="60"/>
      <c r="I135" s="61"/>
      <c r="J135" s="60"/>
      <c r="K135" s="60"/>
      <c r="L135" s="12" t="str">
        <f t="shared" ref="L135:L198" si="6">IF(G135="","",IF(G135&gt;0,H135-(3.14*K135)/10))</f>
        <v/>
      </c>
      <c r="M135" s="11" t="str">
        <f t="shared" si="4"/>
        <v/>
      </c>
      <c r="N135" s="11" t="str">
        <f t="shared" si="5"/>
        <v/>
      </c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</row>
    <row r="136" spans="2:77" x14ac:dyDescent="0.2">
      <c r="B136" s="60"/>
      <c r="C136" s="60"/>
      <c r="D136" s="53"/>
      <c r="E136" s="55"/>
      <c r="F136" s="55"/>
      <c r="G136" s="60"/>
      <c r="H136" s="60"/>
      <c r="I136" s="61"/>
      <c r="J136" s="60"/>
      <c r="K136" s="60"/>
      <c r="L136" s="12" t="str">
        <f t="shared" si="6"/>
        <v/>
      </c>
      <c r="M136" s="11" t="str">
        <f t="shared" ref="M136:M199" si="7">IF(D136="feminino",((1.83*G136)-(0.24*C136)+84.88)/100,IF(D136="masculino",((2.02*G136)-(0.04*C136)+64.19)/100,""))</f>
        <v/>
      </c>
      <c r="N136" s="11" t="str">
        <f t="shared" ref="N136:N199" si="8">IF(D136="feminino",(1.27*I136)+(0.87*G136)+(0.98*H136)+(0.4*J136)-62.35,IF(D136="masculino",(0.98*I136)+(1.16*G136)+(1.73*H136)+(0.37*J136)-81.69,""))</f>
        <v/>
      </c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</row>
    <row r="137" spans="2:77" x14ac:dyDescent="0.2">
      <c r="B137" s="60"/>
      <c r="C137" s="60"/>
      <c r="D137" s="53"/>
      <c r="E137" s="55"/>
      <c r="F137" s="55"/>
      <c r="G137" s="60"/>
      <c r="H137" s="60"/>
      <c r="I137" s="61"/>
      <c r="J137" s="60"/>
      <c r="K137" s="60"/>
      <c r="L137" s="12" t="str">
        <f t="shared" si="6"/>
        <v/>
      </c>
      <c r="M137" s="11" t="str">
        <f t="shared" si="7"/>
        <v/>
      </c>
      <c r="N137" s="11" t="str">
        <f t="shared" si="8"/>
        <v/>
      </c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</row>
    <row r="138" spans="2:77" x14ac:dyDescent="0.2">
      <c r="B138" s="60"/>
      <c r="C138" s="60"/>
      <c r="D138" s="53"/>
      <c r="E138" s="55"/>
      <c r="F138" s="55"/>
      <c r="G138" s="60"/>
      <c r="H138" s="60"/>
      <c r="I138" s="61"/>
      <c r="J138" s="60"/>
      <c r="K138" s="60"/>
      <c r="L138" s="12" t="str">
        <f t="shared" si="6"/>
        <v/>
      </c>
      <c r="M138" s="11" t="str">
        <f t="shared" si="7"/>
        <v/>
      </c>
      <c r="N138" s="11" t="str">
        <f t="shared" si="8"/>
        <v/>
      </c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</row>
    <row r="139" spans="2:77" x14ac:dyDescent="0.2">
      <c r="B139" s="60"/>
      <c r="C139" s="60"/>
      <c r="D139" s="53"/>
      <c r="E139" s="55"/>
      <c r="F139" s="55"/>
      <c r="G139" s="60"/>
      <c r="H139" s="60"/>
      <c r="I139" s="61"/>
      <c r="J139" s="60"/>
      <c r="K139" s="60"/>
      <c r="L139" s="12" t="str">
        <f t="shared" si="6"/>
        <v/>
      </c>
      <c r="M139" s="11" t="str">
        <f t="shared" si="7"/>
        <v/>
      </c>
      <c r="N139" s="11" t="str">
        <f t="shared" si="8"/>
        <v/>
      </c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</row>
    <row r="140" spans="2:77" x14ac:dyDescent="0.2">
      <c r="B140" s="60"/>
      <c r="C140" s="60"/>
      <c r="D140" s="53"/>
      <c r="E140" s="55"/>
      <c r="F140" s="55"/>
      <c r="G140" s="60"/>
      <c r="H140" s="60"/>
      <c r="I140" s="61"/>
      <c r="J140" s="60"/>
      <c r="K140" s="60"/>
      <c r="L140" s="12" t="str">
        <f t="shared" si="6"/>
        <v/>
      </c>
      <c r="M140" s="11" t="str">
        <f t="shared" si="7"/>
        <v/>
      </c>
      <c r="N140" s="11" t="str">
        <f t="shared" si="8"/>
        <v/>
      </c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</row>
    <row r="141" spans="2:77" x14ac:dyDescent="0.2">
      <c r="B141" s="60"/>
      <c r="C141" s="60"/>
      <c r="D141" s="53"/>
      <c r="E141" s="55"/>
      <c r="F141" s="55"/>
      <c r="G141" s="60"/>
      <c r="H141" s="60"/>
      <c r="I141" s="61"/>
      <c r="J141" s="60"/>
      <c r="K141" s="60"/>
      <c r="L141" s="12" t="str">
        <f t="shared" si="6"/>
        <v/>
      </c>
      <c r="M141" s="11" t="str">
        <f t="shared" si="7"/>
        <v/>
      </c>
      <c r="N141" s="11" t="str">
        <f t="shared" si="8"/>
        <v/>
      </c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</row>
    <row r="142" spans="2:77" x14ac:dyDescent="0.2">
      <c r="B142" s="60"/>
      <c r="C142" s="60"/>
      <c r="D142" s="53"/>
      <c r="E142" s="55"/>
      <c r="F142" s="55"/>
      <c r="G142" s="60"/>
      <c r="H142" s="60"/>
      <c r="I142" s="61"/>
      <c r="J142" s="60"/>
      <c r="K142" s="60"/>
      <c r="L142" s="12" t="str">
        <f t="shared" si="6"/>
        <v/>
      </c>
      <c r="M142" s="11" t="str">
        <f t="shared" si="7"/>
        <v/>
      </c>
      <c r="N142" s="11" t="str">
        <f t="shared" si="8"/>
        <v/>
      </c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</row>
    <row r="143" spans="2:77" x14ac:dyDescent="0.2">
      <c r="B143" s="60"/>
      <c r="C143" s="60"/>
      <c r="D143" s="53"/>
      <c r="E143" s="55"/>
      <c r="F143" s="55"/>
      <c r="G143" s="60"/>
      <c r="H143" s="60"/>
      <c r="I143" s="61"/>
      <c r="J143" s="60"/>
      <c r="K143" s="60"/>
      <c r="L143" s="12" t="str">
        <f t="shared" si="6"/>
        <v/>
      </c>
      <c r="M143" s="11" t="str">
        <f t="shared" si="7"/>
        <v/>
      </c>
      <c r="N143" s="11" t="str">
        <f t="shared" si="8"/>
        <v/>
      </c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</row>
    <row r="144" spans="2:77" x14ac:dyDescent="0.2">
      <c r="B144" s="60"/>
      <c r="C144" s="60"/>
      <c r="D144" s="53"/>
      <c r="E144" s="55"/>
      <c r="F144" s="55"/>
      <c r="G144" s="60"/>
      <c r="H144" s="60"/>
      <c r="I144" s="61"/>
      <c r="J144" s="60"/>
      <c r="K144" s="60"/>
      <c r="L144" s="12" t="str">
        <f t="shared" si="6"/>
        <v/>
      </c>
      <c r="M144" s="11" t="str">
        <f t="shared" si="7"/>
        <v/>
      </c>
      <c r="N144" s="11" t="str">
        <f t="shared" si="8"/>
        <v/>
      </c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</row>
    <row r="145" spans="2:77" x14ac:dyDescent="0.2">
      <c r="B145" s="60"/>
      <c r="C145" s="60"/>
      <c r="D145" s="53"/>
      <c r="E145" s="55"/>
      <c r="F145" s="55"/>
      <c r="G145" s="60"/>
      <c r="H145" s="60"/>
      <c r="I145" s="61"/>
      <c r="J145" s="60"/>
      <c r="K145" s="60"/>
      <c r="L145" s="12" t="str">
        <f t="shared" si="6"/>
        <v/>
      </c>
      <c r="M145" s="11" t="str">
        <f t="shared" si="7"/>
        <v/>
      </c>
      <c r="N145" s="11" t="str">
        <f t="shared" si="8"/>
        <v/>
      </c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</row>
    <row r="146" spans="2:77" x14ac:dyDescent="0.2">
      <c r="B146" s="60"/>
      <c r="C146" s="60"/>
      <c r="D146" s="53"/>
      <c r="E146" s="55"/>
      <c r="F146" s="55"/>
      <c r="G146" s="60"/>
      <c r="H146" s="60"/>
      <c r="I146" s="61"/>
      <c r="J146" s="60"/>
      <c r="K146" s="60"/>
      <c r="L146" s="12" t="str">
        <f t="shared" si="6"/>
        <v/>
      </c>
      <c r="M146" s="11" t="str">
        <f t="shared" si="7"/>
        <v/>
      </c>
      <c r="N146" s="11" t="str">
        <f t="shared" si="8"/>
        <v/>
      </c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</row>
    <row r="147" spans="2:77" x14ac:dyDescent="0.2">
      <c r="B147" s="60"/>
      <c r="C147" s="60"/>
      <c r="D147" s="53"/>
      <c r="E147" s="55"/>
      <c r="F147" s="55"/>
      <c r="G147" s="60"/>
      <c r="H147" s="60"/>
      <c r="I147" s="61"/>
      <c r="J147" s="60"/>
      <c r="K147" s="60"/>
      <c r="L147" s="12" t="str">
        <f t="shared" si="6"/>
        <v/>
      </c>
      <c r="M147" s="11" t="str">
        <f t="shared" si="7"/>
        <v/>
      </c>
      <c r="N147" s="11" t="str">
        <f t="shared" si="8"/>
        <v/>
      </c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</row>
    <row r="148" spans="2:77" x14ac:dyDescent="0.2">
      <c r="B148" s="60"/>
      <c r="C148" s="60"/>
      <c r="D148" s="53"/>
      <c r="E148" s="55"/>
      <c r="F148" s="55"/>
      <c r="G148" s="60"/>
      <c r="H148" s="60"/>
      <c r="I148" s="61"/>
      <c r="J148" s="60"/>
      <c r="K148" s="60"/>
      <c r="L148" s="12" t="str">
        <f t="shared" si="6"/>
        <v/>
      </c>
      <c r="M148" s="11" t="str">
        <f t="shared" si="7"/>
        <v/>
      </c>
      <c r="N148" s="11" t="str">
        <f t="shared" si="8"/>
        <v/>
      </c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</row>
    <row r="149" spans="2:77" x14ac:dyDescent="0.2">
      <c r="B149" s="60"/>
      <c r="C149" s="60"/>
      <c r="D149" s="53"/>
      <c r="E149" s="55"/>
      <c r="F149" s="55"/>
      <c r="G149" s="60"/>
      <c r="H149" s="60"/>
      <c r="I149" s="61"/>
      <c r="J149" s="60"/>
      <c r="K149" s="60"/>
      <c r="L149" s="12" t="str">
        <f t="shared" si="6"/>
        <v/>
      </c>
      <c r="M149" s="11" t="str">
        <f t="shared" si="7"/>
        <v/>
      </c>
      <c r="N149" s="11" t="str">
        <f t="shared" si="8"/>
        <v/>
      </c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</row>
    <row r="150" spans="2:77" x14ac:dyDescent="0.2">
      <c r="B150" s="60"/>
      <c r="C150" s="60"/>
      <c r="D150" s="53"/>
      <c r="E150" s="55"/>
      <c r="F150" s="55"/>
      <c r="G150" s="60"/>
      <c r="H150" s="60"/>
      <c r="I150" s="61"/>
      <c r="J150" s="60"/>
      <c r="K150" s="60"/>
      <c r="L150" s="12" t="str">
        <f t="shared" si="6"/>
        <v/>
      </c>
      <c r="M150" s="11" t="str">
        <f t="shared" si="7"/>
        <v/>
      </c>
      <c r="N150" s="11" t="str">
        <f t="shared" si="8"/>
        <v/>
      </c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</row>
    <row r="151" spans="2:77" x14ac:dyDescent="0.2">
      <c r="B151" s="60"/>
      <c r="C151" s="60"/>
      <c r="D151" s="53"/>
      <c r="E151" s="55"/>
      <c r="F151" s="55"/>
      <c r="G151" s="60"/>
      <c r="H151" s="60"/>
      <c r="I151" s="61"/>
      <c r="J151" s="60"/>
      <c r="K151" s="60"/>
      <c r="L151" s="12" t="str">
        <f t="shared" si="6"/>
        <v/>
      </c>
      <c r="M151" s="11" t="str">
        <f t="shared" si="7"/>
        <v/>
      </c>
      <c r="N151" s="11" t="str">
        <f t="shared" si="8"/>
        <v/>
      </c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</row>
    <row r="152" spans="2:77" x14ac:dyDescent="0.2">
      <c r="B152" s="60"/>
      <c r="C152" s="60"/>
      <c r="D152" s="53"/>
      <c r="E152" s="55"/>
      <c r="F152" s="55"/>
      <c r="G152" s="60"/>
      <c r="H152" s="60"/>
      <c r="I152" s="61"/>
      <c r="J152" s="60"/>
      <c r="K152" s="60"/>
      <c r="L152" s="12" t="str">
        <f t="shared" si="6"/>
        <v/>
      </c>
      <c r="M152" s="11" t="str">
        <f t="shared" si="7"/>
        <v/>
      </c>
      <c r="N152" s="11" t="str">
        <f t="shared" si="8"/>
        <v/>
      </c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</row>
    <row r="153" spans="2:77" x14ac:dyDescent="0.2">
      <c r="B153" s="60"/>
      <c r="C153" s="60"/>
      <c r="D153" s="53"/>
      <c r="E153" s="55"/>
      <c r="F153" s="55"/>
      <c r="G153" s="60"/>
      <c r="H153" s="60"/>
      <c r="I153" s="61"/>
      <c r="J153" s="60"/>
      <c r="K153" s="60"/>
      <c r="L153" s="12" t="str">
        <f t="shared" si="6"/>
        <v/>
      </c>
      <c r="M153" s="11" t="str">
        <f t="shared" si="7"/>
        <v/>
      </c>
      <c r="N153" s="11" t="str">
        <f t="shared" si="8"/>
        <v/>
      </c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</row>
    <row r="154" spans="2:77" x14ac:dyDescent="0.2">
      <c r="B154" s="60"/>
      <c r="C154" s="60"/>
      <c r="D154" s="53"/>
      <c r="E154" s="55"/>
      <c r="F154" s="55"/>
      <c r="G154" s="60"/>
      <c r="H154" s="60"/>
      <c r="I154" s="61"/>
      <c r="J154" s="60"/>
      <c r="K154" s="60"/>
      <c r="L154" s="12" t="str">
        <f t="shared" si="6"/>
        <v/>
      </c>
      <c r="M154" s="11" t="str">
        <f t="shared" si="7"/>
        <v/>
      </c>
      <c r="N154" s="11" t="str">
        <f t="shared" si="8"/>
        <v/>
      </c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</row>
    <row r="155" spans="2:77" x14ac:dyDescent="0.2">
      <c r="B155" s="60"/>
      <c r="C155" s="60"/>
      <c r="D155" s="53"/>
      <c r="E155" s="55"/>
      <c r="F155" s="55"/>
      <c r="G155" s="60"/>
      <c r="H155" s="60"/>
      <c r="I155" s="61"/>
      <c r="J155" s="60"/>
      <c r="K155" s="60"/>
      <c r="L155" s="12" t="str">
        <f t="shared" si="6"/>
        <v/>
      </c>
      <c r="M155" s="11" t="str">
        <f t="shared" si="7"/>
        <v/>
      </c>
      <c r="N155" s="11" t="str">
        <f t="shared" si="8"/>
        <v/>
      </c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</row>
    <row r="156" spans="2:77" x14ac:dyDescent="0.2">
      <c r="B156" s="60"/>
      <c r="C156" s="60"/>
      <c r="D156" s="53"/>
      <c r="E156" s="55"/>
      <c r="F156" s="55"/>
      <c r="G156" s="60"/>
      <c r="H156" s="60"/>
      <c r="I156" s="61"/>
      <c r="J156" s="60"/>
      <c r="K156" s="60"/>
      <c r="L156" s="12" t="str">
        <f t="shared" si="6"/>
        <v/>
      </c>
      <c r="M156" s="11" t="str">
        <f t="shared" si="7"/>
        <v/>
      </c>
      <c r="N156" s="11" t="str">
        <f t="shared" si="8"/>
        <v/>
      </c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</row>
    <row r="157" spans="2:77" x14ac:dyDescent="0.2">
      <c r="B157" s="60"/>
      <c r="C157" s="60"/>
      <c r="D157" s="53"/>
      <c r="E157" s="55"/>
      <c r="F157" s="55"/>
      <c r="G157" s="60"/>
      <c r="H157" s="60"/>
      <c r="I157" s="61"/>
      <c r="J157" s="60"/>
      <c r="K157" s="60"/>
      <c r="L157" s="12" t="str">
        <f t="shared" si="6"/>
        <v/>
      </c>
      <c r="M157" s="11" t="str">
        <f t="shared" si="7"/>
        <v/>
      </c>
      <c r="N157" s="11" t="str">
        <f t="shared" si="8"/>
        <v/>
      </c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</row>
    <row r="158" spans="2:77" x14ac:dyDescent="0.2">
      <c r="B158" s="60"/>
      <c r="C158" s="60"/>
      <c r="D158" s="53"/>
      <c r="E158" s="55"/>
      <c r="F158" s="55"/>
      <c r="G158" s="60"/>
      <c r="H158" s="60"/>
      <c r="I158" s="61"/>
      <c r="J158" s="60"/>
      <c r="K158" s="60"/>
      <c r="L158" s="12" t="str">
        <f t="shared" si="6"/>
        <v/>
      </c>
      <c r="M158" s="11" t="str">
        <f t="shared" si="7"/>
        <v/>
      </c>
      <c r="N158" s="11" t="str">
        <f t="shared" si="8"/>
        <v/>
      </c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</row>
    <row r="159" spans="2:77" x14ac:dyDescent="0.2">
      <c r="B159" s="60"/>
      <c r="C159" s="60"/>
      <c r="D159" s="53"/>
      <c r="E159" s="55"/>
      <c r="F159" s="55"/>
      <c r="G159" s="60"/>
      <c r="H159" s="60"/>
      <c r="I159" s="61"/>
      <c r="J159" s="60"/>
      <c r="K159" s="60"/>
      <c r="L159" s="12" t="str">
        <f t="shared" si="6"/>
        <v/>
      </c>
      <c r="M159" s="11" t="str">
        <f t="shared" si="7"/>
        <v/>
      </c>
      <c r="N159" s="11" t="str">
        <f t="shared" si="8"/>
        <v/>
      </c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</row>
    <row r="160" spans="2:77" x14ac:dyDescent="0.2">
      <c r="B160" s="60"/>
      <c r="C160" s="60"/>
      <c r="D160" s="53"/>
      <c r="E160" s="55"/>
      <c r="F160" s="55"/>
      <c r="G160" s="60"/>
      <c r="H160" s="60"/>
      <c r="I160" s="61"/>
      <c r="J160" s="60"/>
      <c r="K160" s="60"/>
      <c r="L160" s="12" t="str">
        <f t="shared" si="6"/>
        <v/>
      </c>
      <c r="M160" s="11" t="str">
        <f t="shared" si="7"/>
        <v/>
      </c>
      <c r="N160" s="11" t="str">
        <f t="shared" si="8"/>
        <v/>
      </c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</row>
    <row r="161" spans="2:77" x14ac:dyDescent="0.2">
      <c r="B161" s="60"/>
      <c r="C161" s="60"/>
      <c r="D161" s="53"/>
      <c r="E161" s="55"/>
      <c r="F161" s="55"/>
      <c r="G161" s="60"/>
      <c r="H161" s="60"/>
      <c r="I161" s="61"/>
      <c r="J161" s="60"/>
      <c r="K161" s="60"/>
      <c r="L161" s="12" t="str">
        <f t="shared" si="6"/>
        <v/>
      </c>
      <c r="M161" s="11" t="str">
        <f t="shared" si="7"/>
        <v/>
      </c>
      <c r="N161" s="11" t="str">
        <f t="shared" si="8"/>
        <v/>
      </c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</row>
    <row r="162" spans="2:77" x14ac:dyDescent="0.2">
      <c r="B162" s="60"/>
      <c r="C162" s="60"/>
      <c r="D162" s="53"/>
      <c r="E162" s="55"/>
      <c r="F162" s="55"/>
      <c r="G162" s="60"/>
      <c r="H162" s="60"/>
      <c r="I162" s="61"/>
      <c r="J162" s="60"/>
      <c r="K162" s="60"/>
      <c r="L162" s="12" t="str">
        <f t="shared" si="6"/>
        <v/>
      </c>
      <c r="M162" s="11" t="str">
        <f t="shared" si="7"/>
        <v/>
      </c>
      <c r="N162" s="11" t="str">
        <f t="shared" si="8"/>
        <v/>
      </c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</row>
    <row r="163" spans="2:77" x14ac:dyDescent="0.2">
      <c r="B163" s="60"/>
      <c r="C163" s="60"/>
      <c r="D163" s="53"/>
      <c r="E163" s="55"/>
      <c r="F163" s="55"/>
      <c r="G163" s="60"/>
      <c r="H163" s="60"/>
      <c r="I163" s="61"/>
      <c r="J163" s="60"/>
      <c r="K163" s="60"/>
      <c r="L163" s="12" t="str">
        <f t="shared" si="6"/>
        <v/>
      </c>
      <c r="M163" s="11" t="str">
        <f t="shared" si="7"/>
        <v/>
      </c>
      <c r="N163" s="11" t="str">
        <f t="shared" si="8"/>
        <v/>
      </c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</row>
    <row r="164" spans="2:77" x14ac:dyDescent="0.2">
      <c r="B164" s="60"/>
      <c r="C164" s="60"/>
      <c r="D164" s="53"/>
      <c r="E164" s="55"/>
      <c r="F164" s="55"/>
      <c r="G164" s="60"/>
      <c r="H164" s="60"/>
      <c r="I164" s="61"/>
      <c r="J164" s="60"/>
      <c r="K164" s="60"/>
      <c r="L164" s="12" t="str">
        <f t="shared" si="6"/>
        <v/>
      </c>
      <c r="M164" s="11" t="str">
        <f t="shared" si="7"/>
        <v/>
      </c>
      <c r="N164" s="11" t="str">
        <f t="shared" si="8"/>
        <v/>
      </c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</row>
    <row r="165" spans="2:77" x14ac:dyDescent="0.2">
      <c r="B165" s="60"/>
      <c r="C165" s="60"/>
      <c r="D165" s="53"/>
      <c r="E165" s="55"/>
      <c r="F165" s="55"/>
      <c r="G165" s="60"/>
      <c r="H165" s="60"/>
      <c r="I165" s="61"/>
      <c r="J165" s="60"/>
      <c r="K165" s="60"/>
      <c r="L165" s="12" t="str">
        <f t="shared" si="6"/>
        <v/>
      </c>
      <c r="M165" s="11" t="str">
        <f t="shared" si="7"/>
        <v/>
      </c>
      <c r="N165" s="11" t="str">
        <f t="shared" si="8"/>
        <v/>
      </c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</row>
    <row r="166" spans="2:77" x14ac:dyDescent="0.2">
      <c r="B166" s="60"/>
      <c r="C166" s="60"/>
      <c r="D166" s="53"/>
      <c r="E166" s="55"/>
      <c r="F166" s="55"/>
      <c r="G166" s="60"/>
      <c r="H166" s="60"/>
      <c r="I166" s="61"/>
      <c r="J166" s="60"/>
      <c r="K166" s="60"/>
      <c r="L166" s="12" t="str">
        <f t="shared" si="6"/>
        <v/>
      </c>
      <c r="M166" s="11" t="str">
        <f t="shared" si="7"/>
        <v/>
      </c>
      <c r="N166" s="11" t="str">
        <f t="shared" si="8"/>
        <v/>
      </c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</row>
    <row r="167" spans="2:77" x14ac:dyDescent="0.2">
      <c r="B167" s="60"/>
      <c r="C167" s="60"/>
      <c r="D167" s="53"/>
      <c r="E167" s="55"/>
      <c r="F167" s="55"/>
      <c r="G167" s="60"/>
      <c r="H167" s="60"/>
      <c r="I167" s="61"/>
      <c r="J167" s="60"/>
      <c r="K167" s="60"/>
      <c r="L167" s="12" t="str">
        <f t="shared" si="6"/>
        <v/>
      </c>
      <c r="M167" s="11" t="str">
        <f t="shared" si="7"/>
        <v/>
      </c>
      <c r="N167" s="11" t="str">
        <f t="shared" si="8"/>
        <v/>
      </c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</row>
    <row r="168" spans="2:77" x14ac:dyDescent="0.2">
      <c r="B168" s="60"/>
      <c r="C168" s="60"/>
      <c r="D168" s="53"/>
      <c r="E168" s="55"/>
      <c r="F168" s="55"/>
      <c r="G168" s="60"/>
      <c r="H168" s="60"/>
      <c r="I168" s="61"/>
      <c r="J168" s="60"/>
      <c r="K168" s="60"/>
      <c r="L168" s="12" t="str">
        <f t="shared" si="6"/>
        <v/>
      </c>
      <c r="M168" s="11" t="str">
        <f t="shared" si="7"/>
        <v/>
      </c>
      <c r="N168" s="11" t="str">
        <f t="shared" si="8"/>
        <v/>
      </c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</row>
    <row r="169" spans="2:77" x14ac:dyDescent="0.2">
      <c r="B169" s="60"/>
      <c r="C169" s="60"/>
      <c r="D169" s="53"/>
      <c r="E169" s="55"/>
      <c r="F169" s="55"/>
      <c r="G169" s="60"/>
      <c r="H169" s="60"/>
      <c r="I169" s="61"/>
      <c r="J169" s="60"/>
      <c r="K169" s="60"/>
      <c r="L169" s="12" t="str">
        <f t="shared" si="6"/>
        <v/>
      </c>
      <c r="M169" s="11" t="str">
        <f t="shared" si="7"/>
        <v/>
      </c>
      <c r="N169" s="11" t="str">
        <f t="shared" si="8"/>
        <v/>
      </c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</row>
    <row r="170" spans="2:77" x14ac:dyDescent="0.2">
      <c r="B170" s="60"/>
      <c r="C170" s="60"/>
      <c r="D170" s="53"/>
      <c r="E170" s="55"/>
      <c r="F170" s="55"/>
      <c r="G170" s="60"/>
      <c r="H170" s="60"/>
      <c r="I170" s="61"/>
      <c r="J170" s="60"/>
      <c r="K170" s="60"/>
      <c r="L170" s="12" t="str">
        <f t="shared" si="6"/>
        <v/>
      </c>
      <c r="M170" s="11" t="str">
        <f t="shared" si="7"/>
        <v/>
      </c>
      <c r="N170" s="11" t="str">
        <f t="shared" si="8"/>
        <v/>
      </c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</row>
    <row r="171" spans="2:77" x14ac:dyDescent="0.2">
      <c r="B171" s="60"/>
      <c r="C171" s="60"/>
      <c r="D171" s="53"/>
      <c r="E171" s="55"/>
      <c r="F171" s="55"/>
      <c r="G171" s="60"/>
      <c r="H171" s="60"/>
      <c r="I171" s="61"/>
      <c r="J171" s="60"/>
      <c r="K171" s="60"/>
      <c r="L171" s="12" t="str">
        <f t="shared" si="6"/>
        <v/>
      </c>
      <c r="M171" s="11" t="str">
        <f t="shared" si="7"/>
        <v/>
      </c>
      <c r="N171" s="11" t="str">
        <f t="shared" si="8"/>
        <v/>
      </c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</row>
    <row r="172" spans="2:77" x14ac:dyDescent="0.2">
      <c r="B172" s="60"/>
      <c r="C172" s="60"/>
      <c r="D172" s="53"/>
      <c r="E172" s="55"/>
      <c r="F172" s="55"/>
      <c r="G172" s="60"/>
      <c r="H172" s="60"/>
      <c r="I172" s="61"/>
      <c r="J172" s="60"/>
      <c r="K172" s="60"/>
      <c r="L172" s="12" t="str">
        <f t="shared" si="6"/>
        <v/>
      </c>
      <c r="M172" s="11" t="str">
        <f t="shared" si="7"/>
        <v/>
      </c>
      <c r="N172" s="11" t="str">
        <f t="shared" si="8"/>
        <v/>
      </c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</row>
    <row r="173" spans="2:77" x14ac:dyDescent="0.2">
      <c r="B173" s="60"/>
      <c r="C173" s="60"/>
      <c r="D173" s="53"/>
      <c r="E173" s="55"/>
      <c r="F173" s="55"/>
      <c r="G173" s="60"/>
      <c r="H173" s="60"/>
      <c r="I173" s="61"/>
      <c r="J173" s="60"/>
      <c r="K173" s="60"/>
      <c r="L173" s="12" t="str">
        <f t="shared" si="6"/>
        <v/>
      </c>
      <c r="M173" s="11" t="str">
        <f t="shared" si="7"/>
        <v/>
      </c>
      <c r="N173" s="11" t="str">
        <f t="shared" si="8"/>
        <v/>
      </c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</row>
    <row r="174" spans="2:77" x14ac:dyDescent="0.2">
      <c r="B174" s="60"/>
      <c r="C174" s="60"/>
      <c r="D174" s="53"/>
      <c r="E174" s="55"/>
      <c r="F174" s="55"/>
      <c r="G174" s="60"/>
      <c r="H174" s="60"/>
      <c r="I174" s="61"/>
      <c r="J174" s="60"/>
      <c r="K174" s="60"/>
      <c r="L174" s="12" t="str">
        <f t="shared" si="6"/>
        <v/>
      </c>
      <c r="M174" s="11" t="str">
        <f t="shared" si="7"/>
        <v/>
      </c>
      <c r="N174" s="11" t="str">
        <f t="shared" si="8"/>
        <v/>
      </c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</row>
    <row r="175" spans="2:77" x14ac:dyDescent="0.2">
      <c r="B175" s="60"/>
      <c r="C175" s="60"/>
      <c r="D175" s="53"/>
      <c r="E175" s="55"/>
      <c r="F175" s="55"/>
      <c r="G175" s="60"/>
      <c r="H175" s="60"/>
      <c r="I175" s="61"/>
      <c r="J175" s="60"/>
      <c r="K175" s="60"/>
      <c r="L175" s="12" t="str">
        <f t="shared" si="6"/>
        <v/>
      </c>
      <c r="M175" s="11" t="str">
        <f t="shared" si="7"/>
        <v/>
      </c>
      <c r="N175" s="11" t="str">
        <f t="shared" si="8"/>
        <v/>
      </c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</row>
    <row r="176" spans="2:77" x14ac:dyDescent="0.2">
      <c r="B176" s="60"/>
      <c r="C176" s="60"/>
      <c r="D176" s="53"/>
      <c r="E176" s="55"/>
      <c r="F176" s="55"/>
      <c r="G176" s="60"/>
      <c r="H176" s="60"/>
      <c r="I176" s="61"/>
      <c r="J176" s="60"/>
      <c r="K176" s="60"/>
      <c r="L176" s="12" t="str">
        <f t="shared" si="6"/>
        <v/>
      </c>
      <c r="M176" s="11" t="str">
        <f t="shared" si="7"/>
        <v/>
      </c>
      <c r="N176" s="11" t="str">
        <f t="shared" si="8"/>
        <v/>
      </c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</row>
    <row r="177" spans="2:77" x14ac:dyDescent="0.2">
      <c r="B177" s="60"/>
      <c r="C177" s="60"/>
      <c r="D177" s="53"/>
      <c r="E177" s="55"/>
      <c r="F177" s="55"/>
      <c r="G177" s="60"/>
      <c r="H177" s="60"/>
      <c r="I177" s="61"/>
      <c r="J177" s="60"/>
      <c r="K177" s="60"/>
      <c r="L177" s="12" t="str">
        <f t="shared" si="6"/>
        <v/>
      </c>
      <c r="M177" s="11" t="str">
        <f t="shared" si="7"/>
        <v/>
      </c>
      <c r="N177" s="11" t="str">
        <f t="shared" si="8"/>
        <v/>
      </c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</row>
    <row r="178" spans="2:77" x14ac:dyDescent="0.2">
      <c r="B178" s="60"/>
      <c r="C178" s="60"/>
      <c r="D178" s="53"/>
      <c r="E178" s="55"/>
      <c r="F178" s="55"/>
      <c r="G178" s="60"/>
      <c r="H178" s="60"/>
      <c r="I178" s="61"/>
      <c r="J178" s="60"/>
      <c r="K178" s="60"/>
      <c r="L178" s="12" t="str">
        <f t="shared" si="6"/>
        <v/>
      </c>
      <c r="M178" s="11" t="str">
        <f t="shared" si="7"/>
        <v/>
      </c>
      <c r="N178" s="11" t="str">
        <f t="shared" si="8"/>
        <v/>
      </c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</row>
    <row r="179" spans="2:77" x14ac:dyDescent="0.2">
      <c r="B179" s="60"/>
      <c r="C179" s="60"/>
      <c r="D179" s="53"/>
      <c r="E179" s="55"/>
      <c r="F179" s="55"/>
      <c r="G179" s="60"/>
      <c r="H179" s="60"/>
      <c r="I179" s="61"/>
      <c r="J179" s="60"/>
      <c r="K179" s="60"/>
      <c r="L179" s="12" t="str">
        <f t="shared" si="6"/>
        <v/>
      </c>
      <c r="M179" s="11" t="str">
        <f t="shared" si="7"/>
        <v/>
      </c>
      <c r="N179" s="11" t="str">
        <f t="shared" si="8"/>
        <v/>
      </c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</row>
    <row r="180" spans="2:77" x14ac:dyDescent="0.2">
      <c r="B180" s="60"/>
      <c r="C180" s="60"/>
      <c r="D180" s="53"/>
      <c r="E180" s="55"/>
      <c r="F180" s="55"/>
      <c r="G180" s="60"/>
      <c r="H180" s="60"/>
      <c r="I180" s="61"/>
      <c r="J180" s="60"/>
      <c r="K180" s="60"/>
      <c r="L180" s="12" t="str">
        <f t="shared" si="6"/>
        <v/>
      </c>
      <c r="M180" s="11" t="str">
        <f t="shared" si="7"/>
        <v/>
      </c>
      <c r="N180" s="11" t="str">
        <f t="shared" si="8"/>
        <v/>
      </c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</row>
    <row r="181" spans="2:77" x14ac:dyDescent="0.2">
      <c r="B181" s="60"/>
      <c r="C181" s="60"/>
      <c r="D181" s="53"/>
      <c r="E181" s="55"/>
      <c r="F181" s="55"/>
      <c r="G181" s="60"/>
      <c r="H181" s="60"/>
      <c r="I181" s="61"/>
      <c r="J181" s="60"/>
      <c r="K181" s="60"/>
      <c r="L181" s="12" t="str">
        <f t="shared" si="6"/>
        <v/>
      </c>
      <c r="M181" s="11" t="str">
        <f t="shared" si="7"/>
        <v/>
      </c>
      <c r="N181" s="11" t="str">
        <f t="shared" si="8"/>
        <v/>
      </c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</row>
    <row r="182" spans="2:77" x14ac:dyDescent="0.2">
      <c r="B182" s="60"/>
      <c r="C182" s="60"/>
      <c r="D182" s="53"/>
      <c r="E182" s="55"/>
      <c r="F182" s="55"/>
      <c r="G182" s="60"/>
      <c r="H182" s="60"/>
      <c r="I182" s="61"/>
      <c r="J182" s="60"/>
      <c r="K182" s="60"/>
      <c r="L182" s="12" t="str">
        <f t="shared" si="6"/>
        <v/>
      </c>
      <c r="M182" s="11" t="str">
        <f t="shared" si="7"/>
        <v/>
      </c>
      <c r="N182" s="11" t="str">
        <f t="shared" si="8"/>
        <v/>
      </c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</row>
    <row r="183" spans="2:77" x14ac:dyDescent="0.2">
      <c r="B183" s="60"/>
      <c r="C183" s="60"/>
      <c r="D183" s="53"/>
      <c r="E183" s="55"/>
      <c r="F183" s="55"/>
      <c r="G183" s="60"/>
      <c r="H183" s="60"/>
      <c r="I183" s="61"/>
      <c r="J183" s="60"/>
      <c r="K183" s="60"/>
      <c r="L183" s="12" t="str">
        <f t="shared" si="6"/>
        <v/>
      </c>
      <c r="M183" s="11" t="str">
        <f t="shared" si="7"/>
        <v/>
      </c>
      <c r="N183" s="11" t="str">
        <f t="shared" si="8"/>
        <v/>
      </c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</row>
    <row r="184" spans="2:77" x14ac:dyDescent="0.2">
      <c r="B184" s="60"/>
      <c r="C184" s="60"/>
      <c r="D184" s="53"/>
      <c r="E184" s="55"/>
      <c r="F184" s="55"/>
      <c r="G184" s="60"/>
      <c r="H184" s="60"/>
      <c r="I184" s="61"/>
      <c r="J184" s="60"/>
      <c r="K184" s="60"/>
      <c r="L184" s="12" t="str">
        <f t="shared" si="6"/>
        <v/>
      </c>
      <c r="M184" s="11" t="str">
        <f t="shared" si="7"/>
        <v/>
      </c>
      <c r="N184" s="11" t="str">
        <f t="shared" si="8"/>
        <v/>
      </c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</row>
    <row r="185" spans="2:77" x14ac:dyDescent="0.2">
      <c r="B185" s="60"/>
      <c r="C185" s="60"/>
      <c r="D185" s="53"/>
      <c r="E185" s="55"/>
      <c r="F185" s="55"/>
      <c r="G185" s="60"/>
      <c r="H185" s="60"/>
      <c r="I185" s="61"/>
      <c r="J185" s="60"/>
      <c r="K185" s="60"/>
      <c r="L185" s="12" t="str">
        <f t="shared" si="6"/>
        <v/>
      </c>
      <c r="M185" s="11" t="str">
        <f t="shared" si="7"/>
        <v/>
      </c>
      <c r="N185" s="11" t="str">
        <f t="shared" si="8"/>
        <v/>
      </c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</row>
    <row r="186" spans="2:77" x14ac:dyDescent="0.2">
      <c r="B186" s="60"/>
      <c r="C186" s="60"/>
      <c r="D186" s="53"/>
      <c r="E186" s="55"/>
      <c r="F186" s="55"/>
      <c r="G186" s="60"/>
      <c r="H186" s="60"/>
      <c r="I186" s="61"/>
      <c r="J186" s="60"/>
      <c r="K186" s="60"/>
      <c r="L186" s="12" t="str">
        <f t="shared" si="6"/>
        <v/>
      </c>
      <c r="M186" s="11" t="str">
        <f t="shared" si="7"/>
        <v/>
      </c>
      <c r="N186" s="11" t="str">
        <f t="shared" si="8"/>
        <v/>
      </c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</row>
    <row r="187" spans="2:77" x14ac:dyDescent="0.2">
      <c r="B187" s="60"/>
      <c r="C187" s="60"/>
      <c r="D187" s="53"/>
      <c r="E187" s="55"/>
      <c r="F187" s="55"/>
      <c r="G187" s="60"/>
      <c r="H187" s="60"/>
      <c r="I187" s="61"/>
      <c r="J187" s="60"/>
      <c r="K187" s="60"/>
      <c r="L187" s="12" t="str">
        <f t="shared" si="6"/>
        <v/>
      </c>
      <c r="M187" s="11" t="str">
        <f t="shared" si="7"/>
        <v/>
      </c>
      <c r="N187" s="11" t="str">
        <f t="shared" si="8"/>
        <v/>
      </c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</row>
    <row r="188" spans="2:77" x14ac:dyDescent="0.2">
      <c r="B188" s="60"/>
      <c r="C188" s="60"/>
      <c r="D188" s="53"/>
      <c r="E188" s="55"/>
      <c r="F188" s="55"/>
      <c r="G188" s="60"/>
      <c r="H188" s="60"/>
      <c r="I188" s="61"/>
      <c r="J188" s="60"/>
      <c r="K188" s="60"/>
      <c r="L188" s="12" t="str">
        <f t="shared" si="6"/>
        <v/>
      </c>
      <c r="M188" s="11" t="str">
        <f t="shared" si="7"/>
        <v/>
      </c>
      <c r="N188" s="11" t="str">
        <f t="shared" si="8"/>
        <v/>
      </c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</row>
    <row r="189" spans="2:77" x14ac:dyDescent="0.2">
      <c r="B189" s="60"/>
      <c r="C189" s="60"/>
      <c r="D189" s="53"/>
      <c r="E189" s="55"/>
      <c r="F189" s="55"/>
      <c r="G189" s="60"/>
      <c r="H189" s="60"/>
      <c r="I189" s="61"/>
      <c r="J189" s="60"/>
      <c r="K189" s="60"/>
      <c r="L189" s="12" t="str">
        <f t="shared" si="6"/>
        <v/>
      </c>
      <c r="M189" s="11" t="str">
        <f t="shared" si="7"/>
        <v/>
      </c>
      <c r="N189" s="11" t="str">
        <f t="shared" si="8"/>
        <v/>
      </c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</row>
    <row r="190" spans="2:77" x14ac:dyDescent="0.2">
      <c r="B190" s="60"/>
      <c r="C190" s="60"/>
      <c r="D190" s="53"/>
      <c r="E190" s="55"/>
      <c r="F190" s="55"/>
      <c r="G190" s="60"/>
      <c r="H190" s="60"/>
      <c r="I190" s="61"/>
      <c r="J190" s="60"/>
      <c r="K190" s="60"/>
      <c r="L190" s="12" t="str">
        <f t="shared" si="6"/>
        <v/>
      </c>
      <c r="M190" s="11" t="str">
        <f t="shared" si="7"/>
        <v/>
      </c>
      <c r="N190" s="11" t="str">
        <f t="shared" si="8"/>
        <v/>
      </c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</row>
    <row r="191" spans="2:77" x14ac:dyDescent="0.2">
      <c r="B191" s="60"/>
      <c r="C191" s="60"/>
      <c r="D191" s="53"/>
      <c r="E191" s="55"/>
      <c r="F191" s="55"/>
      <c r="G191" s="60"/>
      <c r="H191" s="60"/>
      <c r="I191" s="61"/>
      <c r="J191" s="60"/>
      <c r="K191" s="60"/>
      <c r="L191" s="12" t="str">
        <f t="shared" si="6"/>
        <v/>
      </c>
      <c r="M191" s="11" t="str">
        <f t="shared" si="7"/>
        <v/>
      </c>
      <c r="N191" s="11" t="str">
        <f t="shared" si="8"/>
        <v/>
      </c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</row>
    <row r="192" spans="2:77" x14ac:dyDescent="0.2">
      <c r="B192" s="60"/>
      <c r="C192" s="60"/>
      <c r="D192" s="53"/>
      <c r="E192" s="55"/>
      <c r="F192" s="55"/>
      <c r="G192" s="60"/>
      <c r="H192" s="60"/>
      <c r="I192" s="61"/>
      <c r="J192" s="60"/>
      <c r="K192" s="60"/>
      <c r="L192" s="12" t="str">
        <f t="shared" si="6"/>
        <v/>
      </c>
      <c r="M192" s="11" t="str">
        <f t="shared" si="7"/>
        <v/>
      </c>
      <c r="N192" s="11" t="str">
        <f t="shared" si="8"/>
        <v/>
      </c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</row>
    <row r="193" spans="2:77" x14ac:dyDescent="0.2">
      <c r="B193" s="60"/>
      <c r="C193" s="60"/>
      <c r="D193" s="53"/>
      <c r="E193" s="55"/>
      <c r="F193" s="55"/>
      <c r="G193" s="60"/>
      <c r="H193" s="60"/>
      <c r="I193" s="61"/>
      <c r="J193" s="60"/>
      <c r="K193" s="60"/>
      <c r="L193" s="12" t="str">
        <f t="shared" si="6"/>
        <v/>
      </c>
      <c r="M193" s="11" t="str">
        <f t="shared" si="7"/>
        <v/>
      </c>
      <c r="N193" s="11" t="str">
        <f t="shared" si="8"/>
        <v/>
      </c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</row>
    <row r="194" spans="2:77" x14ac:dyDescent="0.2">
      <c r="B194" s="60"/>
      <c r="C194" s="60"/>
      <c r="D194" s="53"/>
      <c r="E194" s="55"/>
      <c r="F194" s="55"/>
      <c r="G194" s="60"/>
      <c r="H194" s="60"/>
      <c r="I194" s="61"/>
      <c r="J194" s="60"/>
      <c r="K194" s="60"/>
      <c r="L194" s="12" t="str">
        <f t="shared" si="6"/>
        <v/>
      </c>
      <c r="M194" s="11" t="str">
        <f t="shared" si="7"/>
        <v/>
      </c>
      <c r="N194" s="11" t="str">
        <f t="shared" si="8"/>
        <v/>
      </c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</row>
    <row r="195" spans="2:77" x14ac:dyDescent="0.2">
      <c r="B195" s="60"/>
      <c r="C195" s="60"/>
      <c r="D195" s="53"/>
      <c r="E195" s="55"/>
      <c r="F195" s="55"/>
      <c r="G195" s="60"/>
      <c r="H195" s="60"/>
      <c r="I195" s="61"/>
      <c r="J195" s="60"/>
      <c r="K195" s="60"/>
      <c r="L195" s="12" t="str">
        <f t="shared" si="6"/>
        <v/>
      </c>
      <c r="M195" s="11" t="str">
        <f t="shared" si="7"/>
        <v/>
      </c>
      <c r="N195" s="11" t="str">
        <f t="shared" si="8"/>
        <v/>
      </c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</row>
    <row r="196" spans="2:77" x14ac:dyDescent="0.2">
      <c r="B196" s="60"/>
      <c r="C196" s="60"/>
      <c r="D196" s="53"/>
      <c r="E196" s="55"/>
      <c r="F196" s="55"/>
      <c r="G196" s="60"/>
      <c r="H196" s="60"/>
      <c r="I196" s="61"/>
      <c r="J196" s="60"/>
      <c r="K196" s="60"/>
      <c r="L196" s="12" t="str">
        <f t="shared" si="6"/>
        <v/>
      </c>
      <c r="M196" s="11" t="str">
        <f t="shared" si="7"/>
        <v/>
      </c>
      <c r="N196" s="11" t="str">
        <f t="shared" si="8"/>
        <v/>
      </c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</row>
    <row r="197" spans="2:77" x14ac:dyDescent="0.2">
      <c r="B197" s="60"/>
      <c r="C197" s="60"/>
      <c r="D197" s="53"/>
      <c r="E197" s="55"/>
      <c r="F197" s="55"/>
      <c r="G197" s="60"/>
      <c r="H197" s="60"/>
      <c r="I197" s="61"/>
      <c r="J197" s="60"/>
      <c r="K197" s="60"/>
      <c r="L197" s="12" t="str">
        <f t="shared" si="6"/>
        <v/>
      </c>
      <c r="M197" s="11" t="str">
        <f t="shared" si="7"/>
        <v/>
      </c>
      <c r="N197" s="11" t="str">
        <f t="shared" si="8"/>
        <v/>
      </c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</row>
    <row r="198" spans="2:77" x14ac:dyDescent="0.2">
      <c r="B198" s="60"/>
      <c r="C198" s="60"/>
      <c r="D198" s="53"/>
      <c r="E198" s="55"/>
      <c r="F198" s="55"/>
      <c r="G198" s="60"/>
      <c r="H198" s="60"/>
      <c r="I198" s="61"/>
      <c r="J198" s="60"/>
      <c r="K198" s="60"/>
      <c r="L198" s="12" t="str">
        <f t="shared" si="6"/>
        <v/>
      </c>
      <c r="M198" s="11" t="str">
        <f t="shared" si="7"/>
        <v/>
      </c>
      <c r="N198" s="11" t="str">
        <f t="shared" si="8"/>
        <v/>
      </c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</row>
    <row r="199" spans="2:77" x14ac:dyDescent="0.2">
      <c r="B199" s="60"/>
      <c r="C199" s="60"/>
      <c r="D199" s="53"/>
      <c r="E199" s="55"/>
      <c r="F199" s="55"/>
      <c r="G199" s="60"/>
      <c r="H199" s="60"/>
      <c r="I199" s="61"/>
      <c r="J199" s="60"/>
      <c r="K199" s="60"/>
      <c r="L199" s="12" t="str">
        <f t="shared" ref="L199:L201" si="9">IF(G199="","",IF(G199&gt;0,H199-(3.14*K199)/10))</f>
        <v/>
      </c>
      <c r="M199" s="11" t="str">
        <f t="shared" si="7"/>
        <v/>
      </c>
      <c r="N199" s="11" t="str">
        <f t="shared" si="8"/>
        <v/>
      </c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</row>
    <row r="200" spans="2:77" x14ac:dyDescent="0.2">
      <c r="B200" s="60"/>
      <c r="C200" s="60"/>
      <c r="D200" s="53"/>
      <c r="E200" s="55"/>
      <c r="F200" s="55"/>
      <c r="G200" s="60"/>
      <c r="H200" s="60"/>
      <c r="I200" s="61"/>
      <c r="J200" s="60"/>
      <c r="K200" s="60"/>
      <c r="L200" s="12" t="str">
        <f t="shared" si="9"/>
        <v/>
      </c>
      <c r="M200" s="11" t="str">
        <f t="shared" ref="M200:M201" si="10">IF(D200="feminino",((1.83*G200)-(0.24*C200)+84.88)/100,IF(D200="masculino",((2.02*G200)-(0.04*C200)+64.19)/100,""))</f>
        <v/>
      </c>
      <c r="N200" s="11" t="str">
        <f t="shared" ref="N200:N201" si="11">IF(D200="feminino",(1.27*I200)+(0.87*G200)+(0.98*H200)+(0.4*J200)-62.35,IF(D200="masculino",(0.98*I200)+(1.16*G200)+(1.73*H200)+(0.37*J200)-81.69,""))</f>
        <v/>
      </c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</row>
    <row r="201" spans="2:77" x14ac:dyDescent="0.2">
      <c r="B201" s="60"/>
      <c r="C201" s="60"/>
      <c r="D201" s="53"/>
      <c r="E201" s="55"/>
      <c r="F201" s="55"/>
      <c r="G201" s="60"/>
      <c r="H201" s="60"/>
      <c r="I201" s="61"/>
      <c r="J201" s="60"/>
      <c r="K201" s="60"/>
      <c r="L201" s="12" t="str">
        <f t="shared" si="9"/>
        <v/>
      </c>
      <c r="M201" s="11" t="str">
        <f t="shared" si="10"/>
        <v/>
      </c>
      <c r="N201" s="11" t="str">
        <f t="shared" si="11"/>
        <v/>
      </c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</row>
    <row r="202" spans="2:77" x14ac:dyDescent="0.2">
      <c r="B202" s="51"/>
      <c r="C202" s="51"/>
      <c r="D202" s="51"/>
      <c r="E202" s="51"/>
      <c r="F202" s="51"/>
      <c r="G202" s="51"/>
      <c r="H202" s="51"/>
      <c r="I202" s="62"/>
      <c r="J202" s="51"/>
      <c r="K202" s="51"/>
      <c r="L202" s="6"/>
      <c r="M202" s="6"/>
      <c r="N202" s="6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</row>
    <row r="203" spans="2:77" x14ac:dyDescent="0.2">
      <c r="B203" s="51"/>
      <c r="C203" s="51"/>
      <c r="D203" s="51"/>
      <c r="E203" s="51"/>
      <c r="F203" s="51"/>
      <c r="G203" s="51"/>
      <c r="H203" s="51"/>
      <c r="I203" s="62"/>
      <c r="J203" s="51"/>
      <c r="K203" s="51"/>
      <c r="L203" s="6"/>
      <c r="M203" s="6"/>
      <c r="N203" s="6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</row>
    <row r="204" spans="2:77" x14ac:dyDescent="0.2">
      <c r="B204" s="51"/>
      <c r="C204" s="51"/>
      <c r="D204" s="51"/>
      <c r="E204" s="51"/>
      <c r="F204" s="51"/>
      <c r="G204" s="51"/>
      <c r="H204" s="51"/>
      <c r="I204" s="62"/>
      <c r="J204" s="51"/>
      <c r="K204" s="51"/>
      <c r="L204" s="6"/>
      <c r="M204" s="6"/>
      <c r="N204" s="6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</row>
    <row r="205" spans="2:77" x14ac:dyDescent="0.2">
      <c r="B205" s="51"/>
      <c r="C205" s="51"/>
      <c r="D205" s="51"/>
      <c r="E205" s="51"/>
      <c r="F205" s="51"/>
      <c r="G205" s="51"/>
      <c r="H205" s="51"/>
      <c r="I205" s="62"/>
      <c r="J205" s="51"/>
      <c r="K205" s="51"/>
      <c r="L205" s="6"/>
      <c r="M205" s="6"/>
      <c r="N205" s="6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</row>
    <row r="206" spans="2:77" x14ac:dyDescent="0.2">
      <c r="B206" s="51"/>
      <c r="C206" s="51"/>
      <c r="D206" s="51"/>
      <c r="E206" s="51"/>
      <c r="F206" s="51"/>
      <c r="G206" s="51"/>
      <c r="H206" s="51"/>
      <c r="I206" s="62"/>
      <c r="J206" s="51"/>
      <c r="K206" s="51"/>
      <c r="L206" s="6"/>
      <c r="M206" s="6"/>
      <c r="N206" s="6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</row>
    <row r="207" spans="2:77" x14ac:dyDescent="0.2">
      <c r="B207" s="51"/>
      <c r="C207" s="51"/>
      <c r="D207" s="51"/>
      <c r="E207" s="51"/>
      <c r="F207" s="51"/>
      <c r="G207" s="51"/>
      <c r="H207" s="51"/>
      <c r="I207" s="62"/>
      <c r="J207" s="51"/>
      <c r="K207" s="51"/>
      <c r="L207" s="6"/>
      <c r="M207" s="6"/>
      <c r="N207" s="6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</row>
    <row r="208" spans="2:77" x14ac:dyDescent="0.2">
      <c r="B208" s="51"/>
      <c r="C208" s="51"/>
      <c r="D208" s="51"/>
      <c r="E208" s="51"/>
      <c r="F208" s="51"/>
      <c r="G208" s="51"/>
      <c r="H208" s="51"/>
      <c r="I208" s="62"/>
      <c r="J208" s="51"/>
      <c r="K208" s="51"/>
      <c r="L208" s="6"/>
      <c r="M208" s="6"/>
      <c r="N208" s="6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</row>
    <row r="209" spans="2:77" x14ac:dyDescent="0.2">
      <c r="B209" s="51"/>
      <c r="C209" s="51"/>
      <c r="D209" s="51"/>
      <c r="E209" s="51"/>
      <c r="F209" s="51"/>
      <c r="G209" s="51"/>
      <c r="H209" s="51"/>
      <c r="I209" s="62"/>
      <c r="J209" s="51"/>
      <c r="K209" s="51"/>
      <c r="L209" s="6"/>
      <c r="M209" s="6"/>
      <c r="N209" s="6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</row>
    <row r="210" spans="2:77" x14ac:dyDescent="0.2">
      <c r="B210" s="51"/>
      <c r="C210" s="51"/>
      <c r="D210" s="51"/>
      <c r="E210" s="51"/>
      <c r="F210" s="51"/>
      <c r="G210" s="51"/>
      <c r="H210" s="51"/>
      <c r="I210" s="62"/>
      <c r="J210" s="51"/>
      <c r="K210" s="51"/>
      <c r="L210" s="6"/>
      <c r="M210" s="6"/>
      <c r="N210" s="6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</row>
    <row r="211" spans="2:77" x14ac:dyDescent="0.2">
      <c r="B211" s="51"/>
      <c r="C211" s="51"/>
      <c r="D211" s="51"/>
      <c r="E211" s="51"/>
      <c r="F211" s="51"/>
      <c r="G211" s="51"/>
      <c r="H211" s="51"/>
      <c r="I211" s="62"/>
      <c r="J211" s="51"/>
      <c r="K211" s="51"/>
      <c r="L211" s="6"/>
      <c r="M211" s="6"/>
      <c r="N211" s="6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</row>
    <row r="212" spans="2:77" x14ac:dyDescent="0.2">
      <c r="B212" s="51"/>
      <c r="C212" s="51"/>
      <c r="D212" s="51"/>
      <c r="E212" s="51"/>
      <c r="F212" s="51"/>
      <c r="G212" s="51"/>
      <c r="H212" s="51"/>
      <c r="I212" s="62"/>
      <c r="J212" s="51"/>
      <c r="K212" s="51"/>
      <c r="L212" s="6"/>
      <c r="M212" s="6"/>
      <c r="N212" s="6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</row>
    <row r="213" spans="2:77" x14ac:dyDescent="0.2">
      <c r="B213" s="51"/>
      <c r="C213" s="51"/>
      <c r="D213" s="51"/>
      <c r="E213" s="51"/>
      <c r="F213" s="51"/>
      <c r="G213" s="51"/>
      <c r="H213" s="51"/>
      <c r="I213" s="62"/>
      <c r="J213" s="51"/>
      <c r="K213" s="51"/>
      <c r="L213" s="6"/>
      <c r="M213" s="6"/>
      <c r="N213" s="6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</row>
    <row r="214" spans="2:77" x14ac:dyDescent="0.2">
      <c r="B214" s="51"/>
      <c r="C214" s="51"/>
      <c r="D214" s="51"/>
      <c r="E214" s="51"/>
      <c r="F214" s="51"/>
      <c r="G214" s="51"/>
      <c r="H214" s="51"/>
      <c r="I214" s="62"/>
      <c r="J214" s="51"/>
      <c r="K214" s="51"/>
      <c r="L214" s="6"/>
      <c r="M214" s="6"/>
      <c r="N214" s="6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</row>
    <row r="215" spans="2:77" x14ac:dyDescent="0.2">
      <c r="B215" s="51"/>
      <c r="C215" s="51"/>
      <c r="D215" s="51"/>
      <c r="E215" s="51"/>
      <c r="F215" s="51"/>
      <c r="G215" s="51"/>
      <c r="H215" s="51"/>
      <c r="I215" s="62"/>
      <c r="J215" s="51"/>
      <c r="K215" s="51"/>
      <c r="L215" s="6"/>
      <c r="M215" s="6"/>
      <c r="N215" s="6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</row>
    <row r="216" spans="2:77" x14ac:dyDescent="0.2">
      <c r="B216" s="51"/>
      <c r="C216" s="51"/>
      <c r="D216" s="51"/>
      <c r="E216" s="51"/>
      <c r="F216" s="51"/>
      <c r="G216" s="51"/>
      <c r="H216" s="51"/>
      <c r="I216" s="62"/>
      <c r="J216" s="51"/>
      <c r="K216" s="51"/>
      <c r="L216" s="6"/>
      <c r="M216" s="6"/>
      <c r="N216" s="6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</row>
    <row r="217" spans="2:77" x14ac:dyDescent="0.2">
      <c r="B217" s="51"/>
      <c r="C217" s="51"/>
      <c r="D217" s="51"/>
      <c r="E217" s="51"/>
      <c r="F217" s="51"/>
      <c r="G217" s="51"/>
      <c r="H217" s="51"/>
      <c r="I217" s="62"/>
      <c r="J217" s="51"/>
      <c r="K217" s="51"/>
      <c r="L217" s="6"/>
      <c r="M217" s="6"/>
      <c r="N217" s="6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</row>
    <row r="218" spans="2:77" x14ac:dyDescent="0.2">
      <c r="B218" s="51"/>
      <c r="C218" s="51"/>
      <c r="D218" s="51"/>
      <c r="E218" s="51"/>
      <c r="F218" s="51"/>
      <c r="G218" s="51"/>
      <c r="H218" s="51"/>
      <c r="I218" s="62"/>
      <c r="J218" s="51"/>
      <c r="K218" s="51"/>
      <c r="L218" s="6"/>
      <c r="M218" s="6"/>
      <c r="N218" s="6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</row>
    <row r="219" spans="2:77" x14ac:dyDescent="0.2">
      <c r="B219" s="51"/>
      <c r="C219" s="51"/>
      <c r="D219" s="51"/>
      <c r="E219" s="51"/>
      <c r="F219" s="51"/>
      <c r="G219" s="51"/>
      <c r="H219" s="51"/>
      <c r="I219" s="62"/>
      <c r="J219" s="51"/>
      <c r="K219" s="51"/>
      <c r="L219" s="6"/>
      <c r="M219" s="6"/>
      <c r="N219" s="6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</row>
    <row r="220" spans="2:77" x14ac:dyDescent="0.2">
      <c r="B220" s="51"/>
      <c r="C220" s="51"/>
      <c r="D220" s="51"/>
      <c r="E220" s="51"/>
      <c r="F220" s="51"/>
      <c r="G220" s="51"/>
      <c r="H220" s="51"/>
      <c r="I220" s="62"/>
      <c r="J220" s="51"/>
      <c r="K220" s="51"/>
      <c r="L220" s="6"/>
      <c r="M220" s="6"/>
      <c r="N220" s="6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</row>
    <row r="221" spans="2:77" x14ac:dyDescent="0.2">
      <c r="B221" s="51"/>
      <c r="C221" s="51"/>
      <c r="D221" s="51"/>
      <c r="E221" s="51"/>
      <c r="F221" s="51"/>
      <c r="G221" s="51"/>
      <c r="H221" s="51"/>
      <c r="I221" s="62"/>
      <c r="J221" s="51"/>
      <c r="K221" s="51"/>
      <c r="L221" s="6"/>
      <c r="M221" s="6"/>
      <c r="N221" s="6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</row>
    <row r="222" spans="2:77" x14ac:dyDescent="0.2">
      <c r="B222" s="51"/>
      <c r="C222" s="51"/>
      <c r="D222" s="51"/>
      <c r="E222" s="51"/>
      <c r="F222" s="51"/>
      <c r="G222" s="51"/>
      <c r="H222" s="51"/>
      <c r="I222" s="62"/>
      <c r="J222" s="51"/>
      <c r="K222" s="51"/>
      <c r="L222" s="6"/>
      <c r="M222" s="6"/>
      <c r="N222" s="6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</row>
    <row r="223" spans="2:77" x14ac:dyDescent="0.2">
      <c r="B223" s="51"/>
      <c r="C223" s="51"/>
      <c r="D223" s="51"/>
      <c r="E223" s="51"/>
      <c r="F223" s="51"/>
      <c r="G223" s="51"/>
      <c r="H223" s="51"/>
      <c r="I223" s="62"/>
      <c r="J223" s="51"/>
      <c r="K223" s="51"/>
      <c r="L223" s="6"/>
      <c r="M223" s="6"/>
      <c r="N223" s="6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</row>
    <row r="224" spans="2:77" x14ac:dyDescent="0.2">
      <c r="B224" s="51"/>
      <c r="C224" s="51"/>
      <c r="D224" s="51"/>
      <c r="E224" s="51"/>
      <c r="F224" s="51"/>
      <c r="G224" s="51"/>
      <c r="H224" s="51"/>
      <c r="I224" s="62"/>
      <c r="J224" s="51"/>
      <c r="K224" s="51"/>
      <c r="L224" s="6"/>
      <c r="M224" s="6"/>
      <c r="N224" s="6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</row>
    <row r="225" spans="2:77" x14ac:dyDescent="0.2">
      <c r="B225" s="51"/>
      <c r="C225" s="51"/>
      <c r="D225" s="51"/>
      <c r="E225" s="51"/>
      <c r="F225" s="51"/>
      <c r="G225" s="51"/>
      <c r="H225" s="51"/>
      <c r="I225" s="62"/>
      <c r="J225" s="51"/>
      <c r="K225" s="51"/>
      <c r="L225" s="6"/>
      <c r="M225" s="6"/>
      <c r="N225" s="6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</row>
    <row r="226" spans="2:77" x14ac:dyDescent="0.2">
      <c r="B226" s="51"/>
      <c r="C226" s="51"/>
      <c r="D226" s="51"/>
      <c r="E226" s="51"/>
      <c r="F226" s="51"/>
      <c r="G226" s="51"/>
      <c r="H226" s="51"/>
      <c r="I226" s="62"/>
      <c r="J226" s="51"/>
      <c r="K226" s="51"/>
      <c r="L226" s="6"/>
      <c r="M226" s="6"/>
      <c r="N226" s="6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</row>
    <row r="227" spans="2:77" x14ac:dyDescent="0.2">
      <c r="B227" s="51"/>
      <c r="C227" s="51"/>
      <c r="D227" s="51"/>
      <c r="E227" s="51"/>
      <c r="F227" s="51"/>
      <c r="G227" s="51"/>
      <c r="H227" s="51"/>
      <c r="I227" s="62"/>
      <c r="J227" s="51"/>
      <c r="K227" s="51"/>
      <c r="L227" s="6"/>
      <c r="M227" s="6"/>
      <c r="N227" s="6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</row>
    <row r="228" spans="2:77" x14ac:dyDescent="0.2">
      <c r="B228" s="51"/>
      <c r="C228" s="51"/>
      <c r="D228" s="51"/>
      <c r="E228" s="51"/>
      <c r="F228" s="51"/>
      <c r="G228" s="51"/>
      <c r="H228" s="51"/>
      <c r="I228" s="62"/>
      <c r="J228" s="51"/>
      <c r="K228" s="51"/>
      <c r="L228" s="6"/>
      <c r="M228" s="6"/>
      <c r="N228" s="6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</row>
    <row r="229" spans="2:77" x14ac:dyDescent="0.2">
      <c r="B229" s="51"/>
      <c r="C229" s="51"/>
      <c r="D229" s="51"/>
      <c r="E229" s="51"/>
      <c r="F229" s="51"/>
      <c r="G229" s="51"/>
      <c r="H229" s="51"/>
      <c r="I229" s="62"/>
      <c r="J229" s="51"/>
      <c r="K229" s="51"/>
      <c r="L229" s="6"/>
      <c r="M229" s="6"/>
      <c r="N229" s="6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</row>
    <row r="230" spans="2:77" x14ac:dyDescent="0.2">
      <c r="B230" s="51"/>
      <c r="C230" s="51"/>
      <c r="D230" s="51"/>
      <c r="E230" s="51"/>
      <c r="F230" s="51"/>
      <c r="G230" s="51"/>
      <c r="H230" s="51"/>
      <c r="I230" s="62"/>
      <c r="J230" s="51"/>
      <c r="K230" s="51"/>
      <c r="L230" s="6"/>
      <c r="M230" s="6"/>
      <c r="N230" s="6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</row>
    <row r="231" spans="2:77" x14ac:dyDescent="0.2">
      <c r="B231" s="51"/>
      <c r="C231" s="51"/>
      <c r="D231" s="51"/>
      <c r="E231" s="51"/>
      <c r="F231" s="51"/>
      <c r="G231" s="51"/>
      <c r="H231" s="51"/>
      <c r="I231" s="62"/>
      <c r="J231" s="51"/>
      <c r="K231" s="51"/>
      <c r="L231" s="6"/>
      <c r="M231" s="6"/>
      <c r="N231" s="6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</row>
    <row r="232" spans="2:77" x14ac:dyDescent="0.2">
      <c r="B232" s="51"/>
      <c r="C232" s="51"/>
      <c r="D232" s="51"/>
      <c r="E232" s="51"/>
      <c r="F232" s="51"/>
      <c r="G232" s="51"/>
      <c r="H232" s="51"/>
      <c r="I232" s="62"/>
      <c r="J232" s="51"/>
      <c r="K232" s="51"/>
      <c r="L232" s="6"/>
      <c r="M232" s="6"/>
      <c r="N232" s="6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</row>
  </sheetData>
  <sheetProtection password="CF7A" sheet="1" objects="1" insertRows="0" deleteRows="0" sort="0" autoFilter="0"/>
  <conditionalFormatting sqref="I7:I114">
    <cfRule type="cellIs" dxfId="2" priority="2" operator="lessThan">
      <formula>32</formula>
    </cfRule>
    <cfRule type="cellIs" dxfId="1" priority="3" operator="lessThan">
      <formula>31</formula>
    </cfRule>
  </conditionalFormatting>
  <conditionalFormatting sqref="I114:I201">
    <cfRule type="cellIs" dxfId="0" priority="1" operator="lessThan">
      <formula>32</formula>
    </cfRule>
  </conditionalFormatting>
  <dataValidations count="1">
    <dataValidation type="list" showInputMessage="1" showErrorMessage="1" sqref="D7:D201">
      <formula1>$P$2:$P$5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customProperties>
    <customPr name="DVSECTIONID" r:id="rId2"/>
  </customProperties>
  <drawing r:id="rId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AI531"/>
  <sheetViews>
    <sheetView zoomScale="112" zoomScaleNormal="112" workbookViewId="0"/>
  </sheetViews>
  <sheetFormatPr defaultRowHeight="12.75" x14ac:dyDescent="0.2"/>
  <cols>
    <col min="1" max="2" width="9.140625" style="1"/>
    <col min="3" max="3" width="15.85546875" style="20" bestFit="1" customWidth="1"/>
    <col min="4" max="4" width="18.7109375" customWidth="1"/>
    <col min="5" max="6" width="20.85546875" customWidth="1"/>
    <col min="7" max="7" width="15.28515625" style="24" customWidth="1"/>
    <col min="8" max="8" width="18.28515625" customWidth="1"/>
    <col min="9" max="9" width="17.5703125" bestFit="1" customWidth="1"/>
  </cols>
  <sheetData>
    <row r="1" spans="3:35" ht="18.75" customHeight="1" x14ac:dyDescent="0.2">
      <c r="C1" s="15"/>
      <c r="D1" s="1"/>
      <c r="E1" s="1"/>
      <c r="F1" s="1"/>
      <c r="G1" s="2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</row>
    <row r="2" spans="3:35" ht="18.75" customHeight="1" x14ac:dyDescent="0.2">
      <c r="C2" s="16"/>
      <c r="D2" s="1"/>
      <c r="E2" s="1"/>
      <c r="F2" s="1"/>
      <c r="G2" s="2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</row>
    <row r="3" spans="3:35" ht="18.75" customHeight="1" x14ac:dyDescent="0.2">
      <c r="C3" s="17"/>
      <c r="D3" s="1"/>
      <c r="E3" s="1"/>
      <c r="F3" s="1"/>
      <c r="G3" s="2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3:35" x14ac:dyDescent="0.2">
      <c r="C4" s="18"/>
      <c r="D4" s="1"/>
      <c r="E4" s="1"/>
      <c r="F4" s="1"/>
      <c r="G4" s="2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3:35" x14ac:dyDescent="0.2">
      <c r="C5" s="8"/>
      <c r="D5" s="1"/>
      <c r="E5" s="1"/>
      <c r="F5" s="1"/>
      <c r="G5" s="2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</row>
    <row r="6" spans="3:35" ht="18.75" customHeight="1" x14ac:dyDescent="0.2">
      <c r="C6" s="19"/>
      <c r="D6" s="13"/>
      <c r="E6" s="13"/>
      <c r="F6" s="34"/>
      <c r="G6" s="22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3:35" ht="15" customHeight="1" x14ac:dyDescent="0.2">
      <c r="C7" s="46" t="s">
        <v>17</v>
      </c>
      <c r="D7" s="43" t="s">
        <v>18</v>
      </c>
      <c r="E7" s="44" t="s">
        <v>36</v>
      </c>
      <c r="F7" s="50"/>
      <c r="G7" s="47" t="s">
        <v>13</v>
      </c>
      <c r="H7" s="43" t="s">
        <v>18</v>
      </c>
      <c r="I7" s="44" t="s">
        <v>36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</row>
    <row r="8" spans="3:35" ht="12.75" customHeight="1" x14ac:dyDescent="0.2">
      <c r="C8" s="46"/>
      <c r="D8" s="43"/>
      <c r="E8" s="45"/>
      <c r="F8" s="50"/>
      <c r="G8" s="47"/>
      <c r="H8" s="43"/>
      <c r="I8" s="4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</row>
    <row r="9" spans="3:35" ht="12.75" customHeight="1" x14ac:dyDescent="0.2">
      <c r="C9" s="29" t="str">
        <f>IF(medidas!M7="","",medidas!N7/(medidas!M7*medidas!M7))</f>
        <v/>
      </c>
      <c r="D9" s="30" t="str">
        <f>IF(C9="","",IF(C9&lt;=22.99,"baixo peso",IF(C9=23,"eutrófico",IF(C9&lt;=27.99,"eutrófico",IF(C9=28,"risco obesidade",IF(C9&lt;=29.99,"risco obesidade",IF(C9&gt;=30,"obesidade")))))))</f>
        <v/>
      </c>
      <c r="E9" s="30" t="str">
        <f>IF(C9="","",IF(C9&lt;=21.99,"baixo peso",IF(C9=22,"eutrófico",IF(C9&lt;=27.99,"eutrófico",IF(C9&gt;=28,"obesidade")))))</f>
        <v/>
      </c>
      <c r="F9" s="49"/>
      <c r="G9" s="23" t="str">
        <f>IF(medidas!E7="","",medidas!F7/(medidas!E7*medidas!E7))</f>
        <v/>
      </c>
      <c r="H9" s="14" t="str">
        <f>IF(G9="","",IF(G9&lt;=22.99,"baixo peso",IF(G9=23,"eutrófico",IF(G9&lt;=27.99,"eutrófico",IF(G9=28,"risco obesidade",IF(G9&lt;=29.99,"risco obesidade",IF(G9&gt;=30,"obesidade")))))))</f>
        <v/>
      </c>
      <c r="I9" s="14" t="str">
        <f>IF(G9="","",IF(G9&lt;=22.09,"baixo peso",IF(G9=22.1,"eutrófico",IF(G9&lt;=26.99,"eutrófico",IF(G9&gt;=27,"risco de obesidade")))))</f>
        <v/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</row>
    <row r="10" spans="3:35" x14ac:dyDescent="0.2">
      <c r="C10" s="29" t="str">
        <f>IF(medidas!M8="","",medidas!N8/(medidas!M8*medidas!M8))</f>
        <v/>
      </c>
      <c r="D10" s="30" t="str">
        <f t="shared" ref="D10:D73" si="0">IF(C10="","",IF(C10&lt;=22.99,"baixo peso",IF(C10=23,"eutrófico",IF(C10&lt;=27.99,"eutrófico",IF(C10=28,"risco obesidade",IF(C10&lt;=29.99,"risco obesidade",IF(C10&gt;=30,"obesidade")))))))</f>
        <v/>
      </c>
      <c r="E10" s="30" t="str">
        <f t="shared" ref="E10:E73" si="1">IF(C10="","",IF(C10&lt;=21.99,"baixo peso",IF(C10=22,"eutrófico",IF(C10&lt;=27.99,"eutrófico",IF(C10&gt;=28,"obesidade")))))</f>
        <v/>
      </c>
      <c r="F10" s="49"/>
      <c r="G10" s="23" t="str">
        <f>IF(medidas!E8="","",medidas!F8/(medidas!E8*medidas!E8))</f>
        <v/>
      </c>
      <c r="H10" s="14" t="str">
        <f t="shared" ref="H10:H73" si="2">IF(G10="","",IF(G10&lt;=22.99,"baixo peso",IF(G10=23,"eutrófico",IF(G10&lt;=27.99,"eutrófico",IF(G10=28,"risco obesidade",IF(G10&lt;=29.99,"risco obesidade",IF(G10&gt;=30,"obesidade")))))))</f>
        <v/>
      </c>
      <c r="I10" s="14" t="str">
        <f t="shared" ref="I10:I73" si="3">IF(G10="","",IF(G10&lt;=22.09,"baixo peso",IF(G10=22.1,"eutrófico",IF(G10&lt;=26.99,"eutrófico",IF(G10&gt;=27,"risco de obesidade")))))</f>
        <v/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</row>
    <row r="11" spans="3:35" x14ac:dyDescent="0.2">
      <c r="C11" s="29" t="str">
        <f>IF(medidas!M9="","",medidas!N9/(medidas!M9*medidas!M9))</f>
        <v/>
      </c>
      <c r="D11" s="30" t="str">
        <f t="shared" si="0"/>
        <v/>
      </c>
      <c r="E11" s="30" t="str">
        <f t="shared" si="1"/>
        <v/>
      </c>
      <c r="F11" s="49"/>
      <c r="G11" s="23" t="str">
        <f>IF(medidas!E9="","",medidas!F9/(medidas!E9*medidas!E9))</f>
        <v/>
      </c>
      <c r="H11" s="14" t="str">
        <f t="shared" si="2"/>
        <v/>
      </c>
      <c r="I11" s="14" t="str">
        <f t="shared" si="3"/>
        <v/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</row>
    <row r="12" spans="3:35" x14ac:dyDescent="0.2">
      <c r="C12" s="29" t="str">
        <f>IF(medidas!M10="","",medidas!N10/(medidas!M10*medidas!M10))</f>
        <v/>
      </c>
      <c r="D12" s="30" t="str">
        <f t="shared" si="0"/>
        <v/>
      </c>
      <c r="E12" s="30" t="str">
        <f t="shared" si="1"/>
        <v/>
      </c>
      <c r="F12" s="49"/>
      <c r="G12" s="23" t="str">
        <f>IF(medidas!E10="","",medidas!F10/(medidas!E10*medidas!E10))</f>
        <v/>
      </c>
      <c r="H12" s="14" t="str">
        <f t="shared" si="2"/>
        <v/>
      </c>
      <c r="I12" s="14" t="str">
        <f t="shared" si="3"/>
        <v/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</row>
    <row r="13" spans="3:35" x14ac:dyDescent="0.2">
      <c r="C13" s="29" t="str">
        <f>IF(medidas!M11="","",medidas!N11/(medidas!M11*medidas!M11))</f>
        <v/>
      </c>
      <c r="D13" s="30" t="str">
        <f t="shared" si="0"/>
        <v/>
      </c>
      <c r="E13" s="30" t="str">
        <f t="shared" si="1"/>
        <v/>
      </c>
      <c r="F13" s="49"/>
      <c r="G13" s="23" t="str">
        <f>IF(medidas!E11="","",medidas!F11/(medidas!E11*medidas!E11))</f>
        <v/>
      </c>
      <c r="H13" s="14" t="str">
        <f t="shared" si="2"/>
        <v/>
      </c>
      <c r="I13" s="14" t="str">
        <f t="shared" si="3"/>
        <v/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</row>
    <row r="14" spans="3:35" x14ac:dyDescent="0.2">
      <c r="C14" s="29" t="str">
        <f>IF(medidas!M12="","",medidas!N12/(medidas!M12*medidas!M12))</f>
        <v/>
      </c>
      <c r="D14" s="30" t="str">
        <f t="shared" si="0"/>
        <v/>
      </c>
      <c r="E14" s="30" t="str">
        <f t="shared" si="1"/>
        <v/>
      </c>
      <c r="F14" s="49"/>
      <c r="G14" s="23" t="str">
        <f>IF(medidas!E12="","",medidas!F12/(medidas!E12*medidas!E12))</f>
        <v/>
      </c>
      <c r="H14" s="14" t="str">
        <f t="shared" si="2"/>
        <v/>
      </c>
      <c r="I14" s="14" t="str">
        <f t="shared" si="3"/>
        <v/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</row>
    <row r="15" spans="3:35" x14ac:dyDescent="0.2">
      <c r="C15" s="29" t="str">
        <f>IF(medidas!M13="","",medidas!N13/(medidas!M13*medidas!M13))</f>
        <v/>
      </c>
      <c r="D15" s="30" t="str">
        <f t="shared" si="0"/>
        <v/>
      </c>
      <c r="E15" s="30" t="str">
        <f t="shared" si="1"/>
        <v/>
      </c>
      <c r="F15" s="49"/>
      <c r="G15" s="23" t="str">
        <f>IF(medidas!E13="","",medidas!F13/(medidas!E13*medidas!E13))</f>
        <v/>
      </c>
      <c r="H15" s="14" t="str">
        <f t="shared" si="2"/>
        <v/>
      </c>
      <c r="I15" s="14" t="str">
        <f t="shared" si="3"/>
        <v/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</row>
    <row r="16" spans="3:35" x14ac:dyDescent="0.2">
      <c r="C16" s="29" t="str">
        <f>IF(medidas!M14="","",medidas!N14/(medidas!M14*medidas!M14))</f>
        <v/>
      </c>
      <c r="D16" s="30" t="str">
        <f t="shared" si="0"/>
        <v/>
      </c>
      <c r="E16" s="30" t="str">
        <f t="shared" si="1"/>
        <v/>
      </c>
      <c r="F16" s="49"/>
      <c r="G16" s="23" t="str">
        <f>IF(medidas!E14="","",medidas!F14/(medidas!E14*medidas!E14))</f>
        <v/>
      </c>
      <c r="H16" s="31" t="str">
        <f t="shared" si="2"/>
        <v/>
      </c>
      <c r="I16" s="14" t="str">
        <f t="shared" si="3"/>
        <v/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</row>
    <row r="17" spans="3:35" x14ac:dyDescent="0.2">
      <c r="C17" s="29" t="str">
        <f>IF(medidas!M15="","",medidas!N15/(medidas!M15*medidas!M15))</f>
        <v/>
      </c>
      <c r="D17" s="30" t="str">
        <f t="shared" si="0"/>
        <v/>
      </c>
      <c r="E17" s="30" t="str">
        <f t="shared" si="1"/>
        <v/>
      </c>
      <c r="F17" s="49"/>
      <c r="G17" s="23" t="str">
        <f>IF(medidas!E15="","",medidas!F15/(medidas!E15*medidas!E15))</f>
        <v/>
      </c>
      <c r="H17" s="31" t="str">
        <f t="shared" si="2"/>
        <v/>
      </c>
      <c r="I17" s="14" t="str">
        <f t="shared" si="3"/>
        <v/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</row>
    <row r="18" spans="3:35" x14ac:dyDescent="0.2">
      <c r="C18" s="29" t="str">
        <f>IF(medidas!M16="","",medidas!N16/(medidas!M16*medidas!M16))</f>
        <v/>
      </c>
      <c r="D18" s="30" t="str">
        <f t="shared" si="0"/>
        <v/>
      </c>
      <c r="E18" s="30" t="str">
        <f t="shared" si="1"/>
        <v/>
      </c>
      <c r="F18" s="49"/>
      <c r="G18" s="23" t="str">
        <f>IF(medidas!E16="","",medidas!F16/(medidas!E16*medidas!E16))</f>
        <v/>
      </c>
      <c r="H18" s="31" t="str">
        <f t="shared" si="2"/>
        <v/>
      </c>
      <c r="I18" s="14" t="str">
        <f t="shared" si="3"/>
        <v/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</row>
    <row r="19" spans="3:35" x14ac:dyDescent="0.2">
      <c r="C19" s="29" t="str">
        <f>IF(medidas!M17="","",medidas!N17/(medidas!M17*medidas!M17))</f>
        <v/>
      </c>
      <c r="D19" s="30" t="str">
        <f t="shared" si="0"/>
        <v/>
      </c>
      <c r="E19" s="30" t="str">
        <f t="shared" si="1"/>
        <v/>
      </c>
      <c r="F19" s="49"/>
      <c r="G19" s="23" t="str">
        <f>IF(medidas!E17="","",medidas!F17/(medidas!E17*medidas!E17))</f>
        <v/>
      </c>
      <c r="H19" s="31" t="str">
        <f t="shared" si="2"/>
        <v/>
      </c>
      <c r="I19" s="14" t="str">
        <f t="shared" si="3"/>
        <v/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</row>
    <row r="20" spans="3:35" x14ac:dyDescent="0.2">
      <c r="C20" s="29" t="str">
        <f>IF(medidas!M18="","",medidas!N18/(medidas!M18*medidas!M18))</f>
        <v/>
      </c>
      <c r="D20" s="30" t="str">
        <f t="shared" si="0"/>
        <v/>
      </c>
      <c r="E20" s="30" t="str">
        <f t="shared" si="1"/>
        <v/>
      </c>
      <c r="F20" s="49"/>
      <c r="G20" s="23" t="str">
        <f>IF(medidas!E18="","",medidas!F18/(medidas!E18*medidas!E18))</f>
        <v/>
      </c>
      <c r="H20" s="31" t="str">
        <f t="shared" si="2"/>
        <v/>
      </c>
      <c r="I20" s="14" t="str">
        <f t="shared" si="3"/>
        <v/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spans="3:35" x14ac:dyDescent="0.2">
      <c r="C21" s="29" t="str">
        <f>IF(medidas!M19="","",medidas!N19/(medidas!M19*medidas!M19))</f>
        <v/>
      </c>
      <c r="D21" s="30" t="str">
        <f t="shared" si="0"/>
        <v/>
      </c>
      <c r="E21" s="30" t="str">
        <f t="shared" si="1"/>
        <v/>
      </c>
      <c r="F21" s="49"/>
      <c r="G21" s="23" t="str">
        <f>IF(medidas!E19="","",medidas!F19/(medidas!E19*medidas!E19))</f>
        <v/>
      </c>
      <c r="H21" s="31" t="str">
        <f t="shared" si="2"/>
        <v/>
      </c>
      <c r="I21" s="14" t="str">
        <f t="shared" si="3"/>
        <v/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</row>
    <row r="22" spans="3:35" x14ac:dyDescent="0.2">
      <c r="C22" s="29" t="str">
        <f>IF(medidas!M20="","",medidas!N20/(medidas!M20*medidas!M20))</f>
        <v/>
      </c>
      <c r="D22" s="30" t="str">
        <f t="shared" si="0"/>
        <v/>
      </c>
      <c r="E22" s="30" t="str">
        <f t="shared" si="1"/>
        <v/>
      </c>
      <c r="F22" s="49"/>
      <c r="G22" s="23" t="str">
        <f>IF(medidas!E20="","",medidas!F20/(medidas!E20*medidas!E20))</f>
        <v/>
      </c>
      <c r="H22" s="31" t="str">
        <f t="shared" si="2"/>
        <v/>
      </c>
      <c r="I22" s="14" t="str">
        <f t="shared" si="3"/>
        <v/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</row>
    <row r="23" spans="3:35" x14ac:dyDescent="0.2">
      <c r="C23" s="29" t="str">
        <f>IF(medidas!M21="","",medidas!N21/(medidas!M21*medidas!M21))</f>
        <v/>
      </c>
      <c r="D23" s="30" t="str">
        <f t="shared" si="0"/>
        <v/>
      </c>
      <c r="E23" s="30" t="str">
        <f t="shared" si="1"/>
        <v/>
      </c>
      <c r="F23" s="49"/>
      <c r="G23" s="23" t="str">
        <f>IF(medidas!E21="","",medidas!F21/(medidas!E21*medidas!E21))</f>
        <v/>
      </c>
      <c r="H23" s="31" t="str">
        <f t="shared" si="2"/>
        <v/>
      </c>
      <c r="I23" s="14" t="str">
        <f t="shared" si="3"/>
        <v/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</row>
    <row r="24" spans="3:35" x14ac:dyDescent="0.2">
      <c r="C24" s="29" t="str">
        <f>IF(medidas!M22="","",medidas!N22/(medidas!M22*medidas!M22))</f>
        <v/>
      </c>
      <c r="D24" s="30" t="str">
        <f t="shared" si="0"/>
        <v/>
      </c>
      <c r="E24" s="30" t="str">
        <f t="shared" si="1"/>
        <v/>
      </c>
      <c r="F24" s="49"/>
      <c r="G24" s="23" t="str">
        <f>IF(medidas!E22="","",medidas!F22/(medidas!E22*medidas!E22))</f>
        <v/>
      </c>
      <c r="H24" s="31" t="str">
        <f t="shared" si="2"/>
        <v/>
      </c>
      <c r="I24" s="14" t="str">
        <f t="shared" si="3"/>
        <v/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</row>
    <row r="25" spans="3:35" x14ac:dyDescent="0.2">
      <c r="C25" s="29" t="str">
        <f>IF(medidas!M23="","",medidas!N23/(medidas!M23*medidas!M23))</f>
        <v/>
      </c>
      <c r="D25" s="30" t="str">
        <f t="shared" si="0"/>
        <v/>
      </c>
      <c r="E25" s="30" t="str">
        <f t="shared" si="1"/>
        <v/>
      </c>
      <c r="F25" s="49"/>
      <c r="G25" s="23" t="str">
        <f>IF(medidas!E23="","",medidas!F23/(medidas!E23*medidas!E23))</f>
        <v/>
      </c>
      <c r="H25" s="31" t="str">
        <f t="shared" si="2"/>
        <v/>
      </c>
      <c r="I25" s="14" t="str">
        <f t="shared" si="3"/>
        <v/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</row>
    <row r="26" spans="3:35" x14ac:dyDescent="0.2">
      <c r="C26" s="29" t="str">
        <f>IF(medidas!M24="","",medidas!N24/(medidas!M24*medidas!M24))</f>
        <v/>
      </c>
      <c r="D26" s="30" t="str">
        <f t="shared" si="0"/>
        <v/>
      </c>
      <c r="E26" s="30" t="str">
        <f t="shared" si="1"/>
        <v/>
      </c>
      <c r="F26" s="49"/>
      <c r="G26" s="23" t="str">
        <f>IF(medidas!E24="","",medidas!F24/(medidas!E24*medidas!E24))</f>
        <v/>
      </c>
      <c r="H26" s="31" t="str">
        <f t="shared" si="2"/>
        <v/>
      </c>
      <c r="I26" s="14" t="str">
        <f t="shared" si="3"/>
        <v/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</row>
    <row r="27" spans="3:35" x14ac:dyDescent="0.2">
      <c r="C27" s="29" t="str">
        <f>IF(medidas!M25="","",medidas!N25/(medidas!M25*medidas!M25))</f>
        <v/>
      </c>
      <c r="D27" s="30" t="str">
        <f t="shared" si="0"/>
        <v/>
      </c>
      <c r="E27" s="30" t="str">
        <f t="shared" si="1"/>
        <v/>
      </c>
      <c r="F27" s="49"/>
      <c r="G27" s="23" t="str">
        <f>IF(medidas!E25="","",medidas!F25/(medidas!E25*medidas!E25))</f>
        <v/>
      </c>
      <c r="H27" s="31" t="str">
        <f t="shared" si="2"/>
        <v/>
      </c>
      <c r="I27" s="14" t="str">
        <f t="shared" si="3"/>
        <v/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</row>
    <row r="28" spans="3:35" x14ac:dyDescent="0.2">
      <c r="C28" s="29" t="str">
        <f>IF(medidas!M26="","",medidas!N26/(medidas!M26*medidas!M26))</f>
        <v/>
      </c>
      <c r="D28" s="30" t="str">
        <f t="shared" si="0"/>
        <v/>
      </c>
      <c r="E28" s="30" t="str">
        <f t="shared" si="1"/>
        <v/>
      </c>
      <c r="F28" s="49"/>
      <c r="G28" s="23" t="str">
        <f>IF(medidas!E26="","",medidas!F26/(medidas!E26*medidas!E26))</f>
        <v/>
      </c>
      <c r="H28" s="31" t="str">
        <f t="shared" si="2"/>
        <v/>
      </c>
      <c r="I28" s="14" t="str">
        <f t="shared" si="3"/>
        <v/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</row>
    <row r="29" spans="3:35" x14ac:dyDescent="0.2">
      <c r="C29" s="29" t="str">
        <f>IF(medidas!M27="","",medidas!N27/(medidas!M27*medidas!M27))</f>
        <v/>
      </c>
      <c r="D29" s="30" t="str">
        <f t="shared" si="0"/>
        <v/>
      </c>
      <c r="E29" s="30" t="str">
        <f t="shared" si="1"/>
        <v/>
      </c>
      <c r="F29" s="49"/>
      <c r="G29" s="23" t="str">
        <f>IF(medidas!E27="","",medidas!F27/(medidas!E27*medidas!E27))</f>
        <v/>
      </c>
      <c r="H29" s="31" t="str">
        <f t="shared" si="2"/>
        <v/>
      </c>
      <c r="I29" s="14" t="str">
        <f t="shared" si="3"/>
        <v/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</row>
    <row r="30" spans="3:35" x14ac:dyDescent="0.2">
      <c r="C30" s="29" t="str">
        <f>IF(medidas!M28="","",medidas!N28/(medidas!M28*medidas!M28))</f>
        <v/>
      </c>
      <c r="D30" s="30" t="str">
        <f t="shared" si="0"/>
        <v/>
      </c>
      <c r="E30" s="30" t="str">
        <f t="shared" si="1"/>
        <v/>
      </c>
      <c r="F30" s="49"/>
      <c r="G30" s="23" t="str">
        <f>IF(medidas!E28="","",medidas!F28/(medidas!E28*medidas!E28))</f>
        <v/>
      </c>
      <c r="H30" s="31" t="str">
        <f t="shared" si="2"/>
        <v/>
      </c>
      <c r="I30" s="14" t="str">
        <f t="shared" si="3"/>
        <v/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</row>
    <row r="31" spans="3:35" x14ac:dyDescent="0.2">
      <c r="C31" s="29" t="str">
        <f>IF(medidas!M29="","",medidas!N29/(medidas!M29*medidas!M29))</f>
        <v/>
      </c>
      <c r="D31" s="30" t="str">
        <f t="shared" si="0"/>
        <v/>
      </c>
      <c r="E31" s="30" t="str">
        <f t="shared" si="1"/>
        <v/>
      </c>
      <c r="F31" s="49"/>
      <c r="G31" s="23" t="str">
        <f>IF(medidas!E29="","",medidas!F29/(medidas!E29*medidas!E29))</f>
        <v/>
      </c>
      <c r="H31" s="31" t="str">
        <f t="shared" si="2"/>
        <v/>
      </c>
      <c r="I31" s="14" t="str">
        <f t="shared" si="3"/>
        <v/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</row>
    <row r="32" spans="3:35" x14ac:dyDescent="0.2">
      <c r="C32" s="29" t="str">
        <f>IF(medidas!M30="","",medidas!N30/(medidas!M30*medidas!M30))</f>
        <v/>
      </c>
      <c r="D32" s="30" t="str">
        <f t="shared" si="0"/>
        <v/>
      </c>
      <c r="E32" s="30" t="str">
        <f t="shared" si="1"/>
        <v/>
      </c>
      <c r="F32" s="49"/>
      <c r="G32" s="23" t="str">
        <f>IF(medidas!E30="","",medidas!F30/(medidas!E30*medidas!E30))</f>
        <v/>
      </c>
      <c r="H32" s="31" t="str">
        <f t="shared" si="2"/>
        <v/>
      </c>
      <c r="I32" s="14" t="str">
        <f t="shared" si="3"/>
        <v/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3:35" x14ac:dyDescent="0.2">
      <c r="C33" s="29" t="str">
        <f>IF(medidas!M31="","",medidas!N31/(medidas!M31*medidas!M31))</f>
        <v/>
      </c>
      <c r="D33" s="30" t="str">
        <f t="shared" si="0"/>
        <v/>
      </c>
      <c r="E33" s="30" t="str">
        <f t="shared" si="1"/>
        <v/>
      </c>
      <c r="F33" s="49"/>
      <c r="G33" s="23" t="str">
        <f>IF(medidas!E31="","",medidas!F31/(medidas!E31*medidas!E31))</f>
        <v/>
      </c>
      <c r="H33" s="31" t="str">
        <f t="shared" si="2"/>
        <v/>
      </c>
      <c r="I33" s="14" t="str">
        <f t="shared" si="3"/>
        <v/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3:35" x14ac:dyDescent="0.2">
      <c r="C34" s="29" t="str">
        <f>IF(medidas!M32="","",medidas!N32/(medidas!M32*medidas!M32))</f>
        <v/>
      </c>
      <c r="D34" s="30" t="str">
        <f t="shared" si="0"/>
        <v/>
      </c>
      <c r="E34" s="30" t="str">
        <f t="shared" si="1"/>
        <v/>
      </c>
      <c r="F34" s="49"/>
      <c r="G34" s="23" t="str">
        <f>IF(medidas!E32="","",medidas!F32/(medidas!E32*medidas!E32))</f>
        <v/>
      </c>
      <c r="H34" s="31" t="str">
        <f t="shared" si="2"/>
        <v/>
      </c>
      <c r="I34" s="14" t="str">
        <f t="shared" si="3"/>
        <v/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3:35" x14ac:dyDescent="0.2">
      <c r="C35" s="29" t="str">
        <f>IF(medidas!M33="","",medidas!N33/(medidas!M33*medidas!M33))</f>
        <v/>
      </c>
      <c r="D35" s="30" t="str">
        <f t="shared" si="0"/>
        <v/>
      </c>
      <c r="E35" s="30" t="str">
        <f t="shared" si="1"/>
        <v/>
      </c>
      <c r="F35" s="49"/>
      <c r="G35" s="23" t="str">
        <f>IF(medidas!E33="","",medidas!F33/(medidas!E33*medidas!E33))</f>
        <v/>
      </c>
      <c r="H35" s="31" t="str">
        <f t="shared" si="2"/>
        <v/>
      </c>
      <c r="I35" s="14" t="str">
        <f t="shared" si="3"/>
        <v/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</row>
    <row r="36" spans="3:35" x14ac:dyDescent="0.2">
      <c r="C36" s="29" t="str">
        <f>IF(medidas!M34="","",medidas!N34/(medidas!M34*medidas!M34))</f>
        <v/>
      </c>
      <c r="D36" s="30" t="str">
        <f t="shared" si="0"/>
        <v/>
      </c>
      <c r="E36" s="30" t="str">
        <f t="shared" si="1"/>
        <v/>
      </c>
      <c r="F36" s="49"/>
      <c r="G36" s="23" t="str">
        <f>IF(medidas!E34="","",medidas!F34/(medidas!E34*medidas!E34))</f>
        <v/>
      </c>
      <c r="H36" s="31" t="str">
        <f t="shared" si="2"/>
        <v/>
      </c>
      <c r="I36" s="14" t="str">
        <f t="shared" si="3"/>
        <v/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3:35" x14ac:dyDescent="0.2">
      <c r="C37" s="29" t="str">
        <f>IF(medidas!M35="","",medidas!N35/(medidas!M35*medidas!M35))</f>
        <v/>
      </c>
      <c r="D37" s="30" t="str">
        <f t="shared" si="0"/>
        <v/>
      </c>
      <c r="E37" s="30" t="str">
        <f t="shared" si="1"/>
        <v/>
      </c>
      <c r="F37" s="49"/>
      <c r="G37" s="23" t="str">
        <f>IF(medidas!E35="","",medidas!F35/(medidas!E35*medidas!E35))</f>
        <v/>
      </c>
      <c r="H37" s="31" t="str">
        <f t="shared" si="2"/>
        <v/>
      </c>
      <c r="I37" s="14" t="str">
        <f t="shared" si="3"/>
        <v/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3:35" x14ac:dyDescent="0.2">
      <c r="C38" s="29" t="str">
        <f>IF(medidas!M36="","",medidas!N36/(medidas!M36*medidas!M36))</f>
        <v/>
      </c>
      <c r="D38" s="30" t="str">
        <f t="shared" si="0"/>
        <v/>
      </c>
      <c r="E38" s="30" t="str">
        <f t="shared" si="1"/>
        <v/>
      </c>
      <c r="F38" s="49"/>
      <c r="G38" s="23" t="str">
        <f>IF(medidas!E36="","",medidas!F36/(medidas!E36*medidas!E36))</f>
        <v/>
      </c>
      <c r="H38" s="31" t="str">
        <f t="shared" si="2"/>
        <v/>
      </c>
      <c r="I38" s="14" t="str">
        <f t="shared" si="3"/>
        <v/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3:35" x14ac:dyDescent="0.2">
      <c r="C39" s="29" t="str">
        <f>IF(medidas!M37="","",medidas!N37/(medidas!M37*medidas!M37))</f>
        <v/>
      </c>
      <c r="D39" s="30" t="str">
        <f t="shared" si="0"/>
        <v/>
      </c>
      <c r="E39" s="30" t="str">
        <f t="shared" si="1"/>
        <v/>
      </c>
      <c r="F39" s="49"/>
      <c r="G39" s="23" t="str">
        <f>IF(medidas!E37="","",medidas!F37/(medidas!E37*medidas!E37))</f>
        <v/>
      </c>
      <c r="H39" s="31" t="str">
        <f t="shared" si="2"/>
        <v/>
      </c>
      <c r="I39" s="14" t="str">
        <f t="shared" si="3"/>
        <v/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3:35" x14ac:dyDescent="0.2">
      <c r="C40" s="29" t="str">
        <f>IF(medidas!M38="","",medidas!N38/(medidas!M38*medidas!M38))</f>
        <v/>
      </c>
      <c r="D40" s="30" t="str">
        <f t="shared" si="0"/>
        <v/>
      </c>
      <c r="E40" s="30" t="str">
        <f t="shared" si="1"/>
        <v/>
      </c>
      <c r="F40" s="49"/>
      <c r="G40" s="23" t="str">
        <f>IF(medidas!E38="","",medidas!F38/(medidas!E38*medidas!E38))</f>
        <v/>
      </c>
      <c r="H40" s="31" t="str">
        <f t="shared" si="2"/>
        <v/>
      </c>
      <c r="I40" s="14" t="str">
        <f t="shared" si="3"/>
        <v/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3:35" x14ac:dyDescent="0.2">
      <c r="C41" s="29" t="str">
        <f>IF(medidas!M39="","",medidas!N39/(medidas!M39*medidas!M39))</f>
        <v/>
      </c>
      <c r="D41" s="30" t="str">
        <f t="shared" si="0"/>
        <v/>
      </c>
      <c r="E41" s="30" t="str">
        <f t="shared" si="1"/>
        <v/>
      </c>
      <c r="F41" s="49"/>
      <c r="G41" s="23" t="str">
        <f>IF(medidas!E39="","",medidas!F39/(medidas!E39*medidas!E39))</f>
        <v/>
      </c>
      <c r="H41" s="31" t="str">
        <f t="shared" si="2"/>
        <v/>
      </c>
      <c r="I41" s="14" t="str">
        <f t="shared" si="3"/>
        <v/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3:35" x14ac:dyDescent="0.2">
      <c r="C42" s="29" t="str">
        <f>IF(medidas!M40="","",medidas!N40/(medidas!M40*medidas!M40))</f>
        <v/>
      </c>
      <c r="D42" s="30" t="str">
        <f t="shared" si="0"/>
        <v/>
      </c>
      <c r="E42" s="30" t="str">
        <f t="shared" si="1"/>
        <v/>
      </c>
      <c r="F42" s="49"/>
      <c r="G42" s="23" t="str">
        <f>IF(medidas!E40="","",medidas!F40/(medidas!E40*medidas!E40))</f>
        <v/>
      </c>
      <c r="H42" s="31" t="str">
        <f t="shared" si="2"/>
        <v/>
      </c>
      <c r="I42" s="14" t="str">
        <f t="shared" si="3"/>
        <v/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3:35" x14ac:dyDescent="0.2">
      <c r="C43" s="29" t="str">
        <f>IF(medidas!M41="","",medidas!N41/(medidas!M41*medidas!M41))</f>
        <v/>
      </c>
      <c r="D43" s="30" t="str">
        <f t="shared" si="0"/>
        <v/>
      </c>
      <c r="E43" s="30" t="str">
        <f t="shared" si="1"/>
        <v/>
      </c>
      <c r="F43" s="49"/>
      <c r="G43" s="23" t="str">
        <f>IF(medidas!E41="","",medidas!F41/(medidas!E41*medidas!E41))</f>
        <v/>
      </c>
      <c r="H43" s="31" t="str">
        <f t="shared" si="2"/>
        <v/>
      </c>
      <c r="I43" s="14" t="str">
        <f t="shared" si="3"/>
        <v/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3:35" x14ac:dyDescent="0.2">
      <c r="C44" s="29" t="str">
        <f>IF(medidas!M42="","",medidas!N42/(medidas!M42*medidas!M42))</f>
        <v/>
      </c>
      <c r="D44" s="30" t="str">
        <f t="shared" si="0"/>
        <v/>
      </c>
      <c r="E44" s="30" t="str">
        <f t="shared" si="1"/>
        <v/>
      </c>
      <c r="F44" s="49"/>
      <c r="G44" s="23" t="str">
        <f>IF(medidas!E42="","",medidas!F42/(medidas!E42*medidas!E42))</f>
        <v/>
      </c>
      <c r="H44" s="31" t="str">
        <f t="shared" si="2"/>
        <v/>
      </c>
      <c r="I44" s="14" t="str">
        <f t="shared" si="3"/>
        <v/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3:35" x14ac:dyDescent="0.2">
      <c r="C45" s="29" t="str">
        <f>IF(medidas!M43="","",medidas!N43/(medidas!M43*medidas!M43))</f>
        <v/>
      </c>
      <c r="D45" s="30" t="str">
        <f t="shared" si="0"/>
        <v/>
      </c>
      <c r="E45" s="30" t="str">
        <f t="shared" si="1"/>
        <v/>
      </c>
      <c r="F45" s="49"/>
      <c r="G45" s="23" t="str">
        <f>IF(medidas!E43="","",medidas!F43/(medidas!E43*medidas!E43))</f>
        <v/>
      </c>
      <c r="H45" s="31" t="str">
        <f t="shared" si="2"/>
        <v/>
      </c>
      <c r="I45" s="14" t="str">
        <f t="shared" si="3"/>
        <v/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3:35" x14ac:dyDescent="0.2">
      <c r="C46" s="29" t="str">
        <f>IF(medidas!M44="","",medidas!N44/(medidas!M44*medidas!M44))</f>
        <v/>
      </c>
      <c r="D46" s="30" t="str">
        <f t="shared" si="0"/>
        <v/>
      </c>
      <c r="E46" s="30" t="str">
        <f t="shared" si="1"/>
        <v/>
      </c>
      <c r="F46" s="49"/>
      <c r="G46" s="23" t="str">
        <f>IF(medidas!E44="","",medidas!F44/(medidas!E44*medidas!E44))</f>
        <v/>
      </c>
      <c r="H46" s="31" t="str">
        <f t="shared" si="2"/>
        <v/>
      </c>
      <c r="I46" s="14" t="str">
        <f t="shared" si="3"/>
        <v/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3:35" x14ac:dyDescent="0.2">
      <c r="C47" s="29" t="str">
        <f>IF(medidas!M45="","",medidas!N45/(medidas!M45*medidas!M45))</f>
        <v/>
      </c>
      <c r="D47" s="30" t="str">
        <f t="shared" si="0"/>
        <v/>
      </c>
      <c r="E47" s="30" t="str">
        <f t="shared" si="1"/>
        <v/>
      </c>
      <c r="F47" s="49"/>
      <c r="G47" s="23" t="str">
        <f>IF(medidas!E45="","",medidas!F45/(medidas!E45*medidas!E45))</f>
        <v/>
      </c>
      <c r="H47" s="31" t="str">
        <f t="shared" si="2"/>
        <v/>
      </c>
      <c r="I47" s="14" t="str">
        <f t="shared" si="3"/>
        <v/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3:35" x14ac:dyDescent="0.2">
      <c r="C48" s="29" t="str">
        <f>IF(medidas!M46="","",medidas!N46/(medidas!M46*medidas!M46))</f>
        <v/>
      </c>
      <c r="D48" s="30" t="str">
        <f t="shared" si="0"/>
        <v/>
      </c>
      <c r="E48" s="30" t="str">
        <f t="shared" si="1"/>
        <v/>
      </c>
      <c r="F48" s="49"/>
      <c r="G48" s="23" t="str">
        <f>IF(medidas!E46="","",medidas!F46/(medidas!E46*medidas!E46))</f>
        <v/>
      </c>
      <c r="H48" s="31" t="str">
        <f t="shared" si="2"/>
        <v/>
      </c>
      <c r="I48" s="14" t="str">
        <f t="shared" si="3"/>
        <v/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3:35" x14ac:dyDescent="0.2">
      <c r="C49" s="29" t="str">
        <f>IF(medidas!M47="","",medidas!N47/(medidas!M47*medidas!M47))</f>
        <v/>
      </c>
      <c r="D49" s="30" t="str">
        <f t="shared" si="0"/>
        <v/>
      </c>
      <c r="E49" s="30" t="str">
        <f t="shared" si="1"/>
        <v/>
      </c>
      <c r="F49" s="49"/>
      <c r="G49" s="23" t="str">
        <f>IF(medidas!E47="","",medidas!F47/(medidas!E47*medidas!E47))</f>
        <v/>
      </c>
      <c r="H49" s="31" t="str">
        <f t="shared" si="2"/>
        <v/>
      </c>
      <c r="I49" s="14" t="str">
        <f t="shared" si="3"/>
        <v/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3:35" x14ac:dyDescent="0.2">
      <c r="C50" s="29" t="str">
        <f>IF(medidas!M48="","",medidas!N48/(medidas!M48*medidas!M48))</f>
        <v/>
      </c>
      <c r="D50" s="30" t="str">
        <f t="shared" si="0"/>
        <v/>
      </c>
      <c r="E50" s="30" t="str">
        <f t="shared" si="1"/>
        <v/>
      </c>
      <c r="F50" s="49"/>
      <c r="G50" s="23" t="str">
        <f>IF(medidas!E48="","",medidas!F48/(medidas!E48*medidas!E48))</f>
        <v/>
      </c>
      <c r="H50" s="31" t="str">
        <f t="shared" si="2"/>
        <v/>
      </c>
      <c r="I50" s="14" t="str">
        <f t="shared" si="3"/>
        <v/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3:35" x14ac:dyDescent="0.2">
      <c r="C51" s="29" t="str">
        <f>IF(medidas!M49="","",medidas!N49/(medidas!M49*medidas!M49))</f>
        <v/>
      </c>
      <c r="D51" s="30" t="str">
        <f t="shared" si="0"/>
        <v/>
      </c>
      <c r="E51" s="30" t="str">
        <f t="shared" si="1"/>
        <v/>
      </c>
      <c r="F51" s="49"/>
      <c r="G51" s="23" t="str">
        <f>IF(medidas!E49="","",medidas!F49/(medidas!E49*medidas!E49))</f>
        <v/>
      </c>
      <c r="H51" s="31" t="str">
        <f t="shared" si="2"/>
        <v/>
      </c>
      <c r="I51" s="14" t="str">
        <f t="shared" si="3"/>
        <v/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3:35" x14ac:dyDescent="0.2">
      <c r="C52" s="29" t="str">
        <f>IF(medidas!M50="","",medidas!N50/(medidas!M50*medidas!M50))</f>
        <v/>
      </c>
      <c r="D52" s="30" t="str">
        <f t="shared" si="0"/>
        <v/>
      </c>
      <c r="E52" s="30" t="str">
        <f t="shared" si="1"/>
        <v/>
      </c>
      <c r="F52" s="49"/>
      <c r="G52" s="23" t="str">
        <f>IF(medidas!E50="","",medidas!F50/(medidas!E50*medidas!E50))</f>
        <v/>
      </c>
      <c r="H52" s="31" t="str">
        <f t="shared" si="2"/>
        <v/>
      </c>
      <c r="I52" s="14" t="str">
        <f t="shared" si="3"/>
        <v/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3:35" x14ac:dyDescent="0.2">
      <c r="C53" s="29" t="str">
        <f>IF(medidas!M51="","",medidas!N51/(medidas!M51*medidas!M51))</f>
        <v/>
      </c>
      <c r="D53" s="30" t="str">
        <f t="shared" si="0"/>
        <v/>
      </c>
      <c r="E53" s="30" t="str">
        <f t="shared" si="1"/>
        <v/>
      </c>
      <c r="F53" s="49"/>
      <c r="G53" s="23" t="str">
        <f>IF(medidas!E51="","",medidas!F51/(medidas!E51*medidas!E51))</f>
        <v/>
      </c>
      <c r="H53" s="31" t="str">
        <f t="shared" si="2"/>
        <v/>
      </c>
      <c r="I53" s="14" t="str">
        <f t="shared" si="3"/>
        <v/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3:35" ht="12.75" customHeight="1" x14ac:dyDescent="0.2">
      <c r="C54" s="29" t="str">
        <f>IF(medidas!M52="","",medidas!N52/(medidas!M52*medidas!M52))</f>
        <v/>
      </c>
      <c r="D54" s="30" t="str">
        <f t="shared" si="0"/>
        <v/>
      </c>
      <c r="E54" s="30" t="str">
        <f t="shared" si="1"/>
        <v/>
      </c>
      <c r="F54" s="49"/>
      <c r="G54" s="23" t="str">
        <f>IF(medidas!E52="","",medidas!F52/(medidas!E52*medidas!E52))</f>
        <v/>
      </c>
      <c r="H54" s="31" t="str">
        <f t="shared" si="2"/>
        <v/>
      </c>
      <c r="I54" s="14" t="str">
        <f t="shared" si="3"/>
        <v/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3:35" ht="12.75" customHeight="1" x14ac:dyDescent="0.2">
      <c r="C55" s="29" t="str">
        <f>IF(medidas!M53="","",medidas!N53/(medidas!M53*medidas!M53))</f>
        <v/>
      </c>
      <c r="D55" s="30" t="str">
        <f t="shared" si="0"/>
        <v/>
      </c>
      <c r="E55" s="30" t="str">
        <f t="shared" si="1"/>
        <v/>
      </c>
      <c r="F55" s="49"/>
      <c r="G55" s="23" t="str">
        <f>IF(medidas!E53="","",medidas!F53/(medidas!E53*medidas!E53))</f>
        <v/>
      </c>
      <c r="H55" s="31" t="str">
        <f t="shared" si="2"/>
        <v/>
      </c>
      <c r="I55" s="14" t="str">
        <f t="shared" si="3"/>
        <v/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3:35" x14ac:dyDescent="0.2">
      <c r="C56" s="29" t="str">
        <f>IF(medidas!M54="","",medidas!N54/(medidas!M54*medidas!M54))</f>
        <v/>
      </c>
      <c r="D56" s="30" t="str">
        <f t="shared" si="0"/>
        <v/>
      </c>
      <c r="E56" s="30" t="str">
        <f t="shared" si="1"/>
        <v/>
      </c>
      <c r="F56" s="49"/>
      <c r="G56" s="23" t="str">
        <f>IF(medidas!E54="","",medidas!F54/(medidas!E54*medidas!E54))</f>
        <v/>
      </c>
      <c r="H56" s="31" t="str">
        <f t="shared" si="2"/>
        <v/>
      </c>
      <c r="I56" s="14" t="str">
        <f t="shared" si="3"/>
        <v/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3:35" x14ac:dyDescent="0.2">
      <c r="C57" s="29" t="str">
        <f>IF(medidas!M55="","",medidas!N55/(medidas!M55*medidas!M55))</f>
        <v/>
      </c>
      <c r="D57" s="30" t="str">
        <f t="shared" si="0"/>
        <v/>
      </c>
      <c r="E57" s="30" t="str">
        <f t="shared" si="1"/>
        <v/>
      </c>
      <c r="F57" s="49"/>
      <c r="G57" s="23" t="str">
        <f>IF(medidas!E55="","",medidas!F55/(medidas!E55*medidas!E55))</f>
        <v/>
      </c>
      <c r="H57" s="31" t="str">
        <f t="shared" si="2"/>
        <v/>
      </c>
      <c r="I57" s="14" t="str">
        <f t="shared" si="3"/>
        <v/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3:35" x14ac:dyDescent="0.2">
      <c r="C58" s="29" t="str">
        <f>IF(medidas!M56="","",medidas!N56/(medidas!M56*medidas!M56))</f>
        <v/>
      </c>
      <c r="D58" s="30" t="str">
        <f t="shared" si="0"/>
        <v/>
      </c>
      <c r="E58" s="30" t="str">
        <f t="shared" si="1"/>
        <v/>
      </c>
      <c r="F58" s="49"/>
      <c r="G58" s="23" t="str">
        <f>IF(medidas!E56="","",medidas!F56/(medidas!E56*medidas!E56))</f>
        <v/>
      </c>
      <c r="H58" s="31" t="str">
        <f t="shared" si="2"/>
        <v/>
      </c>
      <c r="I58" s="14" t="str">
        <f t="shared" si="3"/>
        <v/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3:35" x14ac:dyDescent="0.2">
      <c r="C59" s="29" t="str">
        <f>IF(medidas!M57="","",medidas!N57/(medidas!M57*medidas!M57))</f>
        <v/>
      </c>
      <c r="D59" s="30" t="str">
        <f t="shared" si="0"/>
        <v/>
      </c>
      <c r="E59" s="30" t="str">
        <f t="shared" si="1"/>
        <v/>
      </c>
      <c r="F59" s="49"/>
      <c r="G59" s="23" t="str">
        <f>IF(medidas!E57="","",medidas!F57/(medidas!E57*medidas!E57))</f>
        <v/>
      </c>
      <c r="H59" s="31" t="str">
        <f t="shared" si="2"/>
        <v/>
      </c>
      <c r="I59" s="14" t="str">
        <f t="shared" si="3"/>
        <v/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3:35" x14ac:dyDescent="0.2">
      <c r="C60" s="29" t="str">
        <f>IF(medidas!M58="","",medidas!N58/(medidas!M58*medidas!M58))</f>
        <v/>
      </c>
      <c r="D60" s="30" t="str">
        <f t="shared" si="0"/>
        <v/>
      </c>
      <c r="E60" s="30" t="str">
        <f t="shared" si="1"/>
        <v/>
      </c>
      <c r="F60" s="49"/>
      <c r="G60" s="23" t="str">
        <f>IF(medidas!E58="","",medidas!F58/(medidas!E58*medidas!E58))</f>
        <v/>
      </c>
      <c r="H60" s="31" t="str">
        <f t="shared" si="2"/>
        <v/>
      </c>
      <c r="I60" s="14" t="str">
        <f t="shared" si="3"/>
        <v/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3:35" x14ac:dyDescent="0.2">
      <c r="C61" s="29" t="str">
        <f>IF(medidas!M59="","",medidas!N59/(medidas!M59*medidas!M59))</f>
        <v/>
      </c>
      <c r="D61" s="30" t="str">
        <f t="shared" si="0"/>
        <v/>
      </c>
      <c r="E61" s="30" t="str">
        <f t="shared" si="1"/>
        <v/>
      </c>
      <c r="F61" s="49"/>
      <c r="G61" s="23" t="str">
        <f>IF(medidas!E59="","",medidas!F59/(medidas!E59*medidas!E59))</f>
        <v/>
      </c>
      <c r="H61" s="31" t="str">
        <f t="shared" si="2"/>
        <v/>
      </c>
      <c r="I61" s="14" t="str">
        <f t="shared" si="3"/>
        <v/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3:35" x14ac:dyDescent="0.2">
      <c r="C62" s="29" t="str">
        <f>IF(medidas!M60="","",medidas!N60/(medidas!M60*medidas!M60))</f>
        <v/>
      </c>
      <c r="D62" s="30" t="str">
        <f t="shared" si="0"/>
        <v/>
      </c>
      <c r="E62" s="30" t="str">
        <f t="shared" si="1"/>
        <v/>
      </c>
      <c r="F62" s="49"/>
      <c r="G62" s="23" t="str">
        <f>IF(medidas!E60="","",medidas!F60/(medidas!E60*medidas!E60))</f>
        <v/>
      </c>
      <c r="H62" s="31" t="str">
        <f t="shared" si="2"/>
        <v/>
      </c>
      <c r="I62" s="14" t="str">
        <f t="shared" si="3"/>
        <v/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3:35" x14ac:dyDescent="0.2">
      <c r="C63" s="29" t="str">
        <f>IF(medidas!M61="","",medidas!N61/(medidas!M61*medidas!M61))</f>
        <v/>
      </c>
      <c r="D63" s="30" t="str">
        <f t="shared" si="0"/>
        <v/>
      </c>
      <c r="E63" s="30" t="str">
        <f t="shared" si="1"/>
        <v/>
      </c>
      <c r="F63" s="49"/>
      <c r="G63" s="23" t="str">
        <f>IF(medidas!E61="","",medidas!F61/(medidas!E61*medidas!E61))</f>
        <v/>
      </c>
      <c r="H63" s="31" t="str">
        <f t="shared" si="2"/>
        <v/>
      </c>
      <c r="I63" s="14" t="str">
        <f t="shared" si="3"/>
        <v/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3:35" x14ac:dyDescent="0.2">
      <c r="C64" s="29" t="str">
        <f>IF(medidas!M62="","",medidas!N62/(medidas!M62*medidas!M62))</f>
        <v/>
      </c>
      <c r="D64" s="30" t="str">
        <f t="shared" si="0"/>
        <v/>
      </c>
      <c r="E64" s="30" t="str">
        <f t="shared" si="1"/>
        <v/>
      </c>
      <c r="F64" s="49"/>
      <c r="G64" s="23" t="str">
        <f>IF(medidas!E62="","",medidas!F62/(medidas!E62*medidas!E62))</f>
        <v/>
      </c>
      <c r="H64" s="31" t="str">
        <f t="shared" si="2"/>
        <v/>
      </c>
      <c r="I64" s="14" t="str">
        <f t="shared" si="3"/>
        <v/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3:35" x14ac:dyDescent="0.2">
      <c r="C65" s="29" t="str">
        <f>IF(medidas!M63="","",medidas!N63/(medidas!M63*medidas!M63))</f>
        <v/>
      </c>
      <c r="D65" s="30" t="str">
        <f t="shared" si="0"/>
        <v/>
      </c>
      <c r="E65" s="30" t="str">
        <f t="shared" si="1"/>
        <v/>
      </c>
      <c r="F65" s="49"/>
      <c r="G65" s="23" t="str">
        <f>IF(medidas!E63="","",medidas!F63/(medidas!E63*medidas!E63))</f>
        <v/>
      </c>
      <c r="H65" s="31" t="str">
        <f t="shared" si="2"/>
        <v/>
      </c>
      <c r="I65" s="14" t="str">
        <f t="shared" si="3"/>
        <v/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3:35" x14ac:dyDescent="0.2">
      <c r="C66" s="29" t="str">
        <f>IF(medidas!M64="","",medidas!N64/(medidas!M64*medidas!M64))</f>
        <v/>
      </c>
      <c r="D66" s="30" t="str">
        <f t="shared" si="0"/>
        <v/>
      </c>
      <c r="E66" s="30" t="str">
        <f t="shared" si="1"/>
        <v/>
      </c>
      <c r="F66" s="49"/>
      <c r="G66" s="23" t="str">
        <f>IF(medidas!E64="","",medidas!F64/(medidas!E64*medidas!E64))</f>
        <v/>
      </c>
      <c r="H66" s="31" t="str">
        <f t="shared" si="2"/>
        <v/>
      </c>
      <c r="I66" s="14" t="str">
        <f t="shared" si="3"/>
        <v/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3:35" x14ac:dyDescent="0.2">
      <c r="C67" s="29" t="str">
        <f>IF(medidas!M65="","",medidas!N65/(medidas!M65*medidas!M65))</f>
        <v/>
      </c>
      <c r="D67" s="30" t="str">
        <f t="shared" si="0"/>
        <v/>
      </c>
      <c r="E67" s="30" t="str">
        <f t="shared" si="1"/>
        <v/>
      </c>
      <c r="F67" s="49"/>
      <c r="G67" s="23" t="str">
        <f>IF(medidas!E65="","",medidas!F65/(medidas!E65*medidas!E65))</f>
        <v/>
      </c>
      <c r="H67" s="31" t="str">
        <f t="shared" si="2"/>
        <v/>
      </c>
      <c r="I67" s="14" t="str">
        <f t="shared" si="3"/>
        <v/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3:35" x14ac:dyDescent="0.2">
      <c r="C68" s="29" t="str">
        <f>IF(medidas!M66="","",medidas!N66/(medidas!M66*medidas!M66))</f>
        <v/>
      </c>
      <c r="D68" s="30" t="str">
        <f t="shared" si="0"/>
        <v/>
      </c>
      <c r="E68" s="30" t="str">
        <f t="shared" si="1"/>
        <v/>
      </c>
      <c r="F68" s="49"/>
      <c r="G68" s="23" t="str">
        <f>IF(medidas!E66="","",medidas!F66/(medidas!E66*medidas!E66))</f>
        <v/>
      </c>
      <c r="H68" s="31" t="str">
        <f t="shared" si="2"/>
        <v/>
      </c>
      <c r="I68" s="14" t="str">
        <f t="shared" si="3"/>
        <v/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3:35" x14ac:dyDescent="0.2">
      <c r="C69" s="29" t="str">
        <f>IF(medidas!M67="","",medidas!N67/(medidas!M67*medidas!M67))</f>
        <v/>
      </c>
      <c r="D69" s="30" t="str">
        <f t="shared" si="0"/>
        <v/>
      </c>
      <c r="E69" s="30" t="str">
        <f t="shared" si="1"/>
        <v/>
      </c>
      <c r="F69" s="49"/>
      <c r="G69" s="23" t="str">
        <f>IF(medidas!E67="","",medidas!F67/(medidas!E67*medidas!E67))</f>
        <v/>
      </c>
      <c r="H69" s="31" t="str">
        <f t="shared" si="2"/>
        <v/>
      </c>
      <c r="I69" s="14" t="str">
        <f t="shared" si="3"/>
        <v/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3:35" x14ac:dyDescent="0.2">
      <c r="C70" s="29" t="str">
        <f>IF(medidas!M68="","",medidas!N68/(medidas!M68*medidas!M68))</f>
        <v/>
      </c>
      <c r="D70" s="30" t="str">
        <f t="shared" si="0"/>
        <v/>
      </c>
      <c r="E70" s="30" t="str">
        <f t="shared" si="1"/>
        <v/>
      </c>
      <c r="F70" s="49"/>
      <c r="G70" s="23" t="str">
        <f>IF(medidas!E68="","",medidas!F68/(medidas!E68*medidas!E68))</f>
        <v/>
      </c>
      <c r="H70" s="31" t="str">
        <f t="shared" si="2"/>
        <v/>
      </c>
      <c r="I70" s="14" t="str">
        <f t="shared" si="3"/>
        <v/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3:35" x14ac:dyDescent="0.2">
      <c r="C71" s="29" t="str">
        <f>IF(medidas!M69="","",medidas!N69/(medidas!M69*medidas!M69))</f>
        <v/>
      </c>
      <c r="D71" s="30" t="str">
        <f t="shared" si="0"/>
        <v/>
      </c>
      <c r="E71" s="30" t="str">
        <f t="shared" si="1"/>
        <v/>
      </c>
      <c r="F71" s="49"/>
      <c r="G71" s="23" t="str">
        <f>IF(medidas!E69="","",medidas!F69/(medidas!E69*medidas!E69))</f>
        <v/>
      </c>
      <c r="H71" s="31" t="str">
        <f t="shared" si="2"/>
        <v/>
      </c>
      <c r="I71" s="14" t="str">
        <f t="shared" si="3"/>
        <v/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3:35" x14ac:dyDescent="0.2">
      <c r="C72" s="29" t="str">
        <f>IF(medidas!M70="","",medidas!N70/(medidas!M70*medidas!M70))</f>
        <v/>
      </c>
      <c r="D72" s="30" t="str">
        <f t="shared" si="0"/>
        <v/>
      </c>
      <c r="E72" s="30" t="str">
        <f t="shared" si="1"/>
        <v/>
      </c>
      <c r="F72" s="49"/>
      <c r="G72" s="23" t="str">
        <f>IF(medidas!E70="","",medidas!F70/(medidas!E70*medidas!E70))</f>
        <v/>
      </c>
      <c r="H72" s="31" t="str">
        <f t="shared" si="2"/>
        <v/>
      </c>
      <c r="I72" s="14" t="str">
        <f t="shared" si="3"/>
        <v/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3:35" x14ac:dyDescent="0.2">
      <c r="C73" s="29" t="str">
        <f>IF(medidas!M71="","",medidas!N71/(medidas!M71*medidas!M71))</f>
        <v/>
      </c>
      <c r="D73" s="30" t="str">
        <f t="shared" si="0"/>
        <v/>
      </c>
      <c r="E73" s="30" t="str">
        <f t="shared" si="1"/>
        <v/>
      </c>
      <c r="F73" s="49"/>
      <c r="G73" s="23" t="str">
        <f>IF(medidas!E71="","",medidas!F71/(medidas!E71*medidas!E71))</f>
        <v/>
      </c>
      <c r="H73" s="31" t="str">
        <f t="shared" si="2"/>
        <v/>
      </c>
      <c r="I73" s="14" t="str">
        <f t="shared" si="3"/>
        <v/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3:35" x14ac:dyDescent="0.2">
      <c r="C74" s="29" t="str">
        <f>IF(medidas!M72="","",medidas!N72/(medidas!M72*medidas!M72))</f>
        <v/>
      </c>
      <c r="D74" s="30" t="str">
        <f t="shared" ref="D74:D124" si="4">IF(C74="","",IF(C74&lt;=22.99,"baixo peso",IF(C74=23,"eutrófico",IF(C74&lt;=27.99,"eutrófico",IF(C74=28,"risco obesidade",IF(C74&lt;=29.99,"risco obesidade",IF(C74&gt;=30,"obesidade")))))))</f>
        <v/>
      </c>
      <c r="E74" s="30" t="str">
        <f t="shared" ref="E74:E125" si="5">IF(C74="","",IF(C74&lt;=21.99,"baixo peso",IF(C74=22,"eutrófico",IF(C74&lt;=27.99,"eutrófico",IF(C74&gt;=28,"obesidade")))))</f>
        <v/>
      </c>
      <c r="F74" s="49"/>
      <c r="G74" s="23" t="str">
        <f>IF(medidas!E72="","",medidas!F72/(medidas!E72*medidas!E72))</f>
        <v/>
      </c>
      <c r="H74" s="31" t="str">
        <f t="shared" ref="H74:H125" si="6">IF(G74="","",IF(G74&lt;=22.99,"baixo peso",IF(G74=23,"eutrófico",IF(G74&lt;=27.99,"eutrófico",IF(G74=28,"risco obesidade",IF(G74&lt;=29.99,"risco obesidade",IF(G74&gt;=30,"obesidade")))))))</f>
        <v/>
      </c>
      <c r="I74" s="14" t="str">
        <f t="shared" ref="I74:I125" si="7">IF(G74="","",IF(G74&lt;=22.09,"baixo peso",IF(G74=22.1,"eutrófico",IF(G74&lt;=26.99,"eutrófico",IF(G74&gt;=27,"risco de obesidade")))))</f>
        <v/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3:35" x14ac:dyDescent="0.2">
      <c r="C75" s="29" t="str">
        <f>IF(medidas!M73="","",medidas!N73/(medidas!M73*medidas!M73))</f>
        <v/>
      </c>
      <c r="D75" s="30" t="str">
        <f t="shared" si="4"/>
        <v/>
      </c>
      <c r="E75" s="30" t="str">
        <f t="shared" si="5"/>
        <v/>
      </c>
      <c r="F75" s="49"/>
      <c r="G75" s="23" t="str">
        <f>IF(medidas!E73="","",medidas!F73/(medidas!E73*medidas!E73))</f>
        <v/>
      </c>
      <c r="H75" s="31" t="str">
        <f t="shared" si="6"/>
        <v/>
      </c>
      <c r="I75" s="14" t="str">
        <f t="shared" si="7"/>
        <v/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3:35" x14ac:dyDescent="0.2">
      <c r="C76" s="29" t="str">
        <f>IF(medidas!M74="","",medidas!N74/(medidas!M74*medidas!M74))</f>
        <v/>
      </c>
      <c r="D76" s="30" t="str">
        <f t="shared" si="4"/>
        <v/>
      </c>
      <c r="E76" s="30" t="str">
        <f t="shared" si="5"/>
        <v/>
      </c>
      <c r="F76" s="49"/>
      <c r="G76" s="23" t="str">
        <f>IF(medidas!E74="","",medidas!F74/(medidas!E74*medidas!E74))</f>
        <v/>
      </c>
      <c r="H76" s="31" t="str">
        <f t="shared" si="6"/>
        <v/>
      </c>
      <c r="I76" s="14" t="str">
        <f t="shared" si="7"/>
        <v/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3:35" x14ac:dyDescent="0.2">
      <c r="C77" s="29" t="str">
        <f>IF(medidas!M75="","",medidas!N75/(medidas!M75*medidas!M75))</f>
        <v/>
      </c>
      <c r="D77" s="30" t="str">
        <f t="shared" si="4"/>
        <v/>
      </c>
      <c r="E77" s="30" t="str">
        <f t="shared" si="5"/>
        <v/>
      </c>
      <c r="F77" s="49"/>
      <c r="G77" s="23" t="str">
        <f>IF(medidas!E75="","",medidas!F75/(medidas!E75*medidas!E75))</f>
        <v/>
      </c>
      <c r="H77" s="31" t="str">
        <f t="shared" si="6"/>
        <v/>
      </c>
      <c r="I77" s="14" t="str">
        <f t="shared" si="7"/>
        <v/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3:35" x14ac:dyDescent="0.2">
      <c r="C78" s="29" t="str">
        <f>IF(medidas!M76="","",medidas!N76/(medidas!M76*medidas!M76))</f>
        <v/>
      </c>
      <c r="D78" s="30" t="str">
        <f t="shared" si="4"/>
        <v/>
      </c>
      <c r="E78" s="30" t="str">
        <f t="shared" si="5"/>
        <v/>
      </c>
      <c r="F78" s="49"/>
      <c r="G78" s="23" t="str">
        <f>IF(medidas!E76="","",medidas!F76/(medidas!E76*medidas!E76))</f>
        <v/>
      </c>
      <c r="H78" s="31" t="str">
        <f t="shared" si="6"/>
        <v/>
      </c>
      <c r="I78" s="14" t="str">
        <f t="shared" si="7"/>
        <v/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3:35" x14ac:dyDescent="0.2">
      <c r="C79" s="29" t="str">
        <f>IF(medidas!M77="","",medidas!N77/(medidas!M77*medidas!M77))</f>
        <v/>
      </c>
      <c r="D79" s="30" t="str">
        <f t="shared" si="4"/>
        <v/>
      </c>
      <c r="E79" s="30" t="str">
        <f t="shared" si="5"/>
        <v/>
      </c>
      <c r="F79" s="49"/>
      <c r="G79" s="23" t="str">
        <f>IF(medidas!E77="","",medidas!F77/(medidas!E77*medidas!E77))</f>
        <v/>
      </c>
      <c r="H79" s="31" t="str">
        <f t="shared" si="6"/>
        <v/>
      </c>
      <c r="I79" s="14" t="str">
        <f t="shared" si="7"/>
        <v/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3:35" x14ac:dyDescent="0.2">
      <c r="C80" s="29" t="str">
        <f>IF(medidas!M78="","",medidas!N78/(medidas!M78*medidas!M78))</f>
        <v/>
      </c>
      <c r="D80" s="30" t="str">
        <f t="shared" si="4"/>
        <v/>
      </c>
      <c r="E80" s="30" t="str">
        <f t="shared" si="5"/>
        <v/>
      </c>
      <c r="F80" s="49"/>
      <c r="G80" s="23" t="str">
        <f>IF(medidas!E78="","",medidas!F78/(medidas!E78*medidas!E78))</f>
        <v/>
      </c>
      <c r="H80" s="31" t="str">
        <f t="shared" si="6"/>
        <v/>
      </c>
      <c r="I80" s="14" t="str">
        <f t="shared" si="7"/>
        <v/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3:35" x14ac:dyDescent="0.2">
      <c r="C81" s="29" t="str">
        <f>IF(medidas!M79="","",medidas!N79/(medidas!M79*medidas!M79))</f>
        <v/>
      </c>
      <c r="D81" s="30" t="str">
        <f t="shared" si="4"/>
        <v/>
      </c>
      <c r="E81" s="30" t="str">
        <f t="shared" si="5"/>
        <v/>
      </c>
      <c r="F81" s="49"/>
      <c r="G81" s="23" t="str">
        <f>IF(medidas!E79="","",medidas!F79/(medidas!E79*medidas!E79))</f>
        <v/>
      </c>
      <c r="H81" s="31" t="str">
        <f t="shared" si="6"/>
        <v/>
      </c>
      <c r="I81" s="14" t="str">
        <f t="shared" si="7"/>
        <v/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3:35" x14ac:dyDescent="0.2">
      <c r="C82" s="29" t="str">
        <f>IF(medidas!M80="","",medidas!N80/(medidas!M80*medidas!M80))</f>
        <v/>
      </c>
      <c r="D82" s="30" t="str">
        <f t="shared" si="4"/>
        <v/>
      </c>
      <c r="E82" s="30" t="str">
        <f t="shared" si="5"/>
        <v/>
      </c>
      <c r="F82" s="49"/>
      <c r="G82" s="23" t="str">
        <f>IF(medidas!E80="","",medidas!F80/(medidas!E80*medidas!E80))</f>
        <v/>
      </c>
      <c r="H82" s="31" t="str">
        <f t="shared" si="6"/>
        <v/>
      </c>
      <c r="I82" s="14" t="str">
        <f t="shared" si="7"/>
        <v/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3:35" x14ac:dyDescent="0.2">
      <c r="C83" s="29" t="str">
        <f>IF(medidas!M81="","",medidas!N81/(medidas!M81*medidas!M81))</f>
        <v/>
      </c>
      <c r="D83" s="30" t="str">
        <f t="shared" si="4"/>
        <v/>
      </c>
      <c r="E83" s="30" t="str">
        <f t="shared" si="5"/>
        <v/>
      </c>
      <c r="F83" s="49"/>
      <c r="G83" s="23" t="str">
        <f>IF(medidas!E81="","",medidas!F81/(medidas!E81*medidas!E81))</f>
        <v/>
      </c>
      <c r="H83" s="31" t="str">
        <f t="shared" si="6"/>
        <v/>
      </c>
      <c r="I83" s="14" t="str">
        <f t="shared" si="7"/>
        <v/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3:35" x14ac:dyDescent="0.2">
      <c r="C84" s="29" t="str">
        <f>IF(medidas!M82="","",medidas!N82/(medidas!M82*medidas!M82))</f>
        <v/>
      </c>
      <c r="D84" s="30" t="str">
        <f t="shared" si="4"/>
        <v/>
      </c>
      <c r="E84" s="30" t="str">
        <f t="shared" si="5"/>
        <v/>
      </c>
      <c r="F84" s="49"/>
      <c r="G84" s="23" t="str">
        <f>IF(medidas!E82="","",medidas!F82/(medidas!E82*medidas!E82))</f>
        <v/>
      </c>
      <c r="H84" s="31" t="str">
        <f t="shared" si="6"/>
        <v/>
      </c>
      <c r="I84" s="14" t="str">
        <f t="shared" si="7"/>
        <v/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3:35" x14ac:dyDescent="0.2">
      <c r="C85" s="29" t="str">
        <f>IF(medidas!M83="","",medidas!N83/(medidas!M83*medidas!M83))</f>
        <v/>
      </c>
      <c r="D85" s="30" t="str">
        <f t="shared" si="4"/>
        <v/>
      </c>
      <c r="E85" s="30" t="str">
        <f t="shared" si="5"/>
        <v/>
      </c>
      <c r="F85" s="49"/>
      <c r="G85" s="23" t="str">
        <f>IF(medidas!E83="","",medidas!F83/(medidas!E83*medidas!E83))</f>
        <v/>
      </c>
      <c r="H85" s="31" t="str">
        <f t="shared" si="6"/>
        <v/>
      </c>
      <c r="I85" s="14" t="str">
        <f t="shared" si="7"/>
        <v/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3:35" x14ac:dyDescent="0.2">
      <c r="C86" s="29" t="str">
        <f>IF(medidas!M84="","",medidas!N84/(medidas!M84*medidas!M84))</f>
        <v/>
      </c>
      <c r="D86" s="30" t="str">
        <f t="shared" si="4"/>
        <v/>
      </c>
      <c r="E86" s="30" t="str">
        <f t="shared" si="5"/>
        <v/>
      </c>
      <c r="F86" s="49"/>
      <c r="G86" s="23" t="str">
        <f>IF(medidas!E84="","",medidas!F84/(medidas!E84*medidas!E84))</f>
        <v/>
      </c>
      <c r="H86" s="31" t="str">
        <f t="shared" si="6"/>
        <v/>
      </c>
      <c r="I86" s="14" t="str">
        <f t="shared" si="7"/>
        <v/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3:35" x14ac:dyDescent="0.2">
      <c r="C87" s="29" t="str">
        <f>IF(medidas!M85="","",medidas!N85/(medidas!M85*medidas!M85))</f>
        <v/>
      </c>
      <c r="D87" s="30" t="str">
        <f t="shared" si="4"/>
        <v/>
      </c>
      <c r="E87" s="30" t="str">
        <f t="shared" si="5"/>
        <v/>
      </c>
      <c r="F87" s="49"/>
      <c r="G87" s="23" t="str">
        <f>IF(medidas!E85="","",medidas!F85/(medidas!E85*medidas!E85))</f>
        <v/>
      </c>
      <c r="H87" s="31" t="str">
        <f t="shared" si="6"/>
        <v/>
      </c>
      <c r="I87" s="14" t="str">
        <f t="shared" si="7"/>
        <v/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3:35" x14ac:dyDescent="0.2">
      <c r="C88" s="29" t="str">
        <f>IF(medidas!M86="","",medidas!N86/(medidas!M86*medidas!M86))</f>
        <v/>
      </c>
      <c r="D88" s="30" t="str">
        <f t="shared" si="4"/>
        <v/>
      </c>
      <c r="E88" s="30" t="str">
        <f t="shared" si="5"/>
        <v/>
      </c>
      <c r="F88" s="49"/>
      <c r="G88" s="23" t="str">
        <f>IF(medidas!E86="","",medidas!F86/(medidas!E86*medidas!E86))</f>
        <v/>
      </c>
      <c r="H88" s="31" t="str">
        <f t="shared" si="6"/>
        <v/>
      </c>
      <c r="I88" s="14" t="str">
        <f t="shared" si="7"/>
        <v/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3:35" x14ac:dyDescent="0.2">
      <c r="C89" s="29" t="str">
        <f>IF(medidas!M87="","",medidas!N87/(medidas!M87*medidas!M87))</f>
        <v/>
      </c>
      <c r="D89" s="30" t="str">
        <f t="shared" si="4"/>
        <v/>
      </c>
      <c r="E89" s="30" t="str">
        <f t="shared" si="5"/>
        <v/>
      </c>
      <c r="F89" s="49"/>
      <c r="G89" s="23" t="str">
        <f>IF(medidas!E87="","",medidas!F87/(medidas!E87*medidas!E87))</f>
        <v/>
      </c>
      <c r="H89" s="31" t="str">
        <f t="shared" si="6"/>
        <v/>
      </c>
      <c r="I89" s="14" t="str">
        <f t="shared" si="7"/>
        <v/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3:35" x14ac:dyDescent="0.2">
      <c r="C90" s="29" t="str">
        <f>IF(medidas!M88="","",medidas!N88/(medidas!M88*medidas!M88))</f>
        <v/>
      </c>
      <c r="D90" s="30" t="str">
        <f t="shared" si="4"/>
        <v/>
      </c>
      <c r="E90" s="30" t="str">
        <f t="shared" si="5"/>
        <v/>
      </c>
      <c r="F90" s="49"/>
      <c r="G90" s="23" t="str">
        <f>IF(medidas!E88="","",medidas!F88/(medidas!E88*medidas!E88))</f>
        <v/>
      </c>
      <c r="H90" s="31" t="str">
        <f t="shared" si="6"/>
        <v/>
      </c>
      <c r="I90" s="14" t="str">
        <f t="shared" si="7"/>
        <v/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3:35" x14ac:dyDescent="0.2">
      <c r="C91" s="29" t="str">
        <f>IF(medidas!M89="","",medidas!N89/(medidas!M89*medidas!M89))</f>
        <v/>
      </c>
      <c r="D91" s="30" t="str">
        <f t="shared" si="4"/>
        <v/>
      </c>
      <c r="E91" s="30" t="str">
        <f t="shared" si="5"/>
        <v/>
      </c>
      <c r="F91" s="49"/>
      <c r="G91" s="23" t="str">
        <f>IF(medidas!E89="","",medidas!F89/(medidas!E89*medidas!E89))</f>
        <v/>
      </c>
      <c r="H91" s="31" t="str">
        <f t="shared" si="6"/>
        <v/>
      </c>
      <c r="I91" s="14" t="str">
        <f t="shared" si="7"/>
        <v/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3:35" x14ac:dyDescent="0.2">
      <c r="C92" s="29" t="str">
        <f>IF(medidas!M90="","",medidas!N90/(medidas!M90*medidas!M90))</f>
        <v/>
      </c>
      <c r="D92" s="30" t="str">
        <f t="shared" si="4"/>
        <v/>
      </c>
      <c r="E92" s="30" t="str">
        <f t="shared" si="5"/>
        <v/>
      </c>
      <c r="F92" s="49"/>
      <c r="G92" s="23" t="str">
        <f>IF(medidas!E90="","",medidas!F90/(medidas!E90*medidas!E90))</f>
        <v/>
      </c>
      <c r="H92" s="31" t="str">
        <f t="shared" si="6"/>
        <v/>
      </c>
      <c r="I92" s="14" t="str">
        <f t="shared" si="7"/>
        <v/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3:35" x14ac:dyDescent="0.2">
      <c r="C93" s="29" t="str">
        <f>IF(medidas!M91="","",medidas!N91/(medidas!M91*medidas!M91))</f>
        <v/>
      </c>
      <c r="D93" s="30" t="str">
        <f t="shared" si="4"/>
        <v/>
      </c>
      <c r="E93" s="30" t="str">
        <f t="shared" si="5"/>
        <v/>
      </c>
      <c r="F93" s="49"/>
      <c r="G93" s="23" t="str">
        <f>IF(medidas!E91="","",medidas!F91/(medidas!E91*medidas!E91))</f>
        <v/>
      </c>
      <c r="H93" s="31" t="str">
        <f t="shared" si="6"/>
        <v/>
      </c>
      <c r="I93" s="14" t="str">
        <f t="shared" si="7"/>
        <v/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3:35" x14ac:dyDescent="0.2">
      <c r="C94" s="29" t="str">
        <f>IF(medidas!M92="","",medidas!N92/(medidas!M92*medidas!M92))</f>
        <v/>
      </c>
      <c r="D94" s="30" t="str">
        <f t="shared" si="4"/>
        <v/>
      </c>
      <c r="E94" s="30" t="str">
        <f t="shared" si="5"/>
        <v/>
      </c>
      <c r="F94" s="49"/>
      <c r="G94" s="23" t="str">
        <f>IF(medidas!E92="","",medidas!F92/(medidas!E92*medidas!E92))</f>
        <v/>
      </c>
      <c r="H94" s="31" t="str">
        <f t="shared" si="6"/>
        <v/>
      </c>
      <c r="I94" s="14" t="str">
        <f t="shared" si="7"/>
        <v/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3:35" x14ac:dyDescent="0.2">
      <c r="C95" s="29" t="str">
        <f>IF(medidas!M93="","",medidas!N93/(medidas!M93*medidas!M93))</f>
        <v/>
      </c>
      <c r="D95" s="30" t="str">
        <f t="shared" si="4"/>
        <v/>
      </c>
      <c r="E95" s="30" t="str">
        <f t="shared" si="5"/>
        <v/>
      </c>
      <c r="F95" s="49"/>
      <c r="G95" s="23" t="str">
        <f>IF(medidas!E93="","",medidas!F93/(medidas!E93*medidas!E93))</f>
        <v/>
      </c>
      <c r="H95" s="31" t="str">
        <f t="shared" si="6"/>
        <v/>
      </c>
      <c r="I95" s="14" t="str">
        <f t="shared" si="7"/>
        <v/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3:35" x14ac:dyDescent="0.2">
      <c r="C96" s="29" t="str">
        <f>IF(medidas!M94="","",medidas!N94/(medidas!M94*medidas!M94))</f>
        <v/>
      </c>
      <c r="D96" s="30" t="str">
        <f t="shared" si="4"/>
        <v/>
      </c>
      <c r="E96" s="30" t="str">
        <f t="shared" si="5"/>
        <v/>
      </c>
      <c r="F96" s="49"/>
      <c r="G96" s="23" t="str">
        <f>IF(medidas!E94="","",medidas!F94/(medidas!E94*medidas!E94))</f>
        <v/>
      </c>
      <c r="H96" s="31" t="str">
        <f t="shared" si="6"/>
        <v/>
      </c>
      <c r="I96" s="14" t="str">
        <f t="shared" si="7"/>
        <v/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3:35" x14ac:dyDescent="0.2">
      <c r="C97" s="29" t="str">
        <f>IF(medidas!M95="","",medidas!N95/(medidas!M95*medidas!M95))</f>
        <v/>
      </c>
      <c r="D97" s="30" t="str">
        <f t="shared" si="4"/>
        <v/>
      </c>
      <c r="E97" s="30" t="str">
        <f t="shared" si="5"/>
        <v/>
      </c>
      <c r="F97" s="49"/>
      <c r="G97" s="23" t="str">
        <f>IF(medidas!E95="","",medidas!F95/(medidas!E95*medidas!E95))</f>
        <v/>
      </c>
      <c r="H97" s="31" t="str">
        <f t="shared" si="6"/>
        <v/>
      </c>
      <c r="I97" s="14" t="str">
        <f t="shared" si="7"/>
        <v/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3:35" x14ac:dyDescent="0.2">
      <c r="C98" s="29" t="str">
        <f>IF(medidas!M96="","",medidas!N96/(medidas!M96*medidas!M96))</f>
        <v/>
      </c>
      <c r="D98" s="30" t="str">
        <f t="shared" si="4"/>
        <v/>
      </c>
      <c r="E98" s="30" t="str">
        <f t="shared" si="5"/>
        <v/>
      </c>
      <c r="F98" s="49"/>
      <c r="G98" s="23" t="str">
        <f>IF(medidas!E96="","",medidas!F96/(medidas!E96*medidas!E96))</f>
        <v/>
      </c>
      <c r="H98" s="31" t="str">
        <f t="shared" si="6"/>
        <v/>
      </c>
      <c r="I98" s="14" t="str">
        <f t="shared" si="7"/>
        <v/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3:35" x14ac:dyDescent="0.2">
      <c r="C99" s="29" t="str">
        <f>IF(medidas!M97="","",medidas!N97/(medidas!M97*medidas!M97))</f>
        <v/>
      </c>
      <c r="D99" s="30" t="str">
        <f t="shared" si="4"/>
        <v/>
      </c>
      <c r="E99" s="30" t="str">
        <f t="shared" si="5"/>
        <v/>
      </c>
      <c r="F99" s="49"/>
      <c r="G99" s="23" t="str">
        <f>IF(medidas!E97="","",medidas!F97/(medidas!E97*medidas!E97))</f>
        <v/>
      </c>
      <c r="H99" s="31" t="str">
        <f t="shared" si="6"/>
        <v/>
      </c>
      <c r="I99" s="14" t="str">
        <f t="shared" si="7"/>
        <v/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3:35" x14ac:dyDescent="0.2">
      <c r="C100" s="29" t="str">
        <f>IF(medidas!M98="","",medidas!N98/(medidas!M98*medidas!M98))</f>
        <v/>
      </c>
      <c r="D100" s="30" t="str">
        <f t="shared" si="4"/>
        <v/>
      </c>
      <c r="E100" s="30" t="str">
        <f t="shared" si="5"/>
        <v/>
      </c>
      <c r="F100" s="49"/>
      <c r="G100" s="23" t="str">
        <f>IF(medidas!E98="","",medidas!F98/(medidas!E98*medidas!E98))</f>
        <v/>
      </c>
      <c r="H100" s="31" t="str">
        <f t="shared" si="6"/>
        <v/>
      </c>
      <c r="I100" s="14" t="str">
        <f t="shared" si="7"/>
        <v/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3:35" x14ac:dyDescent="0.2">
      <c r="C101" s="29" t="str">
        <f>IF(medidas!M99="","",medidas!N99/(medidas!M99*medidas!M99))</f>
        <v/>
      </c>
      <c r="D101" s="30" t="str">
        <f t="shared" si="4"/>
        <v/>
      </c>
      <c r="E101" s="30" t="str">
        <f t="shared" si="5"/>
        <v/>
      </c>
      <c r="F101" s="49"/>
      <c r="G101" s="23" t="str">
        <f>IF(medidas!E99="","",medidas!F99/(medidas!E99*medidas!E99))</f>
        <v/>
      </c>
      <c r="H101" s="31" t="str">
        <f t="shared" si="6"/>
        <v/>
      </c>
      <c r="I101" s="14" t="str">
        <f t="shared" si="7"/>
        <v/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3:35" ht="12.75" customHeight="1" x14ac:dyDescent="0.2">
      <c r="C102" s="29" t="str">
        <f>IF(medidas!M100="","",medidas!N100/(medidas!M100*medidas!M100))</f>
        <v/>
      </c>
      <c r="D102" s="30" t="str">
        <f t="shared" si="4"/>
        <v/>
      </c>
      <c r="E102" s="30" t="str">
        <f t="shared" si="5"/>
        <v/>
      </c>
      <c r="F102" s="49"/>
      <c r="G102" s="23" t="str">
        <f>IF(medidas!E100="","",medidas!F100/(medidas!E100*medidas!E100))</f>
        <v/>
      </c>
      <c r="H102" s="31" t="str">
        <f t="shared" si="6"/>
        <v/>
      </c>
      <c r="I102" s="14" t="str">
        <f t="shared" si="7"/>
        <v/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3:35" ht="12.75" customHeight="1" x14ac:dyDescent="0.2">
      <c r="C103" s="29" t="str">
        <f>IF(medidas!M101="","",medidas!N101/(medidas!M101*medidas!M101))</f>
        <v/>
      </c>
      <c r="D103" s="30" t="str">
        <f t="shared" si="4"/>
        <v/>
      </c>
      <c r="E103" s="30" t="str">
        <f t="shared" si="5"/>
        <v/>
      </c>
      <c r="F103" s="49"/>
      <c r="G103" s="23" t="str">
        <f>IF(medidas!E101="","",medidas!F101/(medidas!E101*medidas!E101))</f>
        <v/>
      </c>
      <c r="H103" s="31" t="str">
        <f t="shared" si="6"/>
        <v/>
      </c>
      <c r="I103" s="14" t="str">
        <f t="shared" si="7"/>
        <v/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3:35" x14ac:dyDescent="0.2">
      <c r="C104" s="29" t="str">
        <f>IF(medidas!M102="","",medidas!N102/(medidas!M102*medidas!M102))</f>
        <v/>
      </c>
      <c r="D104" s="30" t="str">
        <f t="shared" si="4"/>
        <v/>
      </c>
      <c r="E104" s="30" t="str">
        <f t="shared" si="5"/>
        <v/>
      </c>
      <c r="F104" s="49"/>
      <c r="G104" s="23" t="str">
        <f>IF(medidas!E102="","",medidas!F102/(medidas!E102*medidas!E102))</f>
        <v/>
      </c>
      <c r="H104" s="31" t="str">
        <f t="shared" si="6"/>
        <v/>
      </c>
      <c r="I104" s="14" t="str">
        <f t="shared" si="7"/>
        <v/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3:35" x14ac:dyDescent="0.2">
      <c r="C105" s="29" t="str">
        <f>IF(medidas!M103="","",medidas!N103/(medidas!M103*medidas!M103))</f>
        <v/>
      </c>
      <c r="D105" s="30" t="str">
        <f t="shared" si="4"/>
        <v/>
      </c>
      <c r="E105" s="30" t="str">
        <f t="shared" si="5"/>
        <v/>
      </c>
      <c r="F105" s="49"/>
      <c r="G105" s="23" t="str">
        <f>IF(medidas!E103="","",medidas!F103/(medidas!E103*medidas!E103))</f>
        <v/>
      </c>
      <c r="H105" s="31" t="str">
        <f t="shared" si="6"/>
        <v/>
      </c>
      <c r="I105" s="14" t="str">
        <f t="shared" si="7"/>
        <v/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3:35" x14ac:dyDescent="0.2">
      <c r="C106" s="29" t="str">
        <f>IF(medidas!M104="","",medidas!N104/(medidas!M104*medidas!M104))</f>
        <v/>
      </c>
      <c r="D106" s="30" t="str">
        <f t="shared" si="4"/>
        <v/>
      </c>
      <c r="E106" s="30" t="str">
        <f t="shared" si="5"/>
        <v/>
      </c>
      <c r="F106" s="49"/>
      <c r="G106" s="23" t="str">
        <f>IF(medidas!E104="","",medidas!F104/(medidas!E104*medidas!E104))</f>
        <v/>
      </c>
      <c r="H106" s="31" t="str">
        <f t="shared" si="6"/>
        <v/>
      </c>
      <c r="I106" s="14" t="str">
        <f t="shared" si="7"/>
        <v/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3:35" x14ac:dyDescent="0.2">
      <c r="C107" s="29" t="str">
        <f>IF(medidas!M105="","",medidas!N105/(medidas!M105*medidas!M105))</f>
        <v/>
      </c>
      <c r="D107" s="30" t="str">
        <f t="shared" si="4"/>
        <v/>
      </c>
      <c r="E107" s="30" t="str">
        <f t="shared" si="5"/>
        <v/>
      </c>
      <c r="F107" s="49"/>
      <c r="G107" s="23" t="str">
        <f>IF(medidas!E105="","",medidas!F105/(medidas!E105*medidas!E105))</f>
        <v/>
      </c>
      <c r="H107" s="31" t="str">
        <f t="shared" si="6"/>
        <v/>
      </c>
      <c r="I107" s="14" t="str">
        <f t="shared" si="7"/>
        <v/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3:35" x14ac:dyDescent="0.2">
      <c r="C108" s="29" t="str">
        <f>IF(medidas!M106="","",medidas!N106/(medidas!M106*medidas!M106))</f>
        <v/>
      </c>
      <c r="D108" s="30" t="str">
        <f t="shared" si="4"/>
        <v/>
      </c>
      <c r="E108" s="30" t="str">
        <f t="shared" si="5"/>
        <v/>
      </c>
      <c r="F108" s="49"/>
      <c r="G108" s="23" t="str">
        <f>IF(medidas!E106="","",medidas!F106/(medidas!E106*medidas!E106))</f>
        <v/>
      </c>
      <c r="H108" s="31" t="str">
        <f t="shared" si="6"/>
        <v/>
      </c>
      <c r="I108" s="14" t="str">
        <f t="shared" si="7"/>
        <v/>
      </c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3:35" x14ac:dyDescent="0.2">
      <c r="C109" s="29" t="str">
        <f>IF(medidas!M107="","",medidas!N107/(medidas!M107*medidas!M107))</f>
        <v/>
      </c>
      <c r="D109" s="30" t="str">
        <f t="shared" si="4"/>
        <v/>
      </c>
      <c r="E109" s="30" t="str">
        <f t="shared" si="5"/>
        <v/>
      </c>
      <c r="F109" s="49"/>
      <c r="G109" s="23" t="str">
        <f>IF(medidas!E107="","",medidas!F107/(medidas!E107*medidas!E107))</f>
        <v/>
      </c>
      <c r="H109" s="31" t="str">
        <f t="shared" si="6"/>
        <v/>
      </c>
      <c r="I109" s="14" t="str">
        <f t="shared" si="7"/>
        <v/>
      </c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3:35" x14ac:dyDescent="0.2">
      <c r="C110" s="29" t="str">
        <f>IF(medidas!M108="","",medidas!N108/(medidas!M108*medidas!M108))</f>
        <v/>
      </c>
      <c r="D110" s="30" t="str">
        <f t="shared" si="4"/>
        <v/>
      </c>
      <c r="E110" s="30" t="str">
        <f t="shared" si="5"/>
        <v/>
      </c>
      <c r="F110" s="49"/>
      <c r="G110" s="23" t="str">
        <f>IF(medidas!E108="","",medidas!F108/(medidas!E108*medidas!E108))</f>
        <v/>
      </c>
      <c r="H110" s="31" t="str">
        <f t="shared" si="6"/>
        <v/>
      </c>
      <c r="I110" s="14" t="str">
        <f t="shared" si="7"/>
        <v/>
      </c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3:35" x14ac:dyDescent="0.2">
      <c r="C111" s="29" t="str">
        <f>IF(medidas!M109="","",medidas!N109/(medidas!M109*medidas!M109))</f>
        <v/>
      </c>
      <c r="D111" s="30" t="str">
        <f t="shared" si="4"/>
        <v/>
      </c>
      <c r="E111" s="30" t="str">
        <f t="shared" si="5"/>
        <v/>
      </c>
      <c r="F111" s="49"/>
      <c r="G111" s="23" t="str">
        <f>IF(medidas!E109="","",medidas!F109/(medidas!E109*medidas!E109))</f>
        <v/>
      </c>
      <c r="H111" s="31" t="str">
        <f t="shared" si="6"/>
        <v/>
      </c>
      <c r="I111" s="14" t="str">
        <f t="shared" si="7"/>
        <v/>
      </c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3:35" x14ac:dyDescent="0.2">
      <c r="C112" s="29" t="str">
        <f>IF(medidas!M110="","",medidas!N110/(medidas!M110*medidas!M110))</f>
        <v/>
      </c>
      <c r="D112" s="30" t="str">
        <f t="shared" si="4"/>
        <v/>
      </c>
      <c r="E112" s="30" t="str">
        <f t="shared" si="5"/>
        <v/>
      </c>
      <c r="F112" s="49"/>
      <c r="G112" s="23" t="str">
        <f>IF(medidas!E110="","",medidas!F110/(medidas!E110*medidas!E110))</f>
        <v/>
      </c>
      <c r="H112" s="31" t="str">
        <f t="shared" si="6"/>
        <v/>
      </c>
      <c r="I112" s="14" t="str">
        <f t="shared" si="7"/>
        <v/>
      </c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3:35" x14ac:dyDescent="0.2">
      <c r="C113" s="29" t="str">
        <f>IF(medidas!M111="","",medidas!N111/(medidas!M111*medidas!M111))</f>
        <v/>
      </c>
      <c r="D113" s="30" t="str">
        <f t="shared" si="4"/>
        <v/>
      </c>
      <c r="E113" s="30" t="str">
        <f t="shared" si="5"/>
        <v/>
      </c>
      <c r="F113" s="49"/>
      <c r="G113" s="23" t="str">
        <f>IF(medidas!E111="","",medidas!F111/(medidas!E111*medidas!E111))</f>
        <v/>
      </c>
      <c r="H113" s="31" t="str">
        <f t="shared" si="6"/>
        <v/>
      </c>
      <c r="I113" s="14" t="str">
        <f t="shared" si="7"/>
        <v/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3:35" x14ac:dyDescent="0.2">
      <c r="C114" s="29" t="str">
        <f>IF(medidas!M112="","",medidas!N112/(medidas!M112*medidas!M112))</f>
        <v/>
      </c>
      <c r="D114" s="30" t="str">
        <f t="shared" si="4"/>
        <v/>
      </c>
      <c r="E114" s="30" t="str">
        <f t="shared" si="5"/>
        <v/>
      </c>
      <c r="F114" s="49"/>
      <c r="G114" s="23" t="str">
        <f>IF(medidas!E112="","",medidas!F112/(medidas!E112*medidas!E112))</f>
        <v/>
      </c>
      <c r="H114" s="31" t="str">
        <f t="shared" si="6"/>
        <v/>
      </c>
      <c r="I114" s="14" t="str">
        <f t="shared" si="7"/>
        <v/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3:35" x14ac:dyDescent="0.2">
      <c r="C115" s="29" t="str">
        <f>IF(medidas!M113="","",medidas!N113/(medidas!M113*medidas!M113))</f>
        <v/>
      </c>
      <c r="D115" s="30" t="str">
        <f t="shared" si="4"/>
        <v/>
      </c>
      <c r="E115" s="30" t="str">
        <f t="shared" si="5"/>
        <v/>
      </c>
      <c r="F115" s="49"/>
      <c r="G115" s="23" t="str">
        <f>IF(medidas!E113="","",medidas!F113/(medidas!E113*medidas!E113))</f>
        <v/>
      </c>
      <c r="H115" s="31" t="str">
        <f t="shared" si="6"/>
        <v/>
      </c>
      <c r="I115" s="14" t="str">
        <f t="shared" si="7"/>
        <v/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3:35" x14ac:dyDescent="0.2">
      <c r="C116" s="29" t="str">
        <f>IF(medidas!M114="","",medidas!N114/(medidas!M114*medidas!M114))</f>
        <v/>
      </c>
      <c r="D116" s="30" t="str">
        <f t="shared" si="4"/>
        <v/>
      </c>
      <c r="E116" s="30" t="str">
        <f t="shared" si="5"/>
        <v/>
      </c>
      <c r="F116" s="49"/>
      <c r="G116" s="23" t="str">
        <f>IF(medidas!E114="","",medidas!F114/(medidas!E114*medidas!E114))</f>
        <v/>
      </c>
      <c r="H116" s="31" t="str">
        <f t="shared" si="6"/>
        <v/>
      </c>
      <c r="I116" s="14" t="str">
        <f t="shared" si="7"/>
        <v/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3:35" x14ac:dyDescent="0.2">
      <c r="C117" s="29" t="str">
        <f>IF(medidas!M115="","",medidas!N115/(medidas!M115*medidas!M115))</f>
        <v/>
      </c>
      <c r="D117" s="30" t="str">
        <f t="shared" si="4"/>
        <v/>
      </c>
      <c r="E117" s="30" t="str">
        <f t="shared" si="5"/>
        <v/>
      </c>
      <c r="F117" s="49"/>
      <c r="G117" s="23" t="str">
        <f>IF(medidas!E115="","",medidas!F115/(medidas!E115*medidas!E115))</f>
        <v/>
      </c>
      <c r="H117" s="31" t="str">
        <f t="shared" si="6"/>
        <v/>
      </c>
      <c r="I117" s="14" t="str">
        <f t="shared" si="7"/>
        <v/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3:35" x14ac:dyDescent="0.2">
      <c r="C118" s="29" t="str">
        <f>IF(medidas!M116="","",medidas!N116/(medidas!M116*medidas!M116))</f>
        <v/>
      </c>
      <c r="D118" s="30" t="str">
        <f t="shared" si="4"/>
        <v/>
      </c>
      <c r="E118" s="30" t="str">
        <f t="shared" si="5"/>
        <v/>
      </c>
      <c r="F118" s="49"/>
      <c r="G118" s="23" t="str">
        <f>IF(medidas!E116="","",medidas!F116/(medidas!E116*medidas!E116))</f>
        <v/>
      </c>
      <c r="H118" s="31" t="str">
        <f t="shared" si="6"/>
        <v/>
      </c>
      <c r="I118" s="14" t="str">
        <f t="shared" si="7"/>
        <v/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3:35" x14ac:dyDescent="0.2">
      <c r="C119" s="29" t="str">
        <f>IF(medidas!M117="","",medidas!N117/(medidas!M117*medidas!M117))</f>
        <v/>
      </c>
      <c r="D119" s="30" t="str">
        <f t="shared" si="4"/>
        <v/>
      </c>
      <c r="E119" s="30" t="str">
        <f t="shared" si="5"/>
        <v/>
      </c>
      <c r="F119" s="49"/>
      <c r="G119" s="23" t="str">
        <f>IF(medidas!E117="","",medidas!F117/(medidas!E117*medidas!E117))</f>
        <v/>
      </c>
      <c r="H119" s="31" t="str">
        <f t="shared" si="6"/>
        <v/>
      </c>
      <c r="I119" s="14" t="str">
        <f t="shared" si="7"/>
        <v/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3:35" x14ac:dyDescent="0.2">
      <c r="C120" s="29" t="str">
        <f>IF(medidas!M118="","",medidas!N118/(medidas!M118*medidas!M118))</f>
        <v/>
      </c>
      <c r="D120" s="30" t="str">
        <f t="shared" si="4"/>
        <v/>
      </c>
      <c r="E120" s="30" t="str">
        <f t="shared" si="5"/>
        <v/>
      </c>
      <c r="F120" s="49"/>
      <c r="G120" s="23" t="str">
        <f>IF(medidas!E118="","",medidas!F118/(medidas!E118*medidas!E118))</f>
        <v/>
      </c>
      <c r="H120" s="31" t="str">
        <f t="shared" si="6"/>
        <v/>
      </c>
      <c r="I120" s="14" t="str">
        <f t="shared" si="7"/>
        <v/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3:35" x14ac:dyDescent="0.2">
      <c r="C121" s="29" t="str">
        <f>IF(medidas!M119="","",medidas!N119/(medidas!M119*medidas!M119))</f>
        <v/>
      </c>
      <c r="D121" s="30" t="str">
        <f t="shared" si="4"/>
        <v/>
      </c>
      <c r="E121" s="30" t="str">
        <f t="shared" si="5"/>
        <v/>
      </c>
      <c r="F121" s="49"/>
      <c r="G121" s="23" t="str">
        <f>IF(medidas!E119="","",medidas!F119/(medidas!E119*medidas!E119))</f>
        <v/>
      </c>
      <c r="H121" s="31" t="str">
        <f t="shared" si="6"/>
        <v/>
      </c>
      <c r="I121" s="14" t="str">
        <f t="shared" si="7"/>
        <v/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3:35" x14ac:dyDescent="0.2">
      <c r="C122" s="29" t="str">
        <f>IF(medidas!M120="","",medidas!N120/(medidas!M120*medidas!M120))</f>
        <v/>
      </c>
      <c r="D122" s="30" t="str">
        <f t="shared" si="4"/>
        <v/>
      </c>
      <c r="E122" s="30" t="str">
        <f t="shared" si="5"/>
        <v/>
      </c>
      <c r="F122" s="49"/>
      <c r="G122" s="23" t="str">
        <f>IF(medidas!E120="","",medidas!F120/(medidas!E120*medidas!E120))</f>
        <v/>
      </c>
      <c r="H122" s="31" t="str">
        <f t="shared" si="6"/>
        <v/>
      </c>
      <c r="I122" s="14" t="str">
        <f t="shared" si="7"/>
        <v/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3:35" x14ac:dyDescent="0.2">
      <c r="C123" s="29" t="str">
        <f>IF(medidas!M121="","",medidas!N121/(medidas!M121*medidas!M121))</f>
        <v/>
      </c>
      <c r="D123" s="30" t="str">
        <f t="shared" si="4"/>
        <v/>
      </c>
      <c r="E123" s="30" t="str">
        <f t="shared" si="5"/>
        <v/>
      </c>
      <c r="F123" s="49"/>
      <c r="G123" s="23" t="str">
        <f>IF(medidas!E121="","",medidas!F121/(medidas!E121*medidas!E121))</f>
        <v/>
      </c>
      <c r="H123" s="31" t="str">
        <f t="shared" si="6"/>
        <v/>
      </c>
      <c r="I123" s="14" t="str">
        <f t="shared" si="7"/>
        <v/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3:35" x14ac:dyDescent="0.2">
      <c r="C124" s="29" t="str">
        <f>IF(medidas!M122="","",medidas!N122/(medidas!M122*medidas!M122))</f>
        <v/>
      </c>
      <c r="D124" s="30" t="str">
        <f t="shared" si="4"/>
        <v/>
      </c>
      <c r="E124" s="30" t="str">
        <f t="shared" si="5"/>
        <v/>
      </c>
      <c r="F124" s="49"/>
      <c r="G124" s="23" t="str">
        <f>IF(medidas!E122="","",medidas!F122/(medidas!E122*medidas!E122))</f>
        <v/>
      </c>
      <c r="H124" s="31" t="str">
        <f t="shared" si="6"/>
        <v/>
      </c>
      <c r="I124" s="14" t="str">
        <f t="shared" si="7"/>
        <v/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3:35" x14ac:dyDescent="0.2">
      <c r="C125" s="29" t="str">
        <f>IF(medidas!M123="","",medidas!N123/(medidas!M123*medidas!M123))</f>
        <v/>
      </c>
      <c r="D125" s="31"/>
      <c r="E125" s="30" t="str">
        <f t="shared" si="5"/>
        <v/>
      </c>
      <c r="F125" s="49"/>
      <c r="G125" s="23" t="str">
        <f>IF(medidas!E123="","",medidas!F123/(medidas!E123*medidas!E123))</f>
        <v/>
      </c>
      <c r="H125" s="31" t="str">
        <f t="shared" si="6"/>
        <v/>
      </c>
      <c r="I125" s="14" t="str">
        <f t="shared" si="7"/>
        <v/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3:35" x14ac:dyDescent="0.2">
      <c r="C126" s="16"/>
      <c r="D126" s="32"/>
      <c r="E126" s="32"/>
      <c r="F126" s="32"/>
      <c r="G126" s="33"/>
      <c r="H126" s="32"/>
      <c r="I126" s="3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3:35" x14ac:dyDescent="0.2">
      <c r="C127" s="16"/>
      <c r="D127" s="32"/>
      <c r="E127" s="32"/>
      <c r="F127" s="32"/>
      <c r="G127" s="33"/>
      <c r="H127" s="32"/>
      <c r="I127" s="3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3:35" x14ac:dyDescent="0.2">
      <c r="C128" s="16"/>
      <c r="D128" s="32"/>
      <c r="E128" s="32"/>
      <c r="F128" s="32"/>
      <c r="G128" s="33"/>
      <c r="H128" s="32"/>
      <c r="I128" s="3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3:35" x14ac:dyDescent="0.2">
      <c r="C129" s="16"/>
      <c r="D129" s="32"/>
      <c r="E129" s="32"/>
      <c r="F129" s="32"/>
      <c r="G129" s="33"/>
      <c r="H129" s="32"/>
      <c r="I129" s="3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3:35" x14ac:dyDescent="0.2">
      <c r="C130" s="8"/>
      <c r="D130" s="1"/>
      <c r="E130" s="1"/>
      <c r="F130" s="1"/>
      <c r="G130" s="2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3:35" x14ac:dyDescent="0.2">
      <c r="C131" s="8"/>
      <c r="D131" s="1"/>
      <c r="E131" s="1"/>
      <c r="F131" s="1"/>
      <c r="G131" s="2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3:35" x14ac:dyDescent="0.2">
      <c r="C132" s="8"/>
      <c r="D132" s="1"/>
      <c r="E132" s="1"/>
      <c r="F132" s="1"/>
      <c r="G132" s="2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3:35" x14ac:dyDescent="0.2">
      <c r="C133" s="8"/>
      <c r="D133" s="1"/>
      <c r="E133" s="1"/>
      <c r="F133" s="1"/>
      <c r="G133" s="2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3:35" x14ac:dyDescent="0.2">
      <c r="C134" s="8"/>
      <c r="D134" s="1"/>
      <c r="E134" s="1"/>
      <c r="F134" s="1"/>
      <c r="G134" s="2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3:35" x14ac:dyDescent="0.2">
      <c r="C135" s="8"/>
      <c r="D135" s="1"/>
      <c r="E135" s="1"/>
      <c r="F135" s="1"/>
      <c r="G135" s="2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3:35" x14ac:dyDescent="0.2">
      <c r="C136" s="8"/>
      <c r="D136" s="1"/>
      <c r="E136" s="1"/>
      <c r="F136" s="1"/>
      <c r="G136" s="2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3:35" x14ac:dyDescent="0.2">
      <c r="C137" s="8"/>
      <c r="D137" s="1"/>
      <c r="E137" s="1"/>
      <c r="F137" s="1"/>
      <c r="G137" s="2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3:35" x14ac:dyDescent="0.2">
      <c r="C138" s="8"/>
      <c r="D138" s="1"/>
      <c r="E138" s="1"/>
      <c r="F138" s="1"/>
      <c r="G138" s="2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3:35" x14ac:dyDescent="0.2">
      <c r="C139" s="8"/>
      <c r="D139" s="1"/>
      <c r="E139" s="1"/>
      <c r="F139" s="1"/>
      <c r="G139" s="2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3:35" x14ac:dyDescent="0.2">
      <c r="C140" s="8"/>
      <c r="D140" s="1"/>
      <c r="E140" s="1"/>
      <c r="F140" s="1"/>
      <c r="G140" s="2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3:35" x14ac:dyDescent="0.2">
      <c r="C141" s="8"/>
      <c r="D141" s="1"/>
      <c r="E141" s="1"/>
      <c r="F141" s="1"/>
      <c r="G141" s="2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3:35" x14ac:dyDescent="0.2">
      <c r="C142" s="8"/>
      <c r="D142" s="1"/>
      <c r="E142" s="1"/>
      <c r="F142" s="1"/>
      <c r="G142" s="2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3:35" x14ac:dyDescent="0.2">
      <c r="C143" s="8"/>
      <c r="D143" s="1"/>
      <c r="E143" s="1"/>
      <c r="F143" s="1"/>
      <c r="G143" s="2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3:35" x14ac:dyDescent="0.2">
      <c r="C144" s="8"/>
      <c r="D144" s="1"/>
      <c r="E144" s="1"/>
      <c r="F144" s="1"/>
      <c r="G144" s="2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3:35" x14ac:dyDescent="0.2">
      <c r="C145" s="8"/>
      <c r="D145" s="1"/>
      <c r="E145" s="1"/>
      <c r="F145" s="1"/>
      <c r="G145" s="2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3:35" x14ac:dyDescent="0.2">
      <c r="C146" s="8"/>
      <c r="D146" s="1"/>
      <c r="E146" s="1"/>
      <c r="F146" s="1"/>
      <c r="G146" s="2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3:35" x14ac:dyDescent="0.2">
      <c r="C147" s="8"/>
      <c r="D147" s="1"/>
      <c r="E147" s="1"/>
      <c r="F147" s="1"/>
      <c r="G147" s="2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3:35" x14ac:dyDescent="0.2">
      <c r="C148" s="8"/>
      <c r="D148" s="1"/>
      <c r="E148" s="1"/>
      <c r="F148" s="1"/>
      <c r="G148" s="2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3:35" x14ac:dyDescent="0.2">
      <c r="C149" s="8"/>
      <c r="D149" s="1"/>
      <c r="E149" s="1"/>
      <c r="F149" s="1"/>
      <c r="G149" s="2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3:35" x14ac:dyDescent="0.2">
      <c r="C150" s="8"/>
      <c r="D150" s="1"/>
      <c r="E150" s="1"/>
      <c r="F150" s="1"/>
      <c r="G150" s="2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3:35" x14ac:dyDescent="0.2">
      <c r="C151" s="8"/>
      <c r="D151" s="1"/>
      <c r="E151" s="1"/>
      <c r="F151" s="1"/>
      <c r="G151" s="2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3:35" x14ac:dyDescent="0.2">
      <c r="C152" s="8"/>
      <c r="D152" s="1"/>
      <c r="E152" s="1"/>
      <c r="F152" s="1"/>
      <c r="G152" s="2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3:35" x14ac:dyDescent="0.2">
      <c r="C153" s="8"/>
      <c r="D153" s="1"/>
      <c r="E153" s="1"/>
      <c r="F153" s="1"/>
      <c r="G153" s="2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3:35" x14ac:dyDescent="0.2">
      <c r="C154" s="8"/>
      <c r="D154" s="1"/>
      <c r="E154" s="1"/>
      <c r="F154" s="1"/>
      <c r="G154" s="2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3:35" x14ac:dyDescent="0.2">
      <c r="C155" s="8"/>
      <c r="D155" s="1"/>
      <c r="E155" s="1"/>
      <c r="F155" s="1"/>
      <c r="G155" s="2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3:35" x14ac:dyDescent="0.2">
      <c r="C156" s="8"/>
      <c r="D156" s="1"/>
      <c r="E156" s="1"/>
      <c r="F156" s="1"/>
      <c r="G156" s="2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3:35" x14ac:dyDescent="0.2">
      <c r="C157" s="8"/>
      <c r="D157" s="1"/>
      <c r="E157" s="1"/>
      <c r="F157" s="1"/>
      <c r="G157" s="2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3:35" x14ac:dyDescent="0.2">
      <c r="C158" s="8"/>
      <c r="D158" s="1"/>
      <c r="E158" s="1"/>
      <c r="F158" s="1"/>
      <c r="G158" s="2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3:35" x14ac:dyDescent="0.2">
      <c r="C159" s="8"/>
      <c r="D159" s="1"/>
      <c r="E159" s="1"/>
      <c r="F159" s="1"/>
      <c r="G159" s="2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3:35" x14ac:dyDescent="0.2">
      <c r="C160" s="8"/>
      <c r="D160" s="1"/>
      <c r="E160" s="1"/>
      <c r="F160" s="1"/>
      <c r="G160" s="2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3:35" x14ac:dyDescent="0.2">
      <c r="C161" s="8"/>
      <c r="D161" s="1"/>
      <c r="E161" s="1"/>
      <c r="F161" s="1"/>
      <c r="G161" s="2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3:35" x14ac:dyDescent="0.2">
      <c r="C162" s="8"/>
      <c r="D162" s="1"/>
      <c r="E162" s="1"/>
      <c r="F162" s="1"/>
      <c r="G162" s="2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3:35" x14ac:dyDescent="0.2">
      <c r="C163" s="8"/>
      <c r="D163" s="1"/>
      <c r="E163" s="1"/>
      <c r="F163" s="1"/>
      <c r="G163" s="2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3:35" x14ac:dyDescent="0.2">
      <c r="C164" s="8"/>
      <c r="D164" s="1"/>
      <c r="E164" s="1"/>
      <c r="F164" s="1"/>
      <c r="G164" s="2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3:35" x14ac:dyDescent="0.2">
      <c r="C165" s="8"/>
      <c r="D165" s="1"/>
      <c r="E165" s="1"/>
      <c r="F165" s="1"/>
      <c r="G165" s="2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3:35" x14ac:dyDescent="0.2">
      <c r="C166" s="8"/>
      <c r="D166" s="1"/>
      <c r="E166" s="1"/>
      <c r="F166" s="1"/>
      <c r="G166" s="2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3:35" x14ac:dyDescent="0.2">
      <c r="C167" s="8"/>
      <c r="D167" s="1"/>
      <c r="E167" s="1"/>
      <c r="F167" s="1"/>
      <c r="G167" s="2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3:35" x14ac:dyDescent="0.2">
      <c r="C168" s="8"/>
      <c r="D168" s="1"/>
      <c r="E168" s="1"/>
      <c r="F168" s="1"/>
      <c r="G168" s="2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3:35" x14ac:dyDescent="0.2">
      <c r="C169" s="8"/>
      <c r="D169" s="1"/>
      <c r="E169" s="1"/>
      <c r="F169" s="1"/>
      <c r="G169" s="2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3:35" x14ac:dyDescent="0.2">
      <c r="C170" s="8"/>
      <c r="D170" s="1"/>
      <c r="E170" s="1"/>
      <c r="F170" s="1"/>
      <c r="G170" s="2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3:35" x14ac:dyDescent="0.2">
      <c r="C171" s="8"/>
      <c r="D171" s="1"/>
      <c r="E171" s="1"/>
      <c r="F171" s="1"/>
      <c r="G171" s="2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3:35" x14ac:dyDescent="0.2">
      <c r="C172" s="8"/>
      <c r="D172" s="1"/>
      <c r="E172" s="1"/>
      <c r="F172" s="1"/>
      <c r="G172" s="2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3:35" x14ac:dyDescent="0.2">
      <c r="C173" s="8"/>
      <c r="D173" s="1"/>
      <c r="E173" s="1"/>
      <c r="F173" s="1"/>
      <c r="G173" s="2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3:35" x14ac:dyDescent="0.2">
      <c r="C174" s="8"/>
      <c r="D174" s="1"/>
      <c r="E174" s="1"/>
      <c r="F174" s="1"/>
      <c r="G174" s="2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3:35" x14ac:dyDescent="0.2">
      <c r="C175" s="8"/>
      <c r="D175" s="1"/>
      <c r="E175" s="1"/>
      <c r="F175" s="1"/>
      <c r="G175" s="2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3:35" x14ac:dyDescent="0.2">
      <c r="C176" s="8"/>
      <c r="D176" s="1"/>
      <c r="E176" s="1"/>
      <c r="F176" s="1"/>
      <c r="G176" s="2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3:35" x14ac:dyDescent="0.2">
      <c r="C177" s="8"/>
      <c r="D177" s="1"/>
      <c r="E177" s="1"/>
      <c r="F177" s="1"/>
      <c r="G177" s="2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3:35" x14ac:dyDescent="0.2">
      <c r="C178" s="8"/>
      <c r="D178" s="1"/>
      <c r="E178" s="1"/>
      <c r="F178" s="1"/>
      <c r="G178" s="2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3:35" x14ac:dyDescent="0.2">
      <c r="C179" s="8"/>
      <c r="D179" s="1"/>
      <c r="E179" s="1"/>
      <c r="F179" s="1"/>
      <c r="G179" s="2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3:35" x14ac:dyDescent="0.2">
      <c r="C180" s="8"/>
      <c r="D180" s="1"/>
      <c r="E180" s="1"/>
      <c r="F180" s="1"/>
      <c r="G180" s="2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3:35" x14ac:dyDescent="0.2">
      <c r="C181" s="8"/>
      <c r="D181" s="1"/>
      <c r="E181" s="1"/>
      <c r="F181" s="1"/>
      <c r="G181" s="2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3:35" x14ac:dyDescent="0.2">
      <c r="C182" s="8"/>
      <c r="D182" s="1"/>
      <c r="E182" s="1"/>
      <c r="F182" s="1"/>
      <c r="G182" s="2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3:35" x14ac:dyDescent="0.2">
      <c r="C183" s="8"/>
      <c r="D183" s="1"/>
      <c r="E183" s="1"/>
      <c r="F183" s="1"/>
      <c r="G183" s="2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3:35" x14ac:dyDescent="0.2">
      <c r="C184" s="8"/>
      <c r="D184" s="1"/>
      <c r="E184" s="1"/>
      <c r="F184" s="1"/>
      <c r="G184" s="2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3:35" x14ac:dyDescent="0.2">
      <c r="C185" s="8"/>
      <c r="D185" s="1"/>
      <c r="E185" s="1"/>
      <c r="F185" s="1"/>
      <c r="G185" s="2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3:35" x14ac:dyDescent="0.2">
      <c r="C186" s="8"/>
      <c r="D186" s="1"/>
      <c r="E186" s="1"/>
      <c r="F186" s="1"/>
      <c r="G186" s="2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3:35" x14ac:dyDescent="0.2">
      <c r="C187" s="8"/>
      <c r="D187" s="1"/>
      <c r="E187" s="1"/>
      <c r="F187" s="1"/>
      <c r="G187" s="2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3:35" x14ac:dyDescent="0.2">
      <c r="C188" s="8"/>
      <c r="D188" s="1"/>
      <c r="E188" s="1"/>
      <c r="F188" s="1"/>
      <c r="G188" s="2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3:35" x14ac:dyDescent="0.2">
      <c r="C189" s="8"/>
      <c r="D189" s="1"/>
      <c r="E189" s="1"/>
      <c r="F189" s="1"/>
      <c r="G189" s="2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3:35" x14ac:dyDescent="0.2">
      <c r="C190" s="8"/>
      <c r="D190" s="1"/>
      <c r="E190" s="1"/>
      <c r="F190" s="1"/>
      <c r="G190" s="2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3:35" x14ac:dyDescent="0.2">
      <c r="C191" s="8"/>
      <c r="D191" s="1"/>
      <c r="E191" s="1"/>
      <c r="F191" s="1"/>
      <c r="G191" s="2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3:35" x14ac:dyDescent="0.2">
      <c r="C192" s="8"/>
      <c r="D192" s="1"/>
      <c r="E192" s="1"/>
      <c r="F192" s="1"/>
      <c r="G192" s="2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3:35" x14ac:dyDescent="0.2">
      <c r="C193" s="8"/>
      <c r="D193" s="1"/>
      <c r="E193" s="1"/>
      <c r="F193" s="1"/>
      <c r="G193" s="2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3:35" x14ac:dyDescent="0.2">
      <c r="C194" s="8"/>
      <c r="D194" s="1"/>
      <c r="E194" s="1"/>
      <c r="F194" s="1"/>
      <c r="G194" s="2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3:35" x14ac:dyDescent="0.2">
      <c r="C195" s="8"/>
      <c r="D195" s="1"/>
      <c r="E195" s="1"/>
      <c r="F195" s="1"/>
      <c r="G195" s="2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3:35" x14ac:dyDescent="0.2">
      <c r="C196" s="8"/>
      <c r="D196" s="1"/>
      <c r="E196" s="1"/>
      <c r="F196" s="1"/>
      <c r="G196" s="2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3:35" x14ac:dyDescent="0.2">
      <c r="C197" s="8"/>
      <c r="D197" s="1"/>
      <c r="E197" s="1"/>
      <c r="F197" s="1"/>
      <c r="G197" s="2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3:35" x14ac:dyDescent="0.2">
      <c r="C198" s="8"/>
      <c r="D198" s="1"/>
      <c r="E198" s="1"/>
      <c r="F198" s="1"/>
      <c r="G198" s="2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3:35" x14ac:dyDescent="0.2">
      <c r="C199" s="8"/>
      <c r="D199" s="1"/>
      <c r="E199" s="1"/>
      <c r="F199" s="1"/>
      <c r="G199" s="2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3:35" x14ac:dyDescent="0.2">
      <c r="C200" s="8"/>
      <c r="D200" s="1"/>
      <c r="E200" s="1"/>
      <c r="F200" s="1"/>
      <c r="G200" s="2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3:35" x14ac:dyDescent="0.2">
      <c r="C201" s="8"/>
      <c r="D201" s="1"/>
      <c r="E201" s="1"/>
      <c r="F201" s="1"/>
      <c r="G201" s="2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3:35" x14ac:dyDescent="0.2">
      <c r="C202" s="8"/>
      <c r="D202" s="1"/>
      <c r="E202" s="1"/>
      <c r="F202" s="1"/>
      <c r="G202" s="2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3:35" x14ac:dyDescent="0.2">
      <c r="C203" s="8"/>
      <c r="D203" s="1"/>
      <c r="E203" s="1"/>
      <c r="F203" s="1"/>
      <c r="G203" s="2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3:35" x14ac:dyDescent="0.2">
      <c r="C204" s="8"/>
      <c r="D204" s="1"/>
      <c r="E204" s="1"/>
      <c r="F204" s="1"/>
      <c r="G204" s="2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3:35" x14ac:dyDescent="0.2">
      <c r="C205" s="8"/>
      <c r="D205" s="1"/>
      <c r="E205" s="1"/>
      <c r="F205" s="1"/>
      <c r="G205" s="2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3:35" x14ac:dyDescent="0.2">
      <c r="C206" s="8"/>
      <c r="D206" s="1"/>
      <c r="E206" s="1"/>
      <c r="F206" s="1"/>
      <c r="G206" s="2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3:35" x14ac:dyDescent="0.2">
      <c r="C207" s="8"/>
      <c r="D207" s="1"/>
      <c r="E207" s="1"/>
      <c r="F207" s="1"/>
      <c r="G207" s="2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3:35" x14ac:dyDescent="0.2">
      <c r="C208" s="8"/>
      <c r="D208" s="1"/>
      <c r="E208" s="1"/>
      <c r="F208" s="1"/>
      <c r="G208" s="2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3:35" x14ac:dyDescent="0.2">
      <c r="C209" s="8"/>
      <c r="D209" s="1"/>
      <c r="E209" s="1"/>
      <c r="F209" s="1"/>
      <c r="G209" s="2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3:35" x14ac:dyDescent="0.2">
      <c r="C210" s="8"/>
      <c r="D210" s="1"/>
      <c r="E210" s="1"/>
      <c r="F210" s="1"/>
      <c r="G210" s="2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3:35" x14ac:dyDescent="0.2">
      <c r="C211" s="8"/>
      <c r="D211" s="1"/>
      <c r="E211" s="1"/>
      <c r="F211" s="1"/>
      <c r="G211" s="2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3:35" x14ac:dyDescent="0.2">
      <c r="C212" s="8"/>
      <c r="D212" s="1"/>
      <c r="E212" s="1"/>
      <c r="F212" s="1"/>
      <c r="G212" s="2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3:35" x14ac:dyDescent="0.2">
      <c r="C213" s="8"/>
      <c r="D213" s="1"/>
      <c r="E213" s="1"/>
      <c r="F213" s="1"/>
      <c r="G213" s="2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3:35" x14ac:dyDescent="0.2">
      <c r="C214" s="8"/>
      <c r="D214" s="1"/>
      <c r="E214" s="1"/>
      <c r="F214" s="1"/>
      <c r="G214" s="2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3:35" x14ac:dyDescent="0.2">
      <c r="C215" s="8"/>
      <c r="D215" s="1"/>
      <c r="E215" s="1"/>
      <c r="F215" s="1"/>
      <c r="G215" s="2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3:35" x14ac:dyDescent="0.2">
      <c r="C216" s="8"/>
      <c r="D216" s="1"/>
      <c r="E216" s="1"/>
      <c r="F216" s="1"/>
      <c r="G216" s="2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3:35" x14ac:dyDescent="0.2">
      <c r="C217" s="8"/>
      <c r="D217" s="1"/>
      <c r="E217" s="1"/>
      <c r="F217" s="1"/>
      <c r="G217" s="2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3:35" x14ac:dyDescent="0.2">
      <c r="C218" s="8"/>
      <c r="D218" s="1"/>
      <c r="E218" s="1"/>
      <c r="F218" s="1"/>
      <c r="G218" s="2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3:35" x14ac:dyDescent="0.2">
      <c r="C219" s="8"/>
      <c r="D219" s="1"/>
      <c r="E219" s="1"/>
      <c r="F219" s="1"/>
      <c r="G219" s="2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3:35" x14ac:dyDescent="0.2">
      <c r="C220" s="8"/>
      <c r="D220" s="1"/>
      <c r="E220" s="1"/>
      <c r="F220" s="1"/>
      <c r="G220" s="2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3:35" x14ac:dyDescent="0.2">
      <c r="C221" s="8"/>
      <c r="D221" s="1"/>
      <c r="E221" s="1"/>
      <c r="F221" s="1"/>
      <c r="G221" s="2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3:35" x14ac:dyDescent="0.2">
      <c r="C222" s="8"/>
      <c r="D222" s="1"/>
      <c r="E222" s="1"/>
      <c r="F222" s="1"/>
      <c r="G222" s="2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3:35" x14ac:dyDescent="0.2">
      <c r="C223" s="8"/>
      <c r="D223" s="1"/>
      <c r="E223" s="1"/>
      <c r="F223" s="1"/>
      <c r="G223" s="2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3:35" x14ac:dyDescent="0.2">
      <c r="C224" s="8"/>
      <c r="D224" s="1"/>
      <c r="E224" s="1"/>
      <c r="F224" s="1"/>
      <c r="G224" s="2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3:35" x14ac:dyDescent="0.2">
      <c r="C225" s="8"/>
      <c r="D225" s="1"/>
      <c r="E225" s="1"/>
      <c r="F225" s="1"/>
      <c r="G225" s="2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3:35" x14ac:dyDescent="0.2">
      <c r="C226" s="8"/>
      <c r="D226" s="1"/>
      <c r="E226" s="1"/>
      <c r="F226" s="1"/>
      <c r="G226" s="2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3:35" x14ac:dyDescent="0.2">
      <c r="C227" s="8"/>
      <c r="D227" s="1"/>
      <c r="E227" s="1"/>
      <c r="F227" s="1"/>
      <c r="G227" s="2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3:35" x14ac:dyDescent="0.2">
      <c r="C228" s="8"/>
      <c r="D228" s="1"/>
      <c r="E228" s="1"/>
      <c r="F228" s="1"/>
      <c r="G228" s="2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3:35" x14ac:dyDescent="0.2">
      <c r="C229" s="8"/>
      <c r="D229" s="1"/>
      <c r="E229" s="1"/>
      <c r="F229" s="1"/>
      <c r="G229" s="2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3:35" x14ac:dyDescent="0.2">
      <c r="C230" s="8"/>
      <c r="D230" s="1"/>
      <c r="E230" s="1"/>
      <c r="F230" s="1"/>
      <c r="G230" s="2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3:35" x14ac:dyDescent="0.2">
      <c r="C231" s="8"/>
      <c r="D231" s="1"/>
      <c r="E231" s="1"/>
      <c r="F231" s="1"/>
      <c r="G231" s="2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3:35" x14ac:dyDescent="0.2">
      <c r="C232" s="8"/>
      <c r="D232" s="1"/>
      <c r="E232" s="1"/>
      <c r="F232" s="1"/>
      <c r="G232" s="2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3:35" x14ac:dyDescent="0.2">
      <c r="C233" s="8"/>
      <c r="D233" s="1"/>
      <c r="E233" s="1"/>
      <c r="F233" s="1"/>
      <c r="G233" s="2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3:35" x14ac:dyDescent="0.2">
      <c r="C234" s="8"/>
      <c r="D234" s="1"/>
      <c r="E234" s="1"/>
      <c r="F234" s="1"/>
      <c r="G234" s="2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3:35" x14ac:dyDescent="0.2">
      <c r="C235" s="8"/>
      <c r="D235" s="1"/>
      <c r="E235" s="1"/>
      <c r="F235" s="1"/>
      <c r="G235" s="2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3:35" x14ac:dyDescent="0.2">
      <c r="C236" s="8"/>
      <c r="D236" s="1"/>
      <c r="E236" s="1"/>
      <c r="F236" s="1"/>
      <c r="G236" s="2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3:35" x14ac:dyDescent="0.2">
      <c r="C237" s="8"/>
      <c r="D237" s="1"/>
      <c r="E237" s="1"/>
      <c r="F237" s="1"/>
      <c r="G237" s="2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3:35" x14ac:dyDescent="0.2">
      <c r="C238" s="8"/>
      <c r="D238" s="1"/>
      <c r="E238" s="1"/>
      <c r="F238" s="1"/>
      <c r="G238" s="2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3:35" x14ac:dyDescent="0.2">
      <c r="C239" s="8"/>
      <c r="D239" s="1"/>
      <c r="E239" s="1"/>
      <c r="F239" s="1"/>
      <c r="G239" s="2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3:35" x14ac:dyDescent="0.2">
      <c r="C240" s="8"/>
      <c r="D240" s="1"/>
      <c r="E240" s="1"/>
      <c r="F240" s="1"/>
      <c r="G240" s="2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3:35" x14ac:dyDescent="0.2">
      <c r="C241" s="8"/>
      <c r="D241" s="1"/>
      <c r="E241" s="1"/>
      <c r="F241" s="1"/>
      <c r="G241" s="2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3:35" x14ac:dyDescent="0.2">
      <c r="C242" s="8"/>
      <c r="D242" s="1"/>
      <c r="E242" s="1"/>
      <c r="F242" s="1"/>
      <c r="G242" s="2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3:35" x14ac:dyDescent="0.2">
      <c r="C243" s="8"/>
      <c r="D243" s="1"/>
      <c r="E243" s="1"/>
      <c r="F243" s="1"/>
      <c r="G243" s="2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3:35" x14ac:dyDescent="0.2">
      <c r="C244" s="8"/>
      <c r="D244" s="1"/>
      <c r="E244" s="1"/>
      <c r="F244" s="1"/>
      <c r="G244" s="2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3:35" x14ac:dyDescent="0.2">
      <c r="C245" s="8"/>
      <c r="D245" s="1"/>
      <c r="E245" s="1"/>
      <c r="F245" s="1"/>
      <c r="G245" s="2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3:35" x14ac:dyDescent="0.2">
      <c r="C246" s="8"/>
      <c r="D246" s="1"/>
      <c r="E246" s="1"/>
      <c r="F246" s="1"/>
      <c r="G246" s="2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3:35" x14ac:dyDescent="0.2">
      <c r="C247" s="8"/>
      <c r="D247" s="1"/>
      <c r="E247" s="1"/>
      <c r="F247" s="1"/>
      <c r="G247" s="2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3:35" x14ac:dyDescent="0.2">
      <c r="C248" s="8"/>
      <c r="D248" s="1"/>
      <c r="E248" s="1"/>
      <c r="F248" s="1"/>
      <c r="G248" s="2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3:35" x14ac:dyDescent="0.2">
      <c r="C249" s="8"/>
      <c r="D249" s="1"/>
      <c r="E249" s="1"/>
      <c r="F249" s="1"/>
      <c r="G249" s="2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3:35" x14ac:dyDescent="0.2">
      <c r="C250" s="8"/>
      <c r="D250" s="1"/>
      <c r="E250" s="1"/>
      <c r="F250" s="1"/>
      <c r="G250" s="2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3:35" x14ac:dyDescent="0.2">
      <c r="C251" s="8"/>
      <c r="D251" s="1"/>
      <c r="E251" s="1"/>
      <c r="F251" s="1"/>
      <c r="G251" s="2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3:35" x14ac:dyDescent="0.2">
      <c r="C252" s="8"/>
      <c r="D252" s="1"/>
      <c r="E252" s="1"/>
      <c r="F252" s="1"/>
      <c r="G252" s="2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3:35" x14ac:dyDescent="0.2">
      <c r="C253" s="8"/>
      <c r="D253" s="1"/>
      <c r="E253" s="1"/>
      <c r="F253" s="1"/>
      <c r="G253" s="2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3:35" x14ac:dyDescent="0.2">
      <c r="C254" s="8"/>
      <c r="D254" s="1"/>
      <c r="E254" s="1"/>
      <c r="F254" s="1"/>
      <c r="G254" s="2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3:35" x14ac:dyDescent="0.2">
      <c r="C255" s="8"/>
      <c r="D255" s="1"/>
      <c r="E255" s="1"/>
      <c r="F255" s="1"/>
      <c r="G255" s="2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3:35" x14ac:dyDescent="0.2">
      <c r="C256" s="8"/>
      <c r="D256" s="1"/>
      <c r="E256" s="1"/>
      <c r="F256" s="1"/>
      <c r="G256" s="2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3:35" x14ac:dyDescent="0.2">
      <c r="C257" s="8"/>
      <c r="D257" s="1"/>
      <c r="E257" s="1"/>
      <c r="F257" s="1"/>
      <c r="G257" s="2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3:35" x14ac:dyDescent="0.2">
      <c r="C258" s="8"/>
      <c r="D258" s="1"/>
      <c r="E258" s="1"/>
      <c r="F258" s="1"/>
      <c r="G258" s="2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3:35" x14ac:dyDescent="0.2">
      <c r="C259" s="8"/>
      <c r="D259" s="1"/>
      <c r="E259" s="1"/>
      <c r="F259" s="1"/>
      <c r="G259" s="2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3:35" x14ac:dyDescent="0.2">
      <c r="C260" s="8"/>
      <c r="D260" s="1"/>
      <c r="E260" s="1"/>
      <c r="F260" s="1"/>
      <c r="G260" s="2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3:35" x14ac:dyDescent="0.2">
      <c r="C261" s="8"/>
      <c r="D261" s="1"/>
      <c r="E261" s="1"/>
      <c r="F261" s="1"/>
      <c r="G261" s="2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3:35" x14ac:dyDescent="0.2">
      <c r="C262" s="8"/>
      <c r="D262" s="1"/>
      <c r="E262" s="1"/>
      <c r="F262" s="1"/>
      <c r="G262" s="2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3:35" x14ac:dyDescent="0.2">
      <c r="C263" s="8"/>
      <c r="D263" s="1"/>
      <c r="E263" s="1"/>
      <c r="F263" s="1"/>
      <c r="G263" s="2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3:35" x14ac:dyDescent="0.2">
      <c r="C264" s="8"/>
      <c r="D264" s="1"/>
      <c r="E264" s="1"/>
      <c r="F264" s="1"/>
      <c r="G264" s="2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3:35" x14ac:dyDescent="0.2">
      <c r="C265" s="8"/>
      <c r="D265" s="1"/>
      <c r="E265" s="1"/>
      <c r="F265" s="1"/>
      <c r="G265" s="2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3:35" x14ac:dyDescent="0.2">
      <c r="C266" s="8"/>
      <c r="D266" s="1"/>
      <c r="E266" s="1"/>
      <c r="F266" s="1"/>
      <c r="G266" s="2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3:35" x14ac:dyDescent="0.2">
      <c r="C267" s="8"/>
      <c r="D267" s="1"/>
      <c r="E267" s="1"/>
      <c r="F267" s="1"/>
      <c r="G267" s="2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3:35" x14ac:dyDescent="0.2">
      <c r="C268" s="8"/>
      <c r="D268" s="1"/>
      <c r="E268" s="1"/>
      <c r="F268" s="1"/>
      <c r="G268" s="2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3:35" x14ac:dyDescent="0.2">
      <c r="C269" s="8"/>
      <c r="D269" s="1"/>
      <c r="E269" s="1"/>
      <c r="F269" s="1"/>
      <c r="G269" s="2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3:35" x14ac:dyDescent="0.2">
      <c r="C270" s="8"/>
      <c r="D270" s="1"/>
      <c r="E270" s="1"/>
      <c r="F270" s="1"/>
      <c r="G270" s="2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3:35" x14ac:dyDescent="0.2">
      <c r="C271" s="8"/>
      <c r="D271" s="1"/>
      <c r="E271" s="1"/>
      <c r="F271" s="1"/>
      <c r="G271" s="2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3:35" x14ac:dyDescent="0.2">
      <c r="C272" s="8"/>
      <c r="D272" s="1"/>
      <c r="E272" s="1"/>
      <c r="F272" s="1"/>
      <c r="G272" s="2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3:35" x14ac:dyDescent="0.2">
      <c r="C273" s="8"/>
      <c r="D273" s="1"/>
      <c r="E273" s="1"/>
      <c r="F273" s="1"/>
      <c r="G273" s="2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3:35" x14ac:dyDescent="0.2">
      <c r="C274" s="8"/>
      <c r="D274" s="1"/>
      <c r="E274" s="1"/>
      <c r="F274" s="1"/>
      <c r="G274" s="2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3:35" x14ac:dyDescent="0.2">
      <c r="C275" s="8"/>
      <c r="D275" s="1"/>
      <c r="E275" s="1"/>
      <c r="F275" s="1"/>
      <c r="G275" s="2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3:35" x14ac:dyDescent="0.2">
      <c r="C276" s="8"/>
      <c r="D276" s="1"/>
      <c r="E276" s="1"/>
      <c r="F276" s="1"/>
      <c r="G276" s="2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3:35" x14ac:dyDescent="0.2">
      <c r="C277" s="8"/>
      <c r="D277" s="1"/>
      <c r="E277" s="1"/>
      <c r="F277" s="1"/>
      <c r="G277" s="2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3:35" x14ac:dyDescent="0.2">
      <c r="C278" s="8"/>
      <c r="D278" s="1"/>
      <c r="E278" s="1"/>
      <c r="F278" s="1"/>
      <c r="G278" s="2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3:35" x14ac:dyDescent="0.2">
      <c r="C279" s="8"/>
      <c r="D279" s="1"/>
      <c r="E279" s="1"/>
      <c r="F279" s="1"/>
      <c r="G279" s="2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3:35" x14ac:dyDescent="0.2">
      <c r="C280" s="8"/>
      <c r="D280" s="1"/>
      <c r="E280" s="1"/>
      <c r="F280" s="1"/>
      <c r="G280" s="2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3:35" x14ac:dyDescent="0.2">
      <c r="C281" s="8"/>
      <c r="D281" s="1"/>
      <c r="E281" s="1"/>
      <c r="F281" s="1"/>
      <c r="G281" s="2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3:35" x14ac:dyDescent="0.2">
      <c r="C282" s="8"/>
      <c r="D282" s="1"/>
      <c r="E282" s="1"/>
      <c r="F282" s="1"/>
      <c r="G282" s="2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3:35" x14ac:dyDescent="0.2">
      <c r="C283" s="8"/>
      <c r="D283" s="1"/>
      <c r="E283" s="1"/>
      <c r="F283" s="1"/>
      <c r="G283" s="2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3:35" x14ac:dyDescent="0.2">
      <c r="C284" s="8"/>
      <c r="D284" s="1"/>
      <c r="E284" s="1"/>
      <c r="F284" s="1"/>
      <c r="G284" s="2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3:35" x14ac:dyDescent="0.2">
      <c r="C285" s="8"/>
      <c r="D285" s="1"/>
      <c r="E285" s="1"/>
      <c r="F285" s="1"/>
      <c r="G285" s="2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3:35" x14ac:dyDescent="0.2">
      <c r="C286" s="8"/>
      <c r="D286" s="1"/>
      <c r="E286" s="1"/>
      <c r="F286" s="1"/>
      <c r="G286" s="2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3:35" x14ac:dyDescent="0.2">
      <c r="C287" s="8"/>
      <c r="D287" s="1"/>
      <c r="E287" s="1"/>
      <c r="F287" s="1"/>
      <c r="G287" s="2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3:35" x14ac:dyDescent="0.2">
      <c r="C288" s="8"/>
      <c r="D288" s="1"/>
      <c r="E288" s="1"/>
      <c r="F288" s="1"/>
      <c r="G288" s="2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3:35" x14ac:dyDescent="0.2">
      <c r="C289" s="8"/>
      <c r="D289" s="1"/>
      <c r="E289" s="1"/>
      <c r="F289" s="1"/>
      <c r="G289" s="2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3:35" x14ac:dyDescent="0.2">
      <c r="C290" s="8"/>
      <c r="D290" s="1"/>
      <c r="E290" s="1"/>
      <c r="F290" s="1"/>
      <c r="G290" s="2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3:35" x14ac:dyDescent="0.2">
      <c r="C291" s="8"/>
      <c r="D291" s="1"/>
      <c r="E291" s="1"/>
      <c r="F291" s="1"/>
      <c r="G291" s="2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3:35" x14ac:dyDescent="0.2">
      <c r="C292" s="8"/>
      <c r="D292" s="1"/>
      <c r="E292" s="1"/>
      <c r="F292" s="1"/>
      <c r="G292" s="2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3:35" x14ac:dyDescent="0.2">
      <c r="C293" s="8"/>
      <c r="D293" s="1"/>
      <c r="E293" s="1"/>
      <c r="F293" s="1"/>
      <c r="G293" s="2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3:35" x14ac:dyDescent="0.2">
      <c r="C294" s="8"/>
      <c r="D294" s="1"/>
      <c r="E294" s="1"/>
      <c r="F294" s="1"/>
      <c r="G294" s="2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3:35" x14ac:dyDescent="0.2">
      <c r="C295" s="8"/>
      <c r="D295" s="1"/>
      <c r="E295" s="1"/>
      <c r="F295" s="1"/>
      <c r="G295" s="2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3:35" x14ac:dyDescent="0.2">
      <c r="C296" s="8"/>
      <c r="D296" s="1"/>
      <c r="E296" s="1"/>
      <c r="F296" s="1"/>
      <c r="G296" s="2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3:35" x14ac:dyDescent="0.2">
      <c r="C297" s="8"/>
      <c r="D297" s="1"/>
      <c r="E297" s="1"/>
      <c r="F297" s="1"/>
      <c r="G297" s="2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3:35" x14ac:dyDescent="0.2">
      <c r="C298" s="8"/>
      <c r="D298" s="1"/>
      <c r="E298" s="1"/>
      <c r="F298" s="1"/>
      <c r="G298" s="2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3:35" x14ac:dyDescent="0.2">
      <c r="C299" s="8"/>
      <c r="D299" s="1"/>
      <c r="E299" s="1"/>
      <c r="F299" s="1"/>
      <c r="G299" s="2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3:35" x14ac:dyDescent="0.2">
      <c r="C300" s="8"/>
      <c r="D300" s="1"/>
      <c r="E300" s="1"/>
      <c r="F300" s="1"/>
      <c r="G300" s="2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3:35" x14ac:dyDescent="0.2">
      <c r="C301" s="8"/>
      <c r="D301" s="1"/>
      <c r="E301" s="1"/>
      <c r="F301" s="1"/>
      <c r="G301" s="2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3:35" x14ac:dyDescent="0.2">
      <c r="C302" s="8"/>
      <c r="D302" s="1"/>
      <c r="E302" s="1"/>
      <c r="F302" s="1"/>
      <c r="G302" s="2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3:35" x14ac:dyDescent="0.2">
      <c r="C303" s="8"/>
      <c r="D303" s="1"/>
      <c r="E303" s="1"/>
      <c r="F303" s="1"/>
      <c r="G303" s="2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3:35" x14ac:dyDescent="0.2">
      <c r="C304" s="8"/>
      <c r="D304" s="1"/>
      <c r="E304" s="1"/>
      <c r="F304" s="1"/>
      <c r="G304" s="2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3:35" x14ac:dyDescent="0.2">
      <c r="C305" s="8"/>
      <c r="D305" s="1"/>
      <c r="E305" s="1"/>
      <c r="F305" s="1"/>
      <c r="G305" s="2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3:35" x14ac:dyDescent="0.2">
      <c r="C306" s="8"/>
      <c r="D306" s="1"/>
      <c r="E306" s="1"/>
      <c r="F306" s="1"/>
      <c r="G306" s="2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3:35" x14ac:dyDescent="0.2">
      <c r="C307" s="8"/>
      <c r="D307" s="1"/>
      <c r="E307" s="1"/>
      <c r="F307" s="1"/>
      <c r="G307" s="2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3:35" x14ac:dyDescent="0.2">
      <c r="C308" s="8"/>
      <c r="D308" s="1"/>
      <c r="E308" s="1"/>
      <c r="F308" s="1"/>
      <c r="G308" s="2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3:35" x14ac:dyDescent="0.2">
      <c r="C309" s="8"/>
      <c r="D309" s="1"/>
      <c r="E309" s="1"/>
      <c r="F309" s="1"/>
      <c r="G309" s="2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3:35" x14ac:dyDescent="0.2">
      <c r="C310" s="8"/>
      <c r="D310" s="1"/>
      <c r="E310" s="1"/>
      <c r="F310" s="1"/>
      <c r="G310" s="2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3:35" x14ac:dyDescent="0.2">
      <c r="C311" s="8"/>
      <c r="D311" s="1"/>
      <c r="E311" s="1"/>
      <c r="F311" s="1"/>
      <c r="G311" s="2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3:35" x14ac:dyDescent="0.2">
      <c r="C312" s="8"/>
      <c r="D312" s="1"/>
      <c r="E312" s="1"/>
      <c r="F312" s="1"/>
      <c r="G312" s="2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3:35" x14ac:dyDescent="0.2">
      <c r="C313" s="8"/>
      <c r="D313" s="1"/>
      <c r="E313" s="1"/>
      <c r="F313" s="1"/>
      <c r="G313" s="2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3:35" x14ac:dyDescent="0.2">
      <c r="C314" s="8"/>
      <c r="D314" s="1"/>
      <c r="E314" s="1"/>
      <c r="F314" s="1"/>
      <c r="G314" s="2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3:35" x14ac:dyDescent="0.2">
      <c r="C315" s="8"/>
      <c r="D315" s="1"/>
      <c r="E315" s="1"/>
      <c r="F315" s="1"/>
      <c r="G315" s="2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3:35" x14ac:dyDescent="0.2">
      <c r="C316" s="8"/>
      <c r="D316" s="1"/>
      <c r="E316" s="1"/>
      <c r="F316" s="1"/>
      <c r="G316" s="2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3:35" x14ac:dyDescent="0.2">
      <c r="C317" s="8"/>
      <c r="D317" s="1"/>
      <c r="E317" s="1"/>
      <c r="F317" s="1"/>
      <c r="G317" s="2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3:35" x14ac:dyDescent="0.2">
      <c r="C318" s="8"/>
      <c r="D318" s="1"/>
      <c r="E318" s="1"/>
      <c r="F318" s="1"/>
      <c r="G318" s="2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3:35" x14ac:dyDescent="0.2">
      <c r="C319" s="8"/>
      <c r="D319" s="1"/>
      <c r="E319" s="1"/>
      <c r="F319" s="1"/>
      <c r="G319" s="2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3:35" x14ac:dyDescent="0.2">
      <c r="C320" s="8"/>
      <c r="D320" s="1"/>
      <c r="E320" s="1"/>
      <c r="F320" s="1"/>
      <c r="G320" s="2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3:35" x14ac:dyDescent="0.2">
      <c r="C321" s="8"/>
      <c r="D321" s="1"/>
      <c r="E321" s="1"/>
      <c r="F321" s="1"/>
      <c r="G321" s="2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3:35" x14ac:dyDescent="0.2">
      <c r="C322" s="8"/>
      <c r="D322" s="1"/>
      <c r="E322" s="1"/>
      <c r="F322" s="1"/>
      <c r="G322" s="2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3:35" x14ac:dyDescent="0.2">
      <c r="C323" s="8"/>
      <c r="D323" s="1"/>
      <c r="E323" s="1"/>
      <c r="F323" s="1"/>
      <c r="G323" s="2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3:35" x14ac:dyDescent="0.2">
      <c r="C324" s="8"/>
      <c r="D324" s="1"/>
      <c r="E324" s="1"/>
      <c r="F324" s="1"/>
      <c r="G324" s="2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3:35" x14ac:dyDescent="0.2">
      <c r="C325" s="8"/>
      <c r="D325" s="1"/>
      <c r="E325" s="1"/>
      <c r="F325" s="1"/>
      <c r="G325" s="2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3:35" x14ac:dyDescent="0.2">
      <c r="C326" s="8"/>
      <c r="D326" s="1"/>
      <c r="E326" s="1"/>
      <c r="F326" s="1"/>
      <c r="G326" s="2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3:35" x14ac:dyDescent="0.2">
      <c r="C327" s="8"/>
      <c r="D327" s="1"/>
      <c r="E327" s="1"/>
      <c r="F327" s="1"/>
      <c r="G327" s="2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3:35" x14ac:dyDescent="0.2">
      <c r="C328" s="8"/>
      <c r="D328" s="1"/>
      <c r="E328" s="1"/>
      <c r="F328" s="1"/>
      <c r="G328" s="2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3:35" x14ac:dyDescent="0.2">
      <c r="C329" s="8"/>
      <c r="D329" s="1"/>
      <c r="E329" s="1"/>
      <c r="F329" s="1"/>
      <c r="G329" s="2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3:35" x14ac:dyDescent="0.2">
      <c r="C330" s="8"/>
      <c r="D330" s="1"/>
      <c r="E330" s="1"/>
      <c r="F330" s="1"/>
      <c r="G330" s="2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3:35" x14ac:dyDescent="0.2">
      <c r="C331" s="8"/>
      <c r="D331" s="1"/>
      <c r="E331" s="1"/>
      <c r="F331" s="1"/>
      <c r="G331" s="2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3:35" x14ac:dyDescent="0.2">
      <c r="C332" s="8"/>
      <c r="D332" s="1"/>
      <c r="E332" s="1"/>
      <c r="F332" s="1"/>
      <c r="G332" s="2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3:35" x14ac:dyDescent="0.2">
      <c r="C333" s="8"/>
      <c r="D333" s="1"/>
      <c r="E333" s="1"/>
      <c r="F333" s="1"/>
      <c r="G333" s="2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3:35" x14ac:dyDescent="0.2">
      <c r="C334" s="8"/>
      <c r="D334" s="1"/>
      <c r="E334" s="1"/>
      <c r="F334" s="1"/>
      <c r="G334" s="2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3:35" x14ac:dyDescent="0.2">
      <c r="C335" s="8"/>
      <c r="D335" s="1"/>
      <c r="E335" s="1"/>
      <c r="F335" s="1"/>
      <c r="G335" s="2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3:35" x14ac:dyDescent="0.2">
      <c r="C336" s="8"/>
      <c r="D336" s="1"/>
      <c r="E336" s="1"/>
      <c r="F336" s="1"/>
      <c r="G336" s="2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3:35" x14ac:dyDescent="0.2">
      <c r="C337" s="8"/>
      <c r="D337" s="1"/>
      <c r="E337" s="1"/>
      <c r="F337" s="1"/>
      <c r="G337" s="2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3:35" x14ac:dyDescent="0.2">
      <c r="C338" s="8"/>
      <c r="D338" s="1"/>
      <c r="E338" s="1"/>
      <c r="F338" s="1"/>
      <c r="G338" s="2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3:35" x14ac:dyDescent="0.2">
      <c r="C339" s="8"/>
      <c r="D339" s="1"/>
      <c r="E339" s="1"/>
      <c r="F339" s="1"/>
      <c r="G339" s="2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3:35" x14ac:dyDescent="0.2">
      <c r="C340" s="8"/>
      <c r="D340" s="1"/>
      <c r="E340" s="1"/>
      <c r="F340" s="1"/>
      <c r="G340" s="2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3:35" x14ac:dyDescent="0.2">
      <c r="C341" s="8"/>
      <c r="D341" s="1"/>
      <c r="E341" s="1"/>
      <c r="F341" s="1"/>
      <c r="G341" s="2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3:35" x14ac:dyDescent="0.2">
      <c r="C342" s="8"/>
      <c r="D342" s="1"/>
      <c r="E342" s="1"/>
      <c r="F342" s="1"/>
      <c r="G342" s="2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3:35" x14ac:dyDescent="0.2">
      <c r="C343" s="8"/>
      <c r="D343" s="1"/>
      <c r="E343" s="1"/>
      <c r="F343" s="1"/>
      <c r="G343" s="2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3:35" x14ac:dyDescent="0.2">
      <c r="C344" s="8"/>
      <c r="D344" s="1"/>
      <c r="E344" s="1"/>
      <c r="F344" s="1"/>
      <c r="G344" s="2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3:35" x14ac:dyDescent="0.2">
      <c r="C345" s="8"/>
      <c r="D345" s="1"/>
      <c r="E345" s="1"/>
      <c r="F345" s="1"/>
      <c r="G345" s="2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3:35" x14ac:dyDescent="0.2">
      <c r="C346" s="8"/>
      <c r="D346" s="1"/>
      <c r="E346" s="1"/>
      <c r="F346" s="1"/>
      <c r="G346" s="2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3:35" x14ac:dyDescent="0.2">
      <c r="C347" s="8"/>
      <c r="D347" s="1"/>
      <c r="E347" s="1"/>
      <c r="F347" s="1"/>
      <c r="G347" s="2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3:35" x14ac:dyDescent="0.2">
      <c r="C348" s="8"/>
      <c r="D348" s="1"/>
      <c r="E348" s="1"/>
      <c r="F348" s="1"/>
      <c r="G348" s="2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3:35" x14ac:dyDescent="0.2">
      <c r="C349" s="8"/>
      <c r="D349" s="1"/>
      <c r="E349" s="1"/>
      <c r="F349" s="1"/>
      <c r="G349" s="2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3:35" x14ac:dyDescent="0.2">
      <c r="C350" s="8"/>
      <c r="D350" s="1"/>
      <c r="E350" s="1"/>
      <c r="F350" s="1"/>
      <c r="G350" s="2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3:35" x14ac:dyDescent="0.2">
      <c r="C351" s="8"/>
      <c r="D351" s="1"/>
      <c r="E351" s="1"/>
      <c r="F351" s="1"/>
      <c r="G351" s="2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3:35" x14ac:dyDescent="0.2">
      <c r="C352" s="8"/>
      <c r="D352" s="1"/>
      <c r="E352" s="1"/>
      <c r="F352" s="1"/>
      <c r="G352" s="2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3:35" x14ac:dyDescent="0.2">
      <c r="C353" s="8"/>
      <c r="D353" s="1"/>
      <c r="E353" s="1"/>
      <c r="F353" s="1"/>
      <c r="G353" s="2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3:35" x14ac:dyDescent="0.2">
      <c r="C354" s="8"/>
      <c r="D354" s="1"/>
      <c r="E354" s="1"/>
      <c r="F354" s="1"/>
      <c r="G354" s="2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3:35" x14ac:dyDescent="0.2">
      <c r="C355" s="8"/>
      <c r="D355" s="1"/>
      <c r="E355" s="1"/>
      <c r="F355" s="1"/>
      <c r="G355" s="2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3:35" x14ac:dyDescent="0.2">
      <c r="C356" s="8"/>
      <c r="D356" s="1"/>
      <c r="E356" s="1"/>
      <c r="F356" s="1"/>
      <c r="G356" s="2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3:35" x14ac:dyDescent="0.2">
      <c r="C357" s="8"/>
      <c r="D357" s="1"/>
      <c r="E357" s="1"/>
      <c r="F357" s="1"/>
      <c r="G357" s="2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3:35" x14ac:dyDescent="0.2">
      <c r="C358" s="8"/>
      <c r="D358" s="1"/>
      <c r="E358" s="1"/>
      <c r="F358" s="1"/>
      <c r="G358" s="2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3:35" x14ac:dyDescent="0.2">
      <c r="C359" s="8"/>
      <c r="D359" s="1"/>
      <c r="E359" s="1"/>
      <c r="F359" s="1"/>
      <c r="G359" s="2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3:35" x14ac:dyDescent="0.2">
      <c r="C360" s="8"/>
      <c r="D360" s="1"/>
      <c r="E360" s="1"/>
      <c r="F360" s="1"/>
      <c r="G360" s="2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3:35" x14ac:dyDescent="0.2">
      <c r="C361" s="8"/>
      <c r="D361" s="1"/>
      <c r="E361" s="1"/>
      <c r="F361" s="1"/>
      <c r="G361" s="2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3:35" x14ac:dyDescent="0.2">
      <c r="C362" s="8"/>
      <c r="D362" s="1"/>
      <c r="E362" s="1"/>
      <c r="F362" s="1"/>
      <c r="G362" s="2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3:35" x14ac:dyDescent="0.2">
      <c r="C363" s="8"/>
      <c r="D363" s="1"/>
      <c r="E363" s="1"/>
      <c r="F363" s="1"/>
      <c r="G363" s="2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3:35" x14ac:dyDescent="0.2">
      <c r="C364" s="8"/>
      <c r="D364" s="1"/>
      <c r="E364" s="1"/>
      <c r="F364" s="1"/>
      <c r="G364" s="2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3:35" x14ac:dyDescent="0.2">
      <c r="C365" s="8"/>
      <c r="D365" s="1"/>
      <c r="E365" s="1"/>
      <c r="F365" s="1"/>
      <c r="G365" s="2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3:35" x14ac:dyDescent="0.2">
      <c r="C366" s="8"/>
      <c r="D366" s="1"/>
      <c r="E366" s="1"/>
      <c r="F366" s="1"/>
      <c r="G366" s="2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3:35" x14ac:dyDescent="0.2">
      <c r="C367" s="8"/>
      <c r="D367" s="1"/>
      <c r="E367" s="1"/>
      <c r="F367" s="1"/>
      <c r="G367" s="2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3:35" x14ac:dyDescent="0.2">
      <c r="C368" s="8"/>
      <c r="D368" s="1"/>
      <c r="E368" s="1"/>
      <c r="F368" s="1"/>
      <c r="G368" s="2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3:35" x14ac:dyDescent="0.2">
      <c r="C369" s="8"/>
      <c r="D369" s="1"/>
      <c r="E369" s="1"/>
      <c r="F369" s="1"/>
      <c r="G369" s="2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3:35" x14ac:dyDescent="0.2">
      <c r="C370" s="8"/>
      <c r="D370" s="1"/>
      <c r="E370" s="1"/>
      <c r="F370" s="1"/>
      <c r="G370" s="2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3:35" x14ac:dyDescent="0.2">
      <c r="C371" s="8"/>
      <c r="D371" s="1"/>
      <c r="E371" s="1"/>
      <c r="F371" s="1"/>
      <c r="G371" s="2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3:35" x14ac:dyDescent="0.2">
      <c r="C372" s="8"/>
      <c r="D372" s="1"/>
      <c r="E372" s="1"/>
      <c r="F372" s="1"/>
      <c r="G372" s="2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3:35" x14ac:dyDescent="0.2">
      <c r="C373" s="8"/>
      <c r="D373" s="1"/>
      <c r="E373" s="1"/>
      <c r="F373" s="1"/>
      <c r="G373" s="2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3:35" x14ac:dyDescent="0.2">
      <c r="C374" s="8"/>
      <c r="D374" s="1"/>
      <c r="E374" s="1"/>
      <c r="F374" s="1"/>
      <c r="G374" s="2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3:35" x14ac:dyDescent="0.2">
      <c r="C375" s="8"/>
      <c r="D375" s="1"/>
      <c r="E375" s="1"/>
      <c r="F375" s="1"/>
      <c r="G375" s="2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3:35" x14ac:dyDescent="0.2">
      <c r="C376" s="8"/>
      <c r="D376" s="1"/>
      <c r="E376" s="1"/>
      <c r="F376" s="1"/>
      <c r="G376" s="2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3:35" x14ac:dyDescent="0.2">
      <c r="C377" s="8"/>
      <c r="D377" s="1"/>
      <c r="E377" s="1"/>
      <c r="F377" s="1"/>
      <c r="G377" s="2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3:35" x14ac:dyDescent="0.2">
      <c r="C378" s="8"/>
      <c r="D378" s="1"/>
      <c r="E378" s="1"/>
      <c r="F378" s="1"/>
      <c r="G378" s="2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3:35" x14ac:dyDescent="0.2">
      <c r="C379" s="8"/>
      <c r="D379" s="1"/>
      <c r="E379" s="1"/>
      <c r="F379" s="1"/>
      <c r="G379" s="2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3:35" x14ac:dyDescent="0.2">
      <c r="C380" s="8"/>
      <c r="D380" s="1"/>
      <c r="E380" s="1"/>
      <c r="F380" s="1"/>
      <c r="G380" s="2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3:35" x14ac:dyDescent="0.2">
      <c r="C381" s="8"/>
      <c r="D381" s="1"/>
      <c r="E381" s="1"/>
      <c r="F381" s="1"/>
      <c r="G381" s="2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3:35" x14ac:dyDescent="0.2">
      <c r="C382" s="8"/>
      <c r="D382" s="1"/>
      <c r="E382" s="1"/>
      <c r="F382" s="1"/>
      <c r="G382" s="2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3:35" x14ac:dyDescent="0.2">
      <c r="C383" s="8"/>
      <c r="D383" s="1"/>
      <c r="E383" s="1"/>
      <c r="F383" s="1"/>
      <c r="G383" s="2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3:35" x14ac:dyDescent="0.2">
      <c r="C384" s="8"/>
      <c r="D384" s="1"/>
      <c r="E384" s="1"/>
      <c r="F384" s="1"/>
      <c r="G384" s="2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3:35" x14ac:dyDescent="0.2">
      <c r="C385" s="8"/>
      <c r="D385" s="1"/>
      <c r="E385" s="1"/>
      <c r="F385" s="1"/>
      <c r="G385" s="2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3:35" x14ac:dyDescent="0.2">
      <c r="C386" s="8"/>
      <c r="D386" s="1"/>
      <c r="E386" s="1"/>
      <c r="F386" s="1"/>
      <c r="G386" s="2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3:35" x14ac:dyDescent="0.2">
      <c r="C387" s="8"/>
      <c r="D387" s="1"/>
      <c r="E387" s="1"/>
      <c r="F387" s="1"/>
      <c r="G387" s="2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3:35" x14ac:dyDescent="0.2">
      <c r="C388" s="8"/>
      <c r="D388" s="1"/>
      <c r="E388" s="1"/>
      <c r="F388" s="1"/>
      <c r="G388" s="2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3:35" x14ac:dyDescent="0.2">
      <c r="C389" s="8"/>
      <c r="D389" s="1"/>
      <c r="E389" s="1"/>
      <c r="F389" s="1"/>
      <c r="G389" s="2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3:35" x14ac:dyDescent="0.2">
      <c r="C390" s="8"/>
      <c r="D390" s="1"/>
      <c r="E390" s="1"/>
      <c r="F390" s="1"/>
      <c r="G390" s="2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3:35" x14ac:dyDescent="0.2">
      <c r="C391" s="8"/>
      <c r="D391" s="1"/>
      <c r="E391" s="1"/>
      <c r="F391" s="1"/>
      <c r="G391" s="2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3:35" x14ac:dyDescent="0.2">
      <c r="C392" s="8"/>
      <c r="D392" s="1"/>
      <c r="E392" s="1"/>
      <c r="F392" s="1"/>
      <c r="G392" s="2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3:35" x14ac:dyDescent="0.2">
      <c r="C393" s="8"/>
      <c r="D393" s="1"/>
      <c r="E393" s="1"/>
      <c r="F393" s="1"/>
      <c r="G393" s="2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3:35" x14ac:dyDescent="0.2">
      <c r="C394" s="8"/>
      <c r="D394" s="1"/>
      <c r="E394" s="1"/>
      <c r="F394" s="1"/>
      <c r="G394" s="2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3:35" x14ac:dyDescent="0.2">
      <c r="C395" s="8"/>
      <c r="D395" s="1"/>
      <c r="E395" s="1"/>
      <c r="F395" s="1"/>
      <c r="G395" s="2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3:35" x14ac:dyDescent="0.2">
      <c r="C396" s="8"/>
      <c r="D396" s="1"/>
      <c r="E396" s="1"/>
      <c r="F396" s="1"/>
      <c r="G396" s="2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3:35" x14ac:dyDescent="0.2">
      <c r="C397" s="8"/>
      <c r="D397" s="1"/>
      <c r="E397" s="1"/>
      <c r="F397" s="1"/>
      <c r="G397" s="2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3:35" x14ac:dyDescent="0.2">
      <c r="C398" s="8"/>
      <c r="D398" s="1"/>
      <c r="E398" s="1"/>
      <c r="F398" s="1"/>
      <c r="G398" s="2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3:35" x14ac:dyDescent="0.2">
      <c r="C399" s="8"/>
      <c r="D399" s="1"/>
      <c r="E399" s="1"/>
      <c r="F399" s="1"/>
      <c r="G399" s="2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3:35" x14ac:dyDescent="0.2">
      <c r="C400" s="8"/>
      <c r="D400" s="1"/>
      <c r="E400" s="1"/>
      <c r="F400" s="1"/>
      <c r="G400" s="2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3:35" x14ac:dyDescent="0.2">
      <c r="C401" s="8"/>
      <c r="D401" s="1"/>
      <c r="E401" s="1"/>
      <c r="F401" s="1"/>
      <c r="G401" s="2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3:35" x14ac:dyDescent="0.2">
      <c r="C402" s="8"/>
      <c r="D402" s="1"/>
      <c r="E402" s="1"/>
      <c r="F402" s="1"/>
      <c r="G402" s="2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3:35" x14ac:dyDescent="0.2">
      <c r="C403" s="8"/>
      <c r="D403" s="1"/>
      <c r="E403" s="1"/>
      <c r="F403" s="1"/>
      <c r="G403" s="2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3:35" x14ac:dyDescent="0.2">
      <c r="C404" s="8"/>
      <c r="D404" s="1"/>
      <c r="E404" s="1"/>
      <c r="F404" s="1"/>
      <c r="G404" s="2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3:35" x14ac:dyDescent="0.2">
      <c r="C405" s="8"/>
      <c r="D405" s="1"/>
      <c r="E405" s="1"/>
      <c r="F405" s="1"/>
      <c r="G405" s="2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3:35" x14ac:dyDescent="0.2">
      <c r="C406" s="8"/>
      <c r="D406" s="1"/>
      <c r="E406" s="1"/>
      <c r="F406" s="1"/>
      <c r="G406" s="2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3:35" x14ac:dyDescent="0.2">
      <c r="C407" s="8"/>
      <c r="D407" s="1"/>
      <c r="E407" s="1"/>
      <c r="F407" s="1"/>
      <c r="G407" s="2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3:35" x14ac:dyDescent="0.2">
      <c r="C408" s="8"/>
      <c r="D408" s="1"/>
      <c r="E408" s="1"/>
      <c r="F408" s="1"/>
      <c r="G408" s="2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3:35" x14ac:dyDescent="0.2">
      <c r="C409" s="8"/>
      <c r="D409" s="1"/>
      <c r="E409" s="1"/>
      <c r="F409" s="1"/>
      <c r="G409" s="2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3:35" x14ac:dyDescent="0.2">
      <c r="C410" s="8"/>
      <c r="D410" s="1"/>
      <c r="E410" s="1"/>
      <c r="F410" s="1"/>
      <c r="G410" s="2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3:35" x14ac:dyDescent="0.2">
      <c r="C411" s="8"/>
      <c r="D411" s="1"/>
      <c r="E411" s="1"/>
      <c r="F411" s="1"/>
      <c r="G411" s="2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3:35" x14ac:dyDescent="0.2">
      <c r="C412" s="8"/>
      <c r="D412" s="1"/>
      <c r="E412" s="1"/>
      <c r="F412" s="1"/>
      <c r="G412" s="2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3:35" x14ac:dyDescent="0.2">
      <c r="C413" s="8"/>
      <c r="D413" s="1"/>
      <c r="E413" s="1"/>
      <c r="F413" s="1"/>
      <c r="G413" s="2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3:35" x14ac:dyDescent="0.2">
      <c r="C414" s="8"/>
      <c r="D414" s="1"/>
      <c r="E414" s="1"/>
      <c r="F414" s="1"/>
      <c r="G414" s="2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3:35" x14ac:dyDescent="0.2">
      <c r="C415" s="8"/>
      <c r="D415" s="1"/>
      <c r="E415" s="1"/>
      <c r="F415" s="1"/>
      <c r="G415" s="2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3:35" x14ac:dyDescent="0.2">
      <c r="C416" s="8"/>
      <c r="D416" s="1"/>
      <c r="E416" s="1"/>
      <c r="F416" s="1"/>
      <c r="G416" s="2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3:35" x14ac:dyDescent="0.2">
      <c r="C417" s="8"/>
      <c r="D417" s="1"/>
      <c r="E417" s="1"/>
      <c r="F417" s="1"/>
      <c r="G417" s="2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3:35" x14ac:dyDescent="0.2">
      <c r="C418" s="8"/>
      <c r="D418" s="1"/>
      <c r="E418" s="1"/>
      <c r="F418" s="1"/>
      <c r="G418" s="2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3:35" x14ac:dyDescent="0.2">
      <c r="C419" s="8"/>
      <c r="D419" s="1"/>
      <c r="E419" s="1"/>
      <c r="F419" s="1"/>
      <c r="G419" s="2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3:35" x14ac:dyDescent="0.2">
      <c r="C420" s="8"/>
      <c r="D420" s="1"/>
      <c r="E420" s="1"/>
      <c r="F420" s="1"/>
      <c r="G420" s="2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3:35" x14ac:dyDescent="0.2">
      <c r="C421" s="8"/>
      <c r="D421" s="1"/>
      <c r="E421" s="1"/>
      <c r="F421" s="1"/>
      <c r="G421" s="2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3:35" x14ac:dyDescent="0.2">
      <c r="C422" s="8"/>
      <c r="D422" s="1"/>
      <c r="E422" s="1"/>
      <c r="F422" s="1"/>
      <c r="G422" s="2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3:35" x14ac:dyDescent="0.2">
      <c r="C423" s="8"/>
      <c r="D423" s="1"/>
      <c r="E423" s="1"/>
      <c r="F423" s="1"/>
      <c r="G423" s="2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3:35" x14ac:dyDescent="0.2">
      <c r="C424" s="8"/>
      <c r="D424" s="1"/>
      <c r="E424" s="1"/>
      <c r="F424" s="1"/>
      <c r="G424" s="2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3:35" x14ac:dyDescent="0.2">
      <c r="C425" s="8"/>
      <c r="D425" s="1"/>
      <c r="E425" s="1"/>
      <c r="F425" s="1"/>
      <c r="G425" s="2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3:35" x14ac:dyDescent="0.2">
      <c r="C426" s="8"/>
      <c r="D426" s="1"/>
      <c r="E426" s="1"/>
      <c r="F426" s="1"/>
      <c r="G426" s="2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3:35" x14ac:dyDescent="0.2">
      <c r="C427" s="8"/>
      <c r="D427" s="1"/>
      <c r="E427" s="1"/>
      <c r="F427" s="1"/>
      <c r="G427" s="2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3:35" x14ac:dyDescent="0.2">
      <c r="C428" s="8"/>
      <c r="D428" s="1"/>
      <c r="E428" s="1"/>
      <c r="F428" s="1"/>
      <c r="G428" s="2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3:35" x14ac:dyDescent="0.2">
      <c r="C429" s="8"/>
      <c r="D429" s="1"/>
      <c r="E429" s="1"/>
      <c r="F429" s="1"/>
      <c r="G429" s="2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3:35" x14ac:dyDescent="0.2">
      <c r="C430" s="8"/>
      <c r="D430" s="1"/>
      <c r="E430" s="1"/>
      <c r="F430" s="1"/>
      <c r="G430" s="2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3:35" x14ac:dyDescent="0.2">
      <c r="C431" s="8"/>
      <c r="D431" s="1"/>
      <c r="E431" s="1"/>
      <c r="F431" s="1"/>
      <c r="G431" s="2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3:35" x14ac:dyDescent="0.2">
      <c r="C432" s="8"/>
      <c r="D432" s="1"/>
      <c r="E432" s="1"/>
      <c r="F432" s="1"/>
      <c r="G432" s="2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3:35" x14ac:dyDescent="0.2">
      <c r="C433" s="8"/>
      <c r="D433" s="1"/>
      <c r="E433" s="1"/>
      <c r="F433" s="1"/>
      <c r="G433" s="2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3:35" x14ac:dyDescent="0.2">
      <c r="C434" s="8"/>
      <c r="D434" s="1"/>
      <c r="E434" s="1"/>
      <c r="F434" s="1"/>
      <c r="G434" s="2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3:35" x14ac:dyDescent="0.2">
      <c r="C435" s="8"/>
      <c r="D435" s="1"/>
      <c r="E435" s="1"/>
      <c r="F435" s="1"/>
      <c r="G435" s="2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3:35" x14ac:dyDescent="0.2">
      <c r="C436" s="8"/>
      <c r="D436" s="1"/>
      <c r="E436" s="1"/>
      <c r="F436" s="1"/>
      <c r="G436" s="2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3:35" x14ac:dyDescent="0.2">
      <c r="C437" s="8"/>
      <c r="D437" s="1"/>
      <c r="E437" s="1"/>
      <c r="F437" s="1"/>
      <c r="G437" s="2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3:35" x14ac:dyDescent="0.2">
      <c r="C438" s="8"/>
      <c r="D438" s="1"/>
      <c r="E438" s="1"/>
      <c r="F438" s="1"/>
      <c r="G438" s="2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3:35" x14ac:dyDescent="0.2">
      <c r="C439" s="8"/>
      <c r="D439" s="1"/>
      <c r="E439" s="1"/>
      <c r="F439" s="1"/>
      <c r="G439" s="2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3:35" x14ac:dyDescent="0.2">
      <c r="C440" s="8"/>
      <c r="D440" s="1"/>
      <c r="E440" s="1"/>
      <c r="F440" s="1"/>
      <c r="G440" s="2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3:35" x14ac:dyDescent="0.2">
      <c r="C441" s="8"/>
      <c r="D441" s="1"/>
      <c r="E441" s="1"/>
      <c r="F441" s="1"/>
      <c r="G441" s="2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3:35" x14ac:dyDescent="0.2">
      <c r="C442" s="8"/>
      <c r="D442" s="1"/>
      <c r="E442" s="1"/>
      <c r="F442" s="1"/>
      <c r="G442" s="2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3:35" x14ac:dyDescent="0.2">
      <c r="C443" s="8"/>
      <c r="D443" s="1"/>
      <c r="E443" s="1"/>
      <c r="F443" s="1"/>
      <c r="G443" s="2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3:35" x14ac:dyDescent="0.2">
      <c r="C444" s="8"/>
      <c r="D444" s="1"/>
      <c r="E444" s="1"/>
      <c r="F444" s="1"/>
      <c r="G444" s="2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3:35" x14ac:dyDescent="0.2">
      <c r="C445" s="8"/>
      <c r="D445" s="1"/>
      <c r="E445" s="1"/>
      <c r="F445" s="1"/>
      <c r="G445" s="2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3:35" x14ac:dyDescent="0.2">
      <c r="C446" s="8"/>
      <c r="D446" s="1"/>
      <c r="E446" s="1"/>
      <c r="F446" s="1"/>
      <c r="G446" s="2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3:35" x14ac:dyDescent="0.2">
      <c r="C447" s="8"/>
      <c r="D447" s="1"/>
      <c r="E447" s="1"/>
      <c r="F447" s="1"/>
      <c r="G447" s="2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3:35" x14ac:dyDescent="0.2">
      <c r="C448" s="8"/>
      <c r="D448" s="1"/>
      <c r="E448" s="1"/>
      <c r="F448" s="1"/>
      <c r="G448" s="2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3:35" x14ac:dyDescent="0.2">
      <c r="C449" s="8"/>
      <c r="D449" s="1"/>
      <c r="E449" s="1"/>
      <c r="F449" s="1"/>
      <c r="G449" s="2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3:35" x14ac:dyDescent="0.2">
      <c r="C450" s="8"/>
      <c r="D450" s="1"/>
      <c r="E450" s="1"/>
      <c r="F450" s="1"/>
      <c r="G450" s="2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3:35" x14ac:dyDescent="0.2">
      <c r="C451" s="8"/>
      <c r="D451" s="1"/>
      <c r="E451" s="1"/>
      <c r="F451" s="1"/>
      <c r="G451" s="2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3:35" x14ac:dyDescent="0.2">
      <c r="C452" s="8"/>
      <c r="D452" s="1"/>
      <c r="E452" s="1"/>
      <c r="F452" s="1"/>
      <c r="G452" s="2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3:35" x14ac:dyDescent="0.2">
      <c r="C453" s="8"/>
      <c r="D453" s="1"/>
      <c r="E453" s="1"/>
      <c r="F453" s="1"/>
      <c r="G453" s="2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3:35" x14ac:dyDescent="0.2">
      <c r="C454" s="8"/>
      <c r="D454" s="1"/>
      <c r="E454" s="1"/>
      <c r="F454" s="1"/>
      <c r="G454" s="2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3:35" x14ac:dyDescent="0.2">
      <c r="C455" s="8"/>
      <c r="D455" s="1"/>
      <c r="E455" s="1"/>
      <c r="F455" s="1"/>
      <c r="G455" s="2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3:35" x14ac:dyDescent="0.2">
      <c r="C456" s="8"/>
      <c r="D456" s="1"/>
      <c r="E456" s="1"/>
      <c r="F456" s="1"/>
      <c r="G456" s="2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3:35" x14ac:dyDescent="0.2">
      <c r="C457" s="8"/>
      <c r="D457" s="1"/>
      <c r="E457" s="1"/>
      <c r="F457" s="1"/>
      <c r="G457" s="2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3:35" x14ac:dyDescent="0.2">
      <c r="C458" s="8"/>
      <c r="D458" s="1"/>
      <c r="E458" s="1"/>
      <c r="F458" s="1"/>
      <c r="G458" s="2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3:35" x14ac:dyDescent="0.2">
      <c r="C459" s="8"/>
      <c r="D459" s="1"/>
      <c r="E459" s="1"/>
      <c r="F459" s="1"/>
      <c r="G459" s="2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3:35" x14ac:dyDescent="0.2">
      <c r="C460" s="8"/>
      <c r="D460" s="1"/>
      <c r="E460" s="1"/>
      <c r="F460" s="1"/>
      <c r="G460" s="2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3:35" x14ac:dyDescent="0.2">
      <c r="C461" s="8"/>
      <c r="D461" s="1"/>
      <c r="E461" s="1"/>
      <c r="F461" s="1"/>
      <c r="G461" s="2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3:35" x14ac:dyDescent="0.2">
      <c r="C462" s="8"/>
      <c r="D462" s="1"/>
      <c r="E462" s="1"/>
      <c r="F462" s="1"/>
      <c r="G462" s="2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3:35" x14ac:dyDescent="0.2">
      <c r="C463" s="8"/>
      <c r="D463" s="1"/>
      <c r="E463" s="1"/>
      <c r="F463" s="1"/>
      <c r="G463" s="2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3:35" x14ac:dyDescent="0.2">
      <c r="C464" s="8"/>
      <c r="D464" s="1"/>
      <c r="E464" s="1"/>
      <c r="F464" s="1"/>
      <c r="G464" s="2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3:35" x14ac:dyDescent="0.2">
      <c r="C465" s="8"/>
      <c r="D465" s="1"/>
      <c r="E465" s="1"/>
      <c r="F465" s="1"/>
      <c r="G465" s="2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3:35" x14ac:dyDescent="0.2">
      <c r="C466" s="8"/>
      <c r="D466" s="1"/>
      <c r="E466" s="1"/>
      <c r="F466" s="1"/>
      <c r="G466" s="2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3:35" x14ac:dyDescent="0.2">
      <c r="C467" s="8"/>
      <c r="D467" s="1"/>
      <c r="E467" s="1"/>
      <c r="F467" s="1"/>
      <c r="G467" s="2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3:35" x14ac:dyDescent="0.2">
      <c r="C468" s="8"/>
      <c r="D468" s="1"/>
      <c r="E468" s="1"/>
      <c r="F468" s="1"/>
      <c r="G468" s="2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3:35" x14ac:dyDescent="0.2">
      <c r="C469" s="8"/>
      <c r="D469" s="1"/>
      <c r="E469" s="1"/>
      <c r="F469" s="1"/>
      <c r="G469" s="2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3:35" x14ac:dyDescent="0.2">
      <c r="C470" s="8"/>
      <c r="D470" s="1"/>
      <c r="E470" s="1"/>
      <c r="F470" s="1"/>
      <c r="G470" s="2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3:35" x14ac:dyDescent="0.2">
      <c r="C471" s="8"/>
      <c r="D471" s="1"/>
      <c r="E471" s="1"/>
      <c r="F471" s="1"/>
      <c r="G471" s="2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3:35" x14ac:dyDescent="0.2">
      <c r="C472" s="8"/>
      <c r="D472" s="1"/>
      <c r="E472" s="1"/>
      <c r="F472" s="1"/>
      <c r="G472" s="2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3:35" x14ac:dyDescent="0.2">
      <c r="C473" s="8"/>
      <c r="D473" s="1"/>
      <c r="E473" s="1"/>
      <c r="F473" s="1"/>
      <c r="G473" s="2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3:35" x14ac:dyDescent="0.2">
      <c r="C474" s="8"/>
      <c r="D474" s="1"/>
      <c r="E474" s="1"/>
      <c r="F474" s="1"/>
      <c r="G474" s="2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3:35" x14ac:dyDescent="0.2">
      <c r="C475" s="8"/>
      <c r="D475" s="1"/>
      <c r="E475" s="1"/>
      <c r="F475" s="1"/>
      <c r="G475" s="2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3:35" x14ac:dyDescent="0.2">
      <c r="C476" s="8"/>
      <c r="D476" s="1"/>
      <c r="E476" s="1"/>
      <c r="F476" s="1"/>
      <c r="G476" s="2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3:35" x14ac:dyDescent="0.2">
      <c r="C477" s="8"/>
      <c r="D477" s="1"/>
      <c r="E477" s="1"/>
      <c r="F477" s="1"/>
      <c r="G477" s="2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3:35" x14ac:dyDescent="0.2">
      <c r="C478" s="8"/>
      <c r="D478" s="1"/>
      <c r="E478" s="1"/>
      <c r="F478" s="1"/>
      <c r="G478" s="2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3:35" x14ac:dyDescent="0.2">
      <c r="C479" s="8"/>
      <c r="D479" s="1"/>
      <c r="E479" s="1"/>
      <c r="F479" s="1"/>
      <c r="G479" s="2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3:35" x14ac:dyDescent="0.2">
      <c r="C480" s="8"/>
      <c r="D480" s="1"/>
      <c r="E480" s="1"/>
      <c r="F480" s="1"/>
      <c r="G480" s="2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3:35" x14ac:dyDescent="0.2">
      <c r="C481" s="8"/>
      <c r="D481" s="1"/>
      <c r="E481" s="1"/>
      <c r="F481" s="1"/>
      <c r="G481" s="2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3:35" x14ac:dyDescent="0.2">
      <c r="C482" s="8"/>
      <c r="D482" s="1"/>
      <c r="E482" s="1"/>
      <c r="F482" s="1"/>
      <c r="G482" s="2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3:35" x14ac:dyDescent="0.2">
      <c r="C483" s="8"/>
      <c r="D483" s="1"/>
      <c r="E483" s="1"/>
      <c r="F483" s="1"/>
      <c r="G483" s="2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3:35" x14ac:dyDescent="0.2">
      <c r="C484" s="8"/>
      <c r="D484" s="1"/>
      <c r="E484" s="1"/>
      <c r="F484" s="1"/>
      <c r="G484" s="2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3:35" x14ac:dyDescent="0.2">
      <c r="C485" s="8"/>
      <c r="D485" s="1"/>
      <c r="E485" s="1"/>
      <c r="F485" s="1"/>
      <c r="G485" s="2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3:35" x14ac:dyDescent="0.2">
      <c r="C486" s="8"/>
      <c r="D486" s="1"/>
      <c r="E486" s="1"/>
      <c r="F486" s="1"/>
      <c r="G486" s="2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3:35" x14ac:dyDescent="0.2">
      <c r="C487" s="8"/>
      <c r="D487" s="1"/>
      <c r="E487" s="1"/>
      <c r="F487" s="1"/>
      <c r="G487" s="2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3:35" x14ac:dyDescent="0.2">
      <c r="C488" s="8"/>
      <c r="D488" s="1"/>
      <c r="E488" s="1"/>
      <c r="F488" s="1"/>
      <c r="G488" s="2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3:35" x14ac:dyDescent="0.2">
      <c r="C489" s="8"/>
      <c r="D489" s="1"/>
      <c r="E489" s="1"/>
      <c r="F489" s="1"/>
      <c r="G489" s="2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3:35" x14ac:dyDescent="0.2">
      <c r="C490" s="8"/>
      <c r="D490" s="1"/>
      <c r="E490" s="1"/>
      <c r="F490" s="1"/>
      <c r="G490" s="2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3:35" x14ac:dyDescent="0.2">
      <c r="C491" s="8"/>
      <c r="D491" s="1"/>
      <c r="E491" s="1"/>
      <c r="F491" s="1"/>
      <c r="G491" s="2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3:35" x14ac:dyDescent="0.2">
      <c r="C492" s="8"/>
      <c r="D492" s="1"/>
      <c r="E492" s="1"/>
      <c r="F492" s="1"/>
      <c r="G492" s="2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3:35" x14ac:dyDescent="0.2">
      <c r="C493" s="8"/>
      <c r="D493" s="1"/>
      <c r="E493" s="1"/>
      <c r="F493" s="1"/>
      <c r="G493" s="2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3:35" x14ac:dyDescent="0.2">
      <c r="C494" s="8"/>
      <c r="D494" s="1"/>
      <c r="E494" s="1"/>
      <c r="F494" s="1"/>
      <c r="G494" s="2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3:35" x14ac:dyDescent="0.2">
      <c r="C495" s="8"/>
      <c r="D495" s="1"/>
      <c r="E495" s="1"/>
      <c r="F495" s="1"/>
      <c r="G495" s="2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3:35" x14ac:dyDescent="0.2">
      <c r="C496" s="8"/>
      <c r="D496" s="1"/>
      <c r="E496" s="1"/>
      <c r="F496" s="1"/>
      <c r="G496" s="2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3:35" x14ac:dyDescent="0.2">
      <c r="C497" s="8"/>
      <c r="D497" s="1"/>
      <c r="E497" s="1"/>
      <c r="F497" s="1"/>
      <c r="G497" s="2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3:35" x14ac:dyDescent="0.2">
      <c r="C498" s="8"/>
      <c r="D498" s="1"/>
      <c r="E498" s="1"/>
      <c r="F498" s="1"/>
      <c r="G498" s="2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3:35" x14ac:dyDescent="0.2">
      <c r="C499" s="8"/>
      <c r="D499" s="1"/>
      <c r="E499" s="1"/>
      <c r="F499" s="1"/>
      <c r="G499" s="2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3:35" x14ac:dyDescent="0.2">
      <c r="C500" s="8"/>
      <c r="D500" s="1"/>
      <c r="E500" s="1"/>
      <c r="F500" s="1"/>
      <c r="G500" s="2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3:35" x14ac:dyDescent="0.2">
      <c r="C501" s="8"/>
      <c r="D501" s="1"/>
      <c r="E501" s="1"/>
      <c r="F501" s="1"/>
      <c r="G501" s="2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3:35" x14ac:dyDescent="0.2">
      <c r="C502" s="8"/>
      <c r="D502" s="1"/>
      <c r="E502" s="1"/>
      <c r="F502" s="1"/>
      <c r="G502" s="2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3:35" x14ac:dyDescent="0.2">
      <c r="C503" s="8"/>
      <c r="D503" s="1"/>
      <c r="E503" s="1"/>
      <c r="F503" s="1"/>
      <c r="G503" s="2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3:35" x14ac:dyDescent="0.2">
      <c r="C504" s="8"/>
      <c r="D504" s="1"/>
      <c r="E504" s="1"/>
      <c r="F504" s="1"/>
      <c r="G504" s="2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3:35" x14ac:dyDescent="0.2">
      <c r="C505" s="8"/>
      <c r="D505" s="1"/>
      <c r="E505" s="1"/>
      <c r="F505" s="1"/>
      <c r="G505" s="2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3:35" x14ac:dyDescent="0.2">
      <c r="C506" s="8"/>
      <c r="D506" s="1"/>
      <c r="E506" s="1"/>
      <c r="F506" s="1"/>
      <c r="G506" s="2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3:35" x14ac:dyDescent="0.2">
      <c r="C507" s="8"/>
      <c r="D507" s="1"/>
      <c r="E507" s="1"/>
      <c r="F507" s="1"/>
      <c r="G507" s="2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3:35" x14ac:dyDescent="0.2">
      <c r="C508" s="8"/>
      <c r="D508" s="1"/>
      <c r="E508" s="1"/>
      <c r="F508" s="1"/>
      <c r="G508" s="2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3:35" x14ac:dyDescent="0.2">
      <c r="C509" s="8"/>
      <c r="D509" s="1"/>
      <c r="E509" s="1"/>
      <c r="F509" s="1"/>
      <c r="G509" s="2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3:35" x14ac:dyDescent="0.2">
      <c r="C510" s="8"/>
      <c r="D510" s="1"/>
      <c r="E510" s="1"/>
      <c r="F510" s="1"/>
      <c r="G510" s="2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3:35" x14ac:dyDescent="0.2">
      <c r="C511" s="8"/>
      <c r="D511" s="1"/>
      <c r="E511" s="1"/>
      <c r="F511" s="1"/>
      <c r="G511" s="2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3:35" x14ac:dyDescent="0.2">
      <c r="C512" s="8"/>
      <c r="D512" s="1"/>
      <c r="E512" s="1"/>
      <c r="F512" s="1"/>
      <c r="G512" s="2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3:35" x14ac:dyDescent="0.2">
      <c r="C513" s="8"/>
      <c r="D513" s="1"/>
      <c r="E513" s="1"/>
      <c r="F513" s="1"/>
      <c r="G513" s="2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3:35" x14ac:dyDescent="0.2">
      <c r="C514" s="8"/>
      <c r="D514" s="1"/>
      <c r="E514" s="1"/>
      <c r="F514" s="1"/>
      <c r="G514" s="2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3:35" x14ac:dyDescent="0.2">
      <c r="C515" s="8"/>
      <c r="D515" s="1"/>
      <c r="E515" s="1"/>
      <c r="F515" s="1"/>
      <c r="G515" s="2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3:35" x14ac:dyDescent="0.2">
      <c r="C516" s="8"/>
      <c r="D516" s="1"/>
      <c r="E516" s="1"/>
      <c r="F516" s="1"/>
      <c r="G516" s="2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3:35" x14ac:dyDescent="0.2">
      <c r="C517" s="8"/>
      <c r="D517" s="1"/>
      <c r="E517" s="1"/>
      <c r="F517" s="1"/>
      <c r="G517" s="2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3:35" x14ac:dyDescent="0.2">
      <c r="C518" s="8"/>
      <c r="D518" s="1"/>
      <c r="E518" s="1"/>
      <c r="F518" s="1"/>
      <c r="G518" s="2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3:35" x14ac:dyDescent="0.2">
      <c r="C519" s="8"/>
      <c r="D519" s="1"/>
      <c r="E519" s="1"/>
      <c r="F519" s="1"/>
      <c r="G519" s="2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3:35" x14ac:dyDescent="0.2">
      <c r="C520" s="8"/>
      <c r="D520" s="1"/>
      <c r="E520" s="1"/>
      <c r="F520" s="1"/>
      <c r="G520" s="2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3:35" x14ac:dyDescent="0.2">
      <c r="C521" s="8"/>
      <c r="D521" s="1"/>
      <c r="E521" s="1"/>
      <c r="F521" s="1"/>
      <c r="G521" s="2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3:35" x14ac:dyDescent="0.2">
      <c r="C522" s="8"/>
      <c r="D522" s="1"/>
      <c r="E522" s="1"/>
      <c r="F522" s="1"/>
      <c r="G522" s="2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3:35" x14ac:dyDescent="0.2">
      <c r="C523" s="8"/>
      <c r="D523" s="1"/>
      <c r="E523" s="1"/>
      <c r="F523" s="1"/>
      <c r="G523" s="2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3:35" x14ac:dyDescent="0.2">
      <c r="C524" s="8"/>
      <c r="D524" s="1"/>
      <c r="E524" s="1"/>
      <c r="F524" s="1"/>
      <c r="G524" s="2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3:35" x14ac:dyDescent="0.2">
      <c r="C525" s="8"/>
      <c r="D525" s="1"/>
      <c r="E525" s="1"/>
      <c r="F525" s="1"/>
      <c r="G525" s="2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3:35" x14ac:dyDescent="0.2">
      <c r="C526" s="8"/>
      <c r="D526" s="1"/>
      <c r="E526" s="1"/>
      <c r="F526" s="1"/>
      <c r="G526" s="2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3:35" x14ac:dyDescent="0.2">
      <c r="C527" s="8"/>
      <c r="D527" s="1"/>
      <c r="E527" s="1"/>
      <c r="F527" s="1"/>
      <c r="G527" s="2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3:35" x14ac:dyDescent="0.2">
      <c r="C528" s="8"/>
      <c r="D528" s="1"/>
      <c r="E528" s="1"/>
      <c r="F528" s="1"/>
      <c r="G528" s="2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3:35" x14ac:dyDescent="0.2">
      <c r="C529" s="8"/>
      <c r="D529" s="1"/>
      <c r="E529" s="1"/>
      <c r="F529" s="1"/>
      <c r="G529" s="2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3:35" x14ac:dyDescent="0.2">
      <c r="C530" s="8"/>
      <c r="D530" s="1"/>
      <c r="E530" s="1"/>
      <c r="F530" s="1"/>
      <c r="G530" s="2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3:35" x14ac:dyDescent="0.2">
      <c r="C531" s="8"/>
      <c r="D531" s="1"/>
      <c r="E531" s="1"/>
      <c r="F531" s="1"/>
      <c r="G531" s="2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</sheetData>
  <sheetProtection password="CF7A" sheet="1" objects="1" scenarios="1" insertRows="0" sort="0" autoFilter="0"/>
  <mergeCells count="6">
    <mergeCell ref="D7:D8"/>
    <mergeCell ref="E7:E8"/>
    <mergeCell ref="H7:H8"/>
    <mergeCell ref="I7:I8"/>
    <mergeCell ref="C7:C8"/>
    <mergeCell ref="G7:G8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customProperties>
    <customPr name="DVSECTION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X640"/>
  <sheetViews>
    <sheetView zoomScale="98" zoomScaleNormal="98" workbookViewId="0">
      <selection activeCell="G23" sqref="G23"/>
    </sheetView>
  </sheetViews>
  <sheetFormatPr defaultRowHeight="12.75" x14ac:dyDescent="0.2"/>
  <sheetData>
    <row r="1" spans="6:10" s="1" customFormat="1" x14ac:dyDescent="0.2"/>
    <row r="2" spans="6:10" s="1" customFormat="1" x14ac:dyDescent="0.2"/>
    <row r="3" spans="6:10" s="1" customFormat="1" x14ac:dyDescent="0.2"/>
    <row r="4" spans="6:10" s="1" customFormat="1" x14ac:dyDescent="0.2"/>
    <row r="5" spans="6:10" s="1" customFormat="1" x14ac:dyDescent="0.2"/>
    <row r="6" spans="6:10" s="1" customFormat="1" x14ac:dyDescent="0.2"/>
    <row r="7" spans="6:10" s="1" customFormat="1" x14ac:dyDescent="0.2"/>
    <row r="8" spans="6:10" s="1" customFormat="1" x14ac:dyDescent="0.2"/>
    <row r="9" spans="6:10" s="1" customFormat="1" x14ac:dyDescent="0.2"/>
    <row r="10" spans="6:10" s="1" customFormat="1" x14ac:dyDescent="0.2"/>
    <row r="11" spans="6:10" s="1" customFormat="1" x14ac:dyDescent="0.2"/>
    <row r="12" spans="6:10" s="1" customFormat="1" ht="12.75" customHeight="1" x14ac:dyDescent="0.2">
      <c r="F12" s="48" t="s">
        <v>14</v>
      </c>
      <c r="G12" s="48"/>
      <c r="H12" s="48"/>
      <c r="I12" s="48"/>
      <c r="J12" s="48"/>
    </row>
    <row r="13" spans="6:10" s="1" customFormat="1" ht="12.75" customHeight="1" x14ac:dyDescent="0.2">
      <c r="F13" s="48"/>
      <c r="G13" s="48"/>
      <c r="H13" s="48"/>
      <c r="I13" s="48"/>
      <c r="J13" s="48"/>
    </row>
    <row r="14" spans="6:10" s="1" customFormat="1" ht="12.75" customHeight="1" x14ac:dyDescent="0.2">
      <c r="F14" s="48"/>
      <c r="G14" s="48"/>
      <c r="H14" s="48"/>
      <c r="I14" s="48"/>
      <c r="J14" s="48"/>
    </row>
    <row r="15" spans="6:10" s="1" customFormat="1" ht="12.75" customHeight="1" x14ac:dyDescent="0.2">
      <c r="F15" s="48"/>
      <c r="G15" s="48"/>
      <c r="H15" s="48"/>
      <c r="I15" s="48"/>
      <c r="J15" s="48"/>
    </row>
    <row r="16" spans="6:10" s="1" customFormat="1" ht="12.75" customHeight="1" x14ac:dyDescent="0.2">
      <c r="F16" s="48"/>
      <c r="G16" s="48"/>
      <c r="H16" s="48"/>
      <c r="I16" s="48"/>
      <c r="J16" s="48"/>
    </row>
    <row r="17" spans="6:10" s="1" customFormat="1" ht="12.75" customHeight="1" x14ac:dyDescent="0.2">
      <c r="F17" s="48"/>
      <c r="G17" s="48"/>
      <c r="H17" s="48"/>
      <c r="I17" s="48"/>
      <c r="J17" s="48"/>
    </row>
    <row r="18" spans="6:10" s="1" customFormat="1" x14ac:dyDescent="0.2"/>
    <row r="19" spans="6:10" s="1" customFormat="1" x14ac:dyDescent="0.2"/>
    <row r="20" spans="6:10" s="1" customFormat="1" x14ac:dyDescent="0.2"/>
    <row r="21" spans="6:10" s="1" customFormat="1" x14ac:dyDescent="0.2"/>
    <row r="22" spans="6:10" s="1" customFormat="1" x14ac:dyDescent="0.2"/>
    <row r="23" spans="6:10" s="1" customFormat="1" x14ac:dyDescent="0.2"/>
    <row r="24" spans="6:10" s="1" customFormat="1" x14ac:dyDescent="0.2"/>
    <row r="25" spans="6:10" s="1" customFormat="1" x14ac:dyDescent="0.2"/>
    <row r="26" spans="6:10" s="1" customFormat="1" x14ac:dyDescent="0.2"/>
    <row r="27" spans="6:10" s="1" customFormat="1" x14ac:dyDescent="0.2"/>
    <row r="28" spans="6:10" s="1" customFormat="1" x14ac:dyDescent="0.2"/>
    <row r="29" spans="6:10" s="1" customFormat="1" x14ac:dyDescent="0.2"/>
    <row r="30" spans="6:10" s="1" customFormat="1" x14ac:dyDescent="0.2"/>
    <row r="31" spans="6:10" s="1" customFormat="1" x14ac:dyDescent="0.2"/>
    <row r="32" spans="6:10" s="1" customFormat="1" x14ac:dyDescent="0.2"/>
    <row r="33" s="1" customFormat="1" x14ac:dyDescent="0.2"/>
    <row r="34" s="1" customFormat="1" x14ac:dyDescent="0.2"/>
    <row r="35" s="1" customFormat="1" x14ac:dyDescent="0.2"/>
    <row r="36" s="1" customFormat="1" x14ac:dyDescent="0.2"/>
    <row r="37" s="1" customFormat="1" x14ac:dyDescent="0.2"/>
    <row r="38" s="1" customFormat="1" x14ac:dyDescent="0.2"/>
    <row r="39" s="1" customFormat="1" x14ac:dyDescent="0.2"/>
    <row r="40" s="1" customFormat="1" x14ac:dyDescent="0.2"/>
    <row r="41" s="1" customFormat="1" x14ac:dyDescent="0.2"/>
    <row r="42" s="1" customFormat="1" x14ac:dyDescent="0.2"/>
    <row r="43" s="1" customFormat="1" x14ac:dyDescent="0.2"/>
    <row r="44" s="1" customFormat="1" x14ac:dyDescent="0.2"/>
    <row r="45" s="1" customFormat="1" x14ac:dyDescent="0.2"/>
    <row r="46" s="1" customFormat="1" x14ac:dyDescent="0.2"/>
    <row r="47" s="1" customFormat="1" x14ac:dyDescent="0.2"/>
    <row r="48" s="1" customFormat="1" x14ac:dyDescent="0.2"/>
    <row r="49" s="1" customFormat="1" x14ac:dyDescent="0.2"/>
    <row r="50" s="1" customFormat="1" x14ac:dyDescent="0.2"/>
    <row r="51" s="1" customFormat="1" x14ac:dyDescent="0.2"/>
    <row r="52" s="1" customFormat="1" x14ac:dyDescent="0.2"/>
    <row r="53" s="1" customFormat="1" x14ac:dyDescent="0.2"/>
    <row r="54" s="1" customFormat="1" x14ac:dyDescent="0.2"/>
    <row r="55" s="1" customFormat="1" x14ac:dyDescent="0.2"/>
    <row r="56" s="1" customFormat="1" x14ac:dyDescent="0.2"/>
    <row r="57" s="1" customFormat="1" x14ac:dyDescent="0.2"/>
    <row r="58" s="1" customFormat="1" x14ac:dyDescent="0.2"/>
    <row r="59" s="1" customFormat="1" x14ac:dyDescent="0.2"/>
    <row r="60" s="1" customFormat="1" x14ac:dyDescent="0.2"/>
    <row r="61" s="1" customFormat="1" x14ac:dyDescent="0.2"/>
    <row r="62" s="1" customFormat="1" x14ac:dyDescent="0.2"/>
    <row r="63" s="1" customFormat="1" x14ac:dyDescent="0.2"/>
    <row r="64" s="1" customFormat="1" x14ac:dyDescent="0.2"/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  <row r="94" s="1" customFormat="1" x14ac:dyDescent="0.2"/>
    <row r="95" s="1" customFormat="1" x14ac:dyDescent="0.2"/>
    <row r="96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  <row r="102" s="1" customFormat="1" x14ac:dyDescent="0.2"/>
    <row r="103" s="1" customFormat="1" x14ac:dyDescent="0.2"/>
    <row r="104" s="1" customFormat="1" x14ac:dyDescent="0.2"/>
    <row r="105" s="1" customFormat="1" x14ac:dyDescent="0.2"/>
    <row r="106" s="1" customFormat="1" x14ac:dyDescent="0.2"/>
    <row r="107" s="1" customFormat="1" x14ac:dyDescent="0.2"/>
    <row r="108" s="1" customFormat="1" x14ac:dyDescent="0.2"/>
    <row r="109" s="1" customFormat="1" x14ac:dyDescent="0.2"/>
    <row r="110" s="1" customFormat="1" x14ac:dyDescent="0.2"/>
    <row r="111" s="1" customFormat="1" x14ac:dyDescent="0.2"/>
    <row r="112" s="1" customFormat="1" x14ac:dyDescent="0.2"/>
    <row r="113" s="1" customFormat="1" x14ac:dyDescent="0.2"/>
    <row r="114" s="1" customFormat="1" x14ac:dyDescent="0.2"/>
    <row r="115" s="1" customFormat="1" x14ac:dyDescent="0.2"/>
    <row r="116" s="1" customFormat="1" x14ac:dyDescent="0.2"/>
    <row r="117" s="1" customFormat="1" x14ac:dyDescent="0.2"/>
    <row r="118" s="1" customFormat="1" x14ac:dyDescent="0.2"/>
    <row r="119" s="1" customFormat="1" x14ac:dyDescent="0.2"/>
    <row r="120" s="1" customFormat="1" x14ac:dyDescent="0.2"/>
    <row r="121" s="1" customFormat="1" x14ac:dyDescent="0.2"/>
    <row r="122" s="1" customFormat="1" x14ac:dyDescent="0.2"/>
    <row r="123" s="1" customFormat="1" x14ac:dyDescent="0.2"/>
    <row r="124" s="1" customFormat="1" x14ac:dyDescent="0.2"/>
    <row r="125" s="1" customFormat="1" x14ac:dyDescent="0.2"/>
    <row r="126" s="1" customFormat="1" x14ac:dyDescent="0.2"/>
    <row r="127" s="1" customFormat="1" x14ac:dyDescent="0.2"/>
    <row r="128" s="1" customFormat="1" x14ac:dyDescent="0.2"/>
    <row r="129" s="1" customFormat="1" x14ac:dyDescent="0.2"/>
    <row r="130" s="1" customFormat="1" x14ac:dyDescent="0.2"/>
    <row r="131" s="1" customFormat="1" x14ac:dyDescent="0.2"/>
    <row r="132" s="1" customFormat="1" x14ac:dyDescent="0.2"/>
    <row r="133" s="1" customFormat="1" x14ac:dyDescent="0.2"/>
    <row r="134" s="1" customFormat="1" x14ac:dyDescent="0.2"/>
    <row r="135" s="1" customFormat="1" x14ac:dyDescent="0.2"/>
    <row r="136" s="1" customFormat="1" x14ac:dyDescent="0.2"/>
    <row r="137" s="1" customFormat="1" x14ac:dyDescent="0.2"/>
    <row r="138" s="1" customFormat="1" x14ac:dyDescent="0.2"/>
    <row r="139" s="1" customFormat="1" x14ac:dyDescent="0.2"/>
    <row r="140" s="1" customFormat="1" x14ac:dyDescent="0.2"/>
    <row r="141" s="1" customFormat="1" x14ac:dyDescent="0.2"/>
    <row r="142" s="1" customFormat="1" x14ac:dyDescent="0.2"/>
    <row r="143" s="1" customFormat="1" x14ac:dyDescent="0.2"/>
    <row r="144" s="1" customFormat="1" x14ac:dyDescent="0.2"/>
    <row r="145" s="1" customFormat="1" x14ac:dyDescent="0.2"/>
    <row r="146" s="1" customFormat="1" x14ac:dyDescent="0.2"/>
    <row r="147" s="1" customFormat="1" x14ac:dyDescent="0.2"/>
    <row r="148" s="1" customFormat="1" x14ac:dyDescent="0.2"/>
    <row r="149" s="1" customFormat="1" x14ac:dyDescent="0.2"/>
    <row r="150" s="1" customFormat="1" x14ac:dyDescent="0.2"/>
    <row r="151" s="1" customFormat="1" x14ac:dyDescent="0.2"/>
    <row r="152" s="1" customFormat="1" x14ac:dyDescent="0.2"/>
    <row r="153" s="1" customFormat="1" x14ac:dyDescent="0.2"/>
    <row r="154" s="1" customFormat="1" x14ac:dyDescent="0.2"/>
    <row r="155" s="1" customFormat="1" x14ac:dyDescent="0.2"/>
    <row r="156" s="1" customFormat="1" x14ac:dyDescent="0.2"/>
    <row r="157" s="1" customFormat="1" x14ac:dyDescent="0.2"/>
    <row r="158" s="1" customFormat="1" x14ac:dyDescent="0.2"/>
    <row r="159" s="1" customFormat="1" x14ac:dyDescent="0.2"/>
    <row r="160" s="1" customFormat="1" x14ac:dyDescent="0.2"/>
    <row r="161" s="1" customFormat="1" x14ac:dyDescent="0.2"/>
    <row r="162" s="1" customFormat="1" x14ac:dyDescent="0.2"/>
    <row r="163" s="1" customFormat="1" x14ac:dyDescent="0.2"/>
    <row r="164" s="1" customFormat="1" x14ac:dyDescent="0.2"/>
    <row r="165" s="1" customFormat="1" x14ac:dyDescent="0.2"/>
    <row r="166" s="1" customFormat="1" x14ac:dyDescent="0.2"/>
    <row r="167" s="1" customFormat="1" x14ac:dyDescent="0.2"/>
    <row r="168" s="1" customFormat="1" x14ac:dyDescent="0.2"/>
    <row r="169" s="1" customFormat="1" x14ac:dyDescent="0.2"/>
    <row r="170" s="1" customFormat="1" x14ac:dyDescent="0.2"/>
    <row r="171" s="1" customFormat="1" x14ac:dyDescent="0.2"/>
    <row r="172" s="1" customFormat="1" x14ac:dyDescent="0.2"/>
    <row r="173" s="1" customFormat="1" x14ac:dyDescent="0.2"/>
    <row r="174" s="1" customFormat="1" x14ac:dyDescent="0.2"/>
    <row r="175" s="1" customFormat="1" x14ac:dyDescent="0.2"/>
    <row r="176" s="1" customFormat="1" x14ac:dyDescent="0.2"/>
    <row r="177" s="1" customFormat="1" x14ac:dyDescent="0.2"/>
    <row r="178" s="1" customFormat="1" x14ac:dyDescent="0.2"/>
    <row r="179" s="1" customFormat="1" x14ac:dyDescent="0.2"/>
    <row r="180" s="1" customFormat="1" x14ac:dyDescent="0.2"/>
    <row r="181" s="1" customFormat="1" x14ac:dyDescent="0.2"/>
    <row r="182" s="1" customFormat="1" x14ac:dyDescent="0.2"/>
    <row r="183" s="1" customFormat="1" x14ac:dyDescent="0.2"/>
    <row r="184" s="1" customFormat="1" x14ac:dyDescent="0.2"/>
    <row r="185" s="1" customFormat="1" x14ac:dyDescent="0.2"/>
    <row r="186" s="1" customFormat="1" x14ac:dyDescent="0.2"/>
    <row r="187" s="1" customFormat="1" x14ac:dyDescent="0.2"/>
    <row r="188" s="1" customFormat="1" x14ac:dyDescent="0.2"/>
    <row r="189" s="1" customFormat="1" x14ac:dyDescent="0.2"/>
    <row r="190" s="1" customFormat="1" x14ac:dyDescent="0.2"/>
    <row r="191" s="1" customFormat="1" x14ac:dyDescent="0.2"/>
    <row r="192" s="1" customFormat="1" x14ac:dyDescent="0.2"/>
    <row r="193" s="1" customFormat="1" x14ac:dyDescent="0.2"/>
    <row r="194" s="1" customFormat="1" x14ac:dyDescent="0.2"/>
    <row r="195" s="1" customFormat="1" x14ac:dyDescent="0.2"/>
    <row r="196" s="1" customFormat="1" x14ac:dyDescent="0.2"/>
    <row r="197" s="1" customFormat="1" x14ac:dyDescent="0.2"/>
    <row r="198" s="1" customFormat="1" x14ac:dyDescent="0.2"/>
    <row r="199" s="1" customFormat="1" x14ac:dyDescent="0.2"/>
    <row r="200" s="1" customFormat="1" x14ac:dyDescent="0.2"/>
    <row r="201" s="1" customFormat="1" x14ac:dyDescent="0.2"/>
    <row r="202" s="1" customFormat="1" x14ac:dyDescent="0.2"/>
    <row r="203" s="1" customFormat="1" x14ac:dyDescent="0.2"/>
    <row r="204" s="1" customFormat="1" x14ac:dyDescent="0.2"/>
    <row r="205" s="1" customFormat="1" x14ac:dyDescent="0.2"/>
    <row r="206" s="1" customFormat="1" x14ac:dyDescent="0.2"/>
    <row r="207" s="1" customFormat="1" x14ac:dyDescent="0.2"/>
    <row r="208" s="1" customFormat="1" x14ac:dyDescent="0.2"/>
    <row r="209" s="1" customFormat="1" x14ac:dyDescent="0.2"/>
    <row r="210" s="1" customFormat="1" x14ac:dyDescent="0.2"/>
    <row r="211" s="1" customFormat="1" x14ac:dyDescent="0.2"/>
    <row r="212" s="1" customFormat="1" x14ac:dyDescent="0.2"/>
    <row r="213" s="1" customFormat="1" x14ac:dyDescent="0.2"/>
    <row r="214" s="1" customFormat="1" x14ac:dyDescent="0.2"/>
    <row r="215" s="1" customFormat="1" x14ac:dyDescent="0.2"/>
    <row r="216" s="1" customFormat="1" x14ac:dyDescent="0.2"/>
    <row r="217" s="1" customFormat="1" x14ac:dyDescent="0.2"/>
    <row r="218" s="1" customFormat="1" x14ac:dyDescent="0.2"/>
    <row r="219" s="1" customFormat="1" x14ac:dyDescent="0.2"/>
    <row r="220" s="1" customFormat="1" x14ac:dyDescent="0.2"/>
    <row r="221" s="1" customFormat="1" x14ac:dyDescent="0.2"/>
    <row r="222" s="1" customFormat="1" x14ac:dyDescent="0.2"/>
    <row r="223" s="1" customFormat="1" x14ac:dyDescent="0.2"/>
    <row r="224" s="1" customFormat="1" x14ac:dyDescent="0.2"/>
    <row r="225" s="1" customFormat="1" x14ac:dyDescent="0.2"/>
    <row r="226" s="1" customFormat="1" x14ac:dyDescent="0.2"/>
    <row r="227" s="1" customFormat="1" x14ac:dyDescent="0.2"/>
    <row r="228" s="1" customFormat="1" x14ac:dyDescent="0.2"/>
    <row r="229" s="1" customFormat="1" x14ac:dyDescent="0.2"/>
    <row r="230" s="1" customFormat="1" x14ac:dyDescent="0.2"/>
    <row r="231" s="1" customFormat="1" x14ac:dyDescent="0.2"/>
    <row r="232" s="1" customFormat="1" x14ac:dyDescent="0.2"/>
    <row r="233" s="1" customFormat="1" x14ac:dyDescent="0.2"/>
    <row r="234" s="1" customFormat="1" x14ac:dyDescent="0.2"/>
    <row r="235" s="1" customFormat="1" x14ac:dyDescent="0.2"/>
    <row r="236" s="1" customFormat="1" x14ac:dyDescent="0.2"/>
    <row r="237" s="1" customFormat="1" x14ac:dyDescent="0.2"/>
    <row r="238" s="1" customFormat="1" x14ac:dyDescent="0.2"/>
    <row r="239" s="1" customFormat="1" x14ac:dyDescent="0.2"/>
    <row r="240" s="1" customFormat="1" x14ac:dyDescent="0.2"/>
    <row r="241" s="1" customFormat="1" x14ac:dyDescent="0.2"/>
    <row r="242" s="1" customFormat="1" x14ac:dyDescent="0.2"/>
    <row r="243" s="1" customFormat="1" x14ac:dyDescent="0.2"/>
    <row r="244" s="1" customFormat="1" x14ac:dyDescent="0.2"/>
    <row r="245" s="1" customFormat="1" x14ac:dyDescent="0.2"/>
    <row r="246" s="1" customFormat="1" x14ac:dyDescent="0.2"/>
    <row r="247" s="1" customFormat="1" x14ac:dyDescent="0.2"/>
    <row r="248" s="1" customFormat="1" x14ac:dyDescent="0.2"/>
    <row r="249" s="1" customFormat="1" x14ac:dyDescent="0.2"/>
    <row r="250" s="1" customFormat="1" x14ac:dyDescent="0.2"/>
    <row r="251" s="1" customFormat="1" x14ac:dyDescent="0.2"/>
    <row r="252" s="1" customFormat="1" x14ac:dyDescent="0.2"/>
    <row r="253" s="1" customFormat="1" x14ac:dyDescent="0.2"/>
    <row r="254" s="1" customFormat="1" x14ac:dyDescent="0.2"/>
    <row r="255" s="1" customFormat="1" x14ac:dyDescent="0.2"/>
    <row r="256" s="1" customFormat="1" x14ac:dyDescent="0.2"/>
    <row r="257" s="1" customFormat="1" x14ac:dyDescent="0.2"/>
    <row r="258" s="1" customFormat="1" x14ac:dyDescent="0.2"/>
    <row r="259" s="1" customFormat="1" x14ac:dyDescent="0.2"/>
    <row r="260" s="1" customFormat="1" x14ac:dyDescent="0.2"/>
    <row r="261" s="1" customFormat="1" x14ac:dyDescent="0.2"/>
    <row r="262" s="1" customFormat="1" x14ac:dyDescent="0.2"/>
    <row r="263" s="1" customFormat="1" x14ac:dyDescent="0.2"/>
    <row r="264" s="1" customFormat="1" x14ac:dyDescent="0.2"/>
    <row r="265" s="1" customFormat="1" x14ac:dyDescent="0.2"/>
    <row r="266" s="1" customFormat="1" x14ac:dyDescent="0.2"/>
    <row r="267" s="1" customFormat="1" x14ac:dyDescent="0.2"/>
    <row r="268" s="1" customFormat="1" x14ac:dyDescent="0.2"/>
    <row r="269" s="1" customFormat="1" x14ac:dyDescent="0.2"/>
    <row r="270" s="1" customFormat="1" x14ac:dyDescent="0.2"/>
    <row r="271" s="1" customFormat="1" x14ac:dyDescent="0.2"/>
    <row r="272" s="1" customFormat="1" x14ac:dyDescent="0.2"/>
    <row r="273" s="1" customFormat="1" x14ac:dyDescent="0.2"/>
    <row r="274" s="1" customFormat="1" x14ac:dyDescent="0.2"/>
    <row r="275" s="1" customFormat="1" x14ac:dyDescent="0.2"/>
    <row r="276" s="1" customFormat="1" x14ac:dyDescent="0.2"/>
    <row r="277" s="1" customFormat="1" x14ac:dyDescent="0.2"/>
    <row r="278" s="1" customFormat="1" x14ac:dyDescent="0.2"/>
    <row r="279" s="1" customFormat="1" x14ac:dyDescent="0.2"/>
    <row r="280" s="1" customFormat="1" x14ac:dyDescent="0.2"/>
    <row r="281" s="1" customFormat="1" x14ac:dyDescent="0.2"/>
    <row r="282" s="1" customFormat="1" x14ac:dyDescent="0.2"/>
    <row r="283" s="1" customFormat="1" x14ac:dyDescent="0.2"/>
    <row r="284" s="1" customFormat="1" x14ac:dyDescent="0.2"/>
    <row r="285" s="1" customFormat="1" x14ac:dyDescent="0.2"/>
    <row r="286" s="1" customFormat="1" x14ac:dyDescent="0.2"/>
    <row r="287" s="1" customFormat="1" x14ac:dyDescent="0.2"/>
    <row r="288" s="1" customFormat="1" x14ac:dyDescent="0.2"/>
    <row r="289" s="1" customFormat="1" x14ac:dyDescent="0.2"/>
    <row r="290" s="1" customFormat="1" x14ac:dyDescent="0.2"/>
    <row r="291" s="1" customFormat="1" x14ac:dyDescent="0.2"/>
    <row r="292" s="1" customFormat="1" x14ac:dyDescent="0.2"/>
    <row r="293" s="1" customFormat="1" x14ac:dyDescent="0.2"/>
    <row r="294" s="1" customFormat="1" x14ac:dyDescent="0.2"/>
    <row r="295" s="1" customFormat="1" x14ac:dyDescent="0.2"/>
    <row r="296" s="1" customFormat="1" x14ac:dyDescent="0.2"/>
    <row r="297" s="1" customFormat="1" x14ac:dyDescent="0.2"/>
    <row r="298" s="1" customFormat="1" x14ac:dyDescent="0.2"/>
    <row r="299" s="1" customFormat="1" x14ac:dyDescent="0.2"/>
    <row r="300" s="1" customFormat="1" x14ac:dyDescent="0.2"/>
    <row r="301" s="1" customFormat="1" x14ac:dyDescent="0.2"/>
    <row r="302" s="1" customFormat="1" x14ac:dyDescent="0.2"/>
    <row r="303" s="1" customFormat="1" x14ac:dyDescent="0.2"/>
    <row r="304" s="1" customFormat="1" x14ac:dyDescent="0.2"/>
    <row r="305" s="1" customFormat="1" x14ac:dyDescent="0.2"/>
    <row r="306" s="1" customFormat="1" x14ac:dyDescent="0.2"/>
    <row r="307" s="1" customFormat="1" x14ac:dyDescent="0.2"/>
    <row r="308" s="1" customFormat="1" x14ac:dyDescent="0.2"/>
    <row r="309" s="1" customFormat="1" x14ac:dyDescent="0.2"/>
    <row r="310" s="1" customFormat="1" x14ac:dyDescent="0.2"/>
    <row r="311" s="1" customFormat="1" x14ac:dyDescent="0.2"/>
    <row r="312" s="1" customFormat="1" x14ac:dyDescent="0.2"/>
    <row r="313" s="1" customFormat="1" x14ac:dyDescent="0.2"/>
    <row r="314" s="1" customFormat="1" x14ac:dyDescent="0.2"/>
    <row r="315" s="1" customFormat="1" x14ac:dyDescent="0.2"/>
    <row r="316" s="1" customFormat="1" x14ac:dyDescent="0.2"/>
    <row r="317" s="1" customFormat="1" x14ac:dyDescent="0.2"/>
    <row r="318" s="1" customFormat="1" x14ac:dyDescent="0.2"/>
    <row r="319" s="1" customFormat="1" x14ac:dyDescent="0.2"/>
    <row r="320" s="1" customFormat="1" x14ac:dyDescent="0.2"/>
    <row r="321" s="1" customFormat="1" x14ac:dyDescent="0.2"/>
    <row r="322" s="1" customFormat="1" x14ac:dyDescent="0.2"/>
    <row r="323" s="1" customFormat="1" x14ac:dyDescent="0.2"/>
    <row r="324" s="1" customFormat="1" x14ac:dyDescent="0.2"/>
    <row r="325" s="1" customFormat="1" x14ac:dyDescent="0.2"/>
    <row r="326" s="1" customFormat="1" x14ac:dyDescent="0.2"/>
    <row r="327" s="1" customFormat="1" x14ac:dyDescent="0.2"/>
    <row r="328" s="1" customFormat="1" x14ac:dyDescent="0.2"/>
    <row r="329" s="1" customFormat="1" x14ac:dyDescent="0.2"/>
    <row r="330" s="1" customFormat="1" x14ac:dyDescent="0.2"/>
    <row r="331" s="1" customFormat="1" x14ac:dyDescent="0.2"/>
    <row r="332" s="1" customFormat="1" x14ac:dyDescent="0.2"/>
    <row r="333" s="1" customFormat="1" x14ac:dyDescent="0.2"/>
    <row r="334" s="1" customFormat="1" x14ac:dyDescent="0.2"/>
    <row r="335" s="1" customFormat="1" x14ac:dyDescent="0.2"/>
    <row r="336" s="1" customFormat="1" x14ac:dyDescent="0.2"/>
    <row r="337" s="1" customFormat="1" x14ac:dyDescent="0.2"/>
    <row r="338" s="1" customFormat="1" x14ac:dyDescent="0.2"/>
    <row r="339" s="1" customFormat="1" x14ac:dyDescent="0.2"/>
    <row r="340" s="1" customFormat="1" x14ac:dyDescent="0.2"/>
    <row r="341" s="1" customFormat="1" x14ac:dyDescent="0.2"/>
    <row r="342" s="1" customFormat="1" x14ac:dyDescent="0.2"/>
    <row r="343" s="1" customFormat="1" x14ac:dyDescent="0.2"/>
    <row r="344" s="1" customFormat="1" x14ac:dyDescent="0.2"/>
    <row r="345" s="1" customFormat="1" x14ac:dyDescent="0.2"/>
    <row r="346" s="1" customFormat="1" x14ac:dyDescent="0.2"/>
    <row r="347" s="1" customFormat="1" x14ac:dyDescent="0.2"/>
    <row r="348" s="1" customFormat="1" x14ac:dyDescent="0.2"/>
    <row r="349" s="1" customFormat="1" x14ac:dyDescent="0.2"/>
    <row r="350" s="1" customFormat="1" x14ac:dyDescent="0.2"/>
    <row r="351" s="1" customFormat="1" x14ac:dyDescent="0.2"/>
    <row r="352" s="1" customFormat="1" x14ac:dyDescent="0.2"/>
    <row r="353" s="1" customFormat="1" x14ac:dyDescent="0.2"/>
    <row r="354" s="1" customFormat="1" x14ac:dyDescent="0.2"/>
    <row r="355" s="1" customFormat="1" x14ac:dyDescent="0.2"/>
    <row r="356" s="1" customFormat="1" x14ac:dyDescent="0.2"/>
    <row r="357" s="1" customFormat="1" x14ac:dyDescent="0.2"/>
    <row r="358" s="1" customFormat="1" x14ac:dyDescent="0.2"/>
    <row r="359" s="1" customFormat="1" x14ac:dyDescent="0.2"/>
    <row r="360" s="1" customFormat="1" x14ac:dyDescent="0.2"/>
    <row r="361" s="1" customFormat="1" x14ac:dyDescent="0.2"/>
    <row r="362" s="1" customFormat="1" x14ac:dyDescent="0.2"/>
    <row r="363" s="1" customFormat="1" x14ac:dyDescent="0.2"/>
    <row r="364" s="1" customFormat="1" x14ac:dyDescent="0.2"/>
    <row r="365" s="1" customFormat="1" x14ac:dyDescent="0.2"/>
    <row r="366" s="1" customFormat="1" x14ac:dyDescent="0.2"/>
    <row r="367" s="1" customFormat="1" x14ac:dyDescent="0.2"/>
    <row r="368" s="1" customFormat="1" x14ac:dyDescent="0.2"/>
    <row r="369" s="1" customFormat="1" x14ac:dyDescent="0.2"/>
    <row r="370" s="1" customFormat="1" x14ac:dyDescent="0.2"/>
    <row r="371" s="1" customFormat="1" x14ac:dyDescent="0.2"/>
    <row r="372" s="1" customFormat="1" x14ac:dyDescent="0.2"/>
    <row r="373" s="1" customFormat="1" x14ac:dyDescent="0.2"/>
    <row r="374" s="1" customFormat="1" x14ac:dyDescent="0.2"/>
    <row r="375" s="1" customFormat="1" x14ac:dyDescent="0.2"/>
    <row r="376" s="1" customFormat="1" x14ac:dyDescent="0.2"/>
    <row r="377" s="1" customFormat="1" x14ac:dyDescent="0.2"/>
    <row r="378" s="1" customFormat="1" x14ac:dyDescent="0.2"/>
    <row r="379" s="1" customFormat="1" x14ac:dyDescent="0.2"/>
    <row r="380" s="1" customFormat="1" x14ac:dyDescent="0.2"/>
    <row r="381" s="1" customFormat="1" x14ac:dyDescent="0.2"/>
    <row r="382" s="1" customFormat="1" x14ac:dyDescent="0.2"/>
    <row r="383" s="1" customFormat="1" x14ac:dyDescent="0.2"/>
    <row r="384" s="1" customFormat="1" x14ac:dyDescent="0.2"/>
    <row r="385" s="1" customFormat="1" x14ac:dyDescent="0.2"/>
    <row r="386" s="1" customFormat="1" x14ac:dyDescent="0.2"/>
    <row r="387" s="1" customFormat="1" x14ac:dyDescent="0.2"/>
    <row r="388" s="1" customFormat="1" x14ac:dyDescent="0.2"/>
    <row r="389" s="1" customFormat="1" x14ac:dyDescent="0.2"/>
    <row r="390" s="1" customFormat="1" x14ac:dyDescent="0.2"/>
    <row r="391" s="1" customFormat="1" x14ac:dyDescent="0.2"/>
    <row r="392" s="1" customFormat="1" x14ac:dyDescent="0.2"/>
    <row r="393" s="1" customFormat="1" x14ac:dyDescent="0.2"/>
    <row r="394" s="1" customFormat="1" x14ac:dyDescent="0.2"/>
    <row r="395" s="1" customFormat="1" x14ac:dyDescent="0.2"/>
    <row r="396" s="1" customFormat="1" x14ac:dyDescent="0.2"/>
    <row r="397" s="1" customFormat="1" x14ac:dyDescent="0.2"/>
    <row r="398" s="1" customFormat="1" x14ac:dyDescent="0.2"/>
    <row r="399" s="1" customFormat="1" x14ac:dyDescent="0.2"/>
    <row r="400" s="1" customFormat="1" x14ac:dyDescent="0.2"/>
    <row r="401" s="1" customFormat="1" x14ac:dyDescent="0.2"/>
    <row r="402" s="1" customFormat="1" x14ac:dyDescent="0.2"/>
    <row r="403" s="1" customFormat="1" x14ac:dyDescent="0.2"/>
    <row r="404" s="1" customFormat="1" x14ac:dyDescent="0.2"/>
    <row r="405" s="1" customFormat="1" x14ac:dyDescent="0.2"/>
    <row r="406" s="1" customFormat="1" x14ac:dyDescent="0.2"/>
    <row r="407" s="1" customFormat="1" x14ac:dyDescent="0.2"/>
    <row r="408" s="1" customFormat="1" x14ac:dyDescent="0.2"/>
    <row r="409" s="1" customFormat="1" x14ac:dyDescent="0.2"/>
    <row r="410" s="1" customFormat="1" x14ac:dyDescent="0.2"/>
    <row r="411" s="1" customFormat="1" x14ac:dyDescent="0.2"/>
    <row r="412" s="1" customFormat="1" x14ac:dyDescent="0.2"/>
    <row r="413" s="1" customFormat="1" x14ac:dyDescent="0.2"/>
    <row r="414" s="1" customFormat="1" x14ac:dyDescent="0.2"/>
    <row r="415" s="1" customFormat="1" x14ac:dyDescent="0.2"/>
    <row r="416" s="1" customFormat="1" x14ac:dyDescent="0.2"/>
    <row r="417" s="1" customFormat="1" x14ac:dyDescent="0.2"/>
    <row r="418" s="1" customFormat="1" x14ac:dyDescent="0.2"/>
    <row r="419" s="1" customFormat="1" x14ac:dyDescent="0.2"/>
    <row r="420" s="1" customFormat="1" x14ac:dyDescent="0.2"/>
    <row r="421" s="1" customFormat="1" x14ac:dyDescent="0.2"/>
    <row r="422" s="1" customFormat="1" x14ac:dyDescent="0.2"/>
    <row r="423" s="1" customFormat="1" x14ac:dyDescent="0.2"/>
    <row r="424" s="1" customFormat="1" x14ac:dyDescent="0.2"/>
    <row r="425" s="1" customFormat="1" x14ac:dyDescent="0.2"/>
    <row r="426" s="1" customFormat="1" x14ac:dyDescent="0.2"/>
    <row r="427" s="1" customFormat="1" x14ac:dyDescent="0.2"/>
    <row r="428" s="1" customFormat="1" x14ac:dyDescent="0.2"/>
    <row r="429" s="1" customFormat="1" x14ac:dyDescent="0.2"/>
    <row r="430" s="1" customFormat="1" x14ac:dyDescent="0.2"/>
    <row r="431" s="1" customFormat="1" x14ac:dyDescent="0.2"/>
    <row r="432" s="1" customFormat="1" x14ac:dyDescent="0.2"/>
    <row r="433" s="1" customFormat="1" x14ac:dyDescent="0.2"/>
    <row r="434" s="1" customFormat="1" x14ac:dyDescent="0.2"/>
    <row r="435" s="1" customFormat="1" x14ac:dyDescent="0.2"/>
    <row r="436" s="1" customFormat="1" x14ac:dyDescent="0.2"/>
    <row r="437" s="1" customFormat="1" x14ac:dyDescent="0.2"/>
    <row r="438" s="1" customFormat="1" x14ac:dyDescent="0.2"/>
    <row r="439" s="1" customFormat="1" x14ac:dyDescent="0.2"/>
    <row r="440" s="1" customFormat="1" x14ac:dyDescent="0.2"/>
    <row r="441" s="1" customFormat="1" x14ac:dyDescent="0.2"/>
    <row r="442" s="1" customFormat="1" x14ac:dyDescent="0.2"/>
    <row r="443" s="1" customFormat="1" x14ac:dyDescent="0.2"/>
    <row r="444" s="1" customFormat="1" x14ac:dyDescent="0.2"/>
    <row r="445" s="1" customFormat="1" x14ac:dyDescent="0.2"/>
    <row r="446" s="1" customFormat="1" x14ac:dyDescent="0.2"/>
    <row r="447" s="1" customFormat="1" x14ac:dyDescent="0.2"/>
    <row r="448" s="1" customFormat="1" x14ac:dyDescent="0.2"/>
    <row r="449" s="1" customFormat="1" x14ac:dyDescent="0.2"/>
    <row r="450" s="1" customFormat="1" x14ac:dyDescent="0.2"/>
    <row r="451" s="1" customFormat="1" x14ac:dyDescent="0.2"/>
    <row r="452" s="1" customFormat="1" x14ac:dyDescent="0.2"/>
    <row r="453" s="1" customFormat="1" x14ac:dyDescent="0.2"/>
    <row r="454" s="1" customFormat="1" x14ac:dyDescent="0.2"/>
    <row r="455" s="1" customFormat="1" x14ac:dyDescent="0.2"/>
    <row r="456" s="1" customFormat="1" x14ac:dyDescent="0.2"/>
    <row r="457" s="1" customFormat="1" x14ac:dyDescent="0.2"/>
    <row r="458" s="1" customFormat="1" x14ac:dyDescent="0.2"/>
    <row r="459" s="1" customFormat="1" x14ac:dyDescent="0.2"/>
    <row r="460" s="1" customFormat="1" x14ac:dyDescent="0.2"/>
    <row r="461" s="1" customFormat="1" x14ac:dyDescent="0.2"/>
    <row r="462" s="1" customFormat="1" x14ac:dyDescent="0.2"/>
    <row r="463" s="1" customFormat="1" x14ac:dyDescent="0.2"/>
    <row r="464" s="1" customFormat="1" x14ac:dyDescent="0.2"/>
    <row r="465" s="1" customFormat="1" x14ac:dyDescent="0.2"/>
    <row r="466" s="1" customFormat="1" x14ac:dyDescent="0.2"/>
    <row r="467" s="1" customFormat="1" x14ac:dyDescent="0.2"/>
    <row r="468" s="1" customFormat="1" x14ac:dyDescent="0.2"/>
    <row r="469" s="1" customFormat="1" x14ac:dyDescent="0.2"/>
    <row r="470" s="1" customFormat="1" x14ac:dyDescent="0.2"/>
    <row r="471" s="1" customFormat="1" x14ac:dyDescent="0.2"/>
    <row r="472" s="1" customFormat="1" x14ac:dyDescent="0.2"/>
    <row r="473" s="1" customFormat="1" x14ac:dyDescent="0.2"/>
    <row r="474" s="1" customFormat="1" x14ac:dyDescent="0.2"/>
    <row r="475" s="1" customFormat="1" x14ac:dyDescent="0.2"/>
    <row r="476" s="1" customFormat="1" x14ac:dyDescent="0.2"/>
    <row r="477" s="1" customFormat="1" x14ac:dyDescent="0.2"/>
    <row r="478" s="1" customFormat="1" x14ac:dyDescent="0.2"/>
    <row r="479" s="1" customFormat="1" x14ac:dyDescent="0.2"/>
    <row r="480" s="1" customFormat="1" x14ac:dyDescent="0.2"/>
    <row r="481" s="1" customFormat="1" x14ac:dyDescent="0.2"/>
    <row r="482" s="1" customFormat="1" x14ac:dyDescent="0.2"/>
    <row r="483" s="1" customFormat="1" x14ac:dyDescent="0.2"/>
    <row r="484" s="1" customFormat="1" x14ac:dyDescent="0.2"/>
    <row r="485" s="1" customFormat="1" x14ac:dyDescent="0.2"/>
    <row r="486" s="1" customFormat="1" x14ac:dyDescent="0.2"/>
    <row r="487" s="1" customFormat="1" x14ac:dyDescent="0.2"/>
    <row r="488" s="1" customFormat="1" x14ac:dyDescent="0.2"/>
    <row r="489" s="1" customFormat="1" x14ac:dyDescent="0.2"/>
    <row r="490" s="1" customFormat="1" x14ac:dyDescent="0.2"/>
    <row r="491" s="1" customFormat="1" x14ac:dyDescent="0.2"/>
    <row r="492" s="1" customFormat="1" x14ac:dyDescent="0.2"/>
    <row r="493" s="1" customFormat="1" x14ac:dyDescent="0.2"/>
    <row r="494" s="1" customFormat="1" x14ac:dyDescent="0.2"/>
    <row r="495" s="1" customFormat="1" x14ac:dyDescent="0.2"/>
    <row r="496" s="1" customFormat="1" x14ac:dyDescent="0.2"/>
    <row r="497" s="1" customFormat="1" x14ac:dyDescent="0.2"/>
    <row r="498" s="1" customFormat="1" x14ac:dyDescent="0.2"/>
    <row r="499" s="1" customFormat="1" x14ac:dyDescent="0.2"/>
    <row r="500" s="1" customFormat="1" x14ac:dyDescent="0.2"/>
    <row r="501" s="1" customFormat="1" x14ac:dyDescent="0.2"/>
    <row r="502" s="1" customFormat="1" x14ac:dyDescent="0.2"/>
    <row r="503" s="1" customFormat="1" x14ac:dyDescent="0.2"/>
    <row r="504" s="1" customFormat="1" x14ac:dyDescent="0.2"/>
    <row r="505" s="1" customFormat="1" x14ac:dyDescent="0.2"/>
    <row r="506" s="1" customFormat="1" x14ac:dyDescent="0.2"/>
    <row r="507" s="1" customFormat="1" x14ac:dyDescent="0.2"/>
    <row r="508" s="1" customFormat="1" x14ac:dyDescent="0.2"/>
    <row r="509" s="1" customFormat="1" x14ac:dyDescent="0.2"/>
    <row r="510" s="1" customFormat="1" x14ac:dyDescent="0.2"/>
    <row r="511" s="1" customFormat="1" x14ac:dyDescent="0.2"/>
    <row r="512" s="1" customFormat="1" x14ac:dyDescent="0.2"/>
    <row r="513" s="1" customFormat="1" x14ac:dyDescent="0.2"/>
    <row r="514" s="1" customFormat="1" x14ac:dyDescent="0.2"/>
    <row r="515" s="1" customFormat="1" x14ac:dyDescent="0.2"/>
    <row r="516" s="1" customFormat="1" x14ac:dyDescent="0.2"/>
    <row r="517" s="1" customFormat="1" x14ac:dyDescent="0.2"/>
    <row r="518" s="1" customFormat="1" x14ac:dyDescent="0.2"/>
    <row r="519" s="1" customFormat="1" x14ac:dyDescent="0.2"/>
    <row r="520" s="1" customFormat="1" x14ac:dyDescent="0.2"/>
    <row r="521" s="1" customFormat="1" x14ac:dyDescent="0.2"/>
    <row r="522" s="1" customFormat="1" x14ac:dyDescent="0.2"/>
    <row r="523" s="1" customFormat="1" x14ac:dyDescent="0.2"/>
    <row r="524" s="1" customFormat="1" x14ac:dyDescent="0.2"/>
    <row r="525" s="1" customFormat="1" x14ac:dyDescent="0.2"/>
    <row r="526" s="1" customFormat="1" x14ac:dyDescent="0.2"/>
    <row r="527" s="1" customFormat="1" x14ac:dyDescent="0.2"/>
    <row r="528" s="1" customFormat="1" x14ac:dyDescent="0.2"/>
    <row r="529" s="1" customFormat="1" x14ac:dyDescent="0.2"/>
    <row r="530" s="1" customFormat="1" x14ac:dyDescent="0.2"/>
    <row r="531" s="1" customFormat="1" x14ac:dyDescent="0.2"/>
    <row r="532" s="1" customFormat="1" x14ac:dyDescent="0.2"/>
    <row r="533" s="1" customFormat="1" x14ac:dyDescent="0.2"/>
    <row r="534" s="1" customFormat="1" x14ac:dyDescent="0.2"/>
    <row r="535" s="1" customFormat="1" x14ac:dyDescent="0.2"/>
    <row r="536" s="1" customFormat="1" x14ac:dyDescent="0.2"/>
    <row r="537" s="1" customFormat="1" x14ac:dyDescent="0.2"/>
    <row r="538" s="1" customFormat="1" x14ac:dyDescent="0.2"/>
    <row r="539" s="1" customFormat="1" x14ac:dyDescent="0.2"/>
    <row r="540" s="1" customFormat="1" x14ac:dyDescent="0.2"/>
    <row r="541" s="1" customFormat="1" x14ac:dyDescent="0.2"/>
    <row r="542" s="1" customFormat="1" x14ac:dyDescent="0.2"/>
    <row r="543" s="1" customFormat="1" x14ac:dyDescent="0.2"/>
    <row r="544" s="1" customFormat="1" x14ac:dyDescent="0.2"/>
    <row r="545" s="1" customFormat="1" x14ac:dyDescent="0.2"/>
    <row r="546" s="1" customFormat="1" x14ac:dyDescent="0.2"/>
    <row r="547" s="1" customFormat="1" x14ac:dyDescent="0.2"/>
    <row r="548" s="1" customFormat="1" x14ac:dyDescent="0.2"/>
    <row r="549" s="1" customFormat="1" x14ac:dyDescent="0.2"/>
    <row r="550" s="1" customFormat="1" x14ac:dyDescent="0.2"/>
    <row r="551" s="1" customFormat="1" x14ac:dyDescent="0.2"/>
    <row r="552" s="1" customFormat="1" x14ac:dyDescent="0.2"/>
    <row r="553" s="1" customFormat="1" x14ac:dyDescent="0.2"/>
    <row r="554" s="1" customFormat="1" x14ac:dyDescent="0.2"/>
    <row r="555" s="1" customFormat="1" x14ac:dyDescent="0.2"/>
    <row r="556" s="1" customFormat="1" x14ac:dyDescent="0.2"/>
    <row r="557" s="1" customFormat="1" x14ac:dyDescent="0.2"/>
    <row r="558" s="1" customFormat="1" x14ac:dyDescent="0.2"/>
    <row r="559" s="1" customFormat="1" x14ac:dyDescent="0.2"/>
    <row r="560" s="1" customFormat="1" x14ac:dyDescent="0.2"/>
    <row r="561" s="1" customFormat="1" x14ac:dyDescent="0.2"/>
    <row r="562" s="1" customFormat="1" x14ac:dyDescent="0.2"/>
    <row r="563" s="1" customFormat="1" x14ac:dyDescent="0.2"/>
    <row r="564" s="1" customFormat="1" x14ac:dyDescent="0.2"/>
    <row r="565" s="1" customFormat="1" x14ac:dyDescent="0.2"/>
    <row r="566" s="1" customFormat="1" x14ac:dyDescent="0.2"/>
    <row r="567" s="1" customFormat="1" x14ac:dyDescent="0.2"/>
    <row r="568" s="1" customFormat="1" x14ac:dyDescent="0.2"/>
    <row r="569" s="1" customFormat="1" x14ac:dyDescent="0.2"/>
    <row r="570" s="1" customFormat="1" x14ac:dyDescent="0.2"/>
    <row r="571" s="1" customFormat="1" x14ac:dyDescent="0.2"/>
    <row r="572" s="1" customFormat="1" x14ac:dyDescent="0.2"/>
    <row r="573" s="1" customFormat="1" x14ac:dyDescent="0.2"/>
    <row r="574" s="1" customFormat="1" x14ac:dyDescent="0.2"/>
    <row r="575" s="1" customFormat="1" x14ac:dyDescent="0.2"/>
    <row r="576" s="1" customFormat="1" x14ac:dyDescent="0.2"/>
    <row r="577" s="1" customFormat="1" x14ac:dyDescent="0.2"/>
    <row r="578" s="1" customFormat="1" x14ac:dyDescent="0.2"/>
    <row r="579" s="1" customFormat="1" x14ac:dyDescent="0.2"/>
    <row r="580" s="1" customFormat="1" x14ac:dyDescent="0.2"/>
    <row r="581" s="1" customFormat="1" x14ac:dyDescent="0.2"/>
    <row r="582" s="1" customFormat="1" x14ac:dyDescent="0.2"/>
    <row r="583" s="1" customFormat="1" x14ac:dyDescent="0.2"/>
    <row r="584" s="1" customFormat="1" x14ac:dyDescent="0.2"/>
    <row r="585" s="1" customFormat="1" x14ac:dyDescent="0.2"/>
    <row r="586" s="1" customFormat="1" x14ac:dyDescent="0.2"/>
    <row r="587" s="1" customFormat="1" x14ac:dyDescent="0.2"/>
    <row r="588" s="1" customFormat="1" x14ac:dyDescent="0.2"/>
    <row r="589" s="1" customFormat="1" x14ac:dyDescent="0.2"/>
    <row r="590" s="1" customFormat="1" x14ac:dyDescent="0.2"/>
    <row r="591" s="1" customFormat="1" x14ac:dyDescent="0.2"/>
    <row r="592" s="1" customFormat="1" x14ac:dyDescent="0.2"/>
    <row r="593" s="1" customFormat="1" x14ac:dyDescent="0.2"/>
    <row r="594" s="1" customFormat="1" x14ac:dyDescent="0.2"/>
    <row r="595" s="1" customFormat="1" x14ac:dyDescent="0.2"/>
    <row r="596" s="1" customFormat="1" x14ac:dyDescent="0.2"/>
    <row r="597" s="1" customFormat="1" x14ac:dyDescent="0.2"/>
    <row r="598" s="1" customFormat="1" x14ac:dyDescent="0.2"/>
    <row r="599" s="1" customFormat="1" x14ac:dyDescent="0.2"/>
    <row r="600" s="1" customFormat="1" x14ac:dyDescent="0.2"/>
    <row r="601" s="1" customFormat="1" x14ac:dyDescent="0.2"/>
    <row r="602" s="1" customFormat="1" x14ac:dyDescent="0.2"/>
    <row r="603" s="1" customFormat="1" x14ac:dyDescent="0.2"/>
    <row r="604" s="1" customFormat="1" x14ac:dyDescent="0.2"/>
    <row r="605" s="1" customFormat="1" x14ac:dyDescent="0.2"/>
    <row r="606" s="1" customFormat="1" x14ac:dyDescent="0.2"/>
    <row r="607" s="1" customFormat="1" x14ac:dyDescent="0.2"/>
    <row r="608" s="1" customFormat="1" x14ac:dyDescent="0.2"/>
    <row r="609" s="1" customFormat="1" x14ac:dyDescent="0.2"/>
    <row r="610" s="1" customFormat="1" x14ac:dyDescent="0.2"/>
    <row r="611" s="1" customFormat="1" x14ac:dyDescent="0.2"/>
    <row r="612" s="1" customFormat="1" x14ac:dyDescent="0.2"/>
    <row r="613" s="1" customFormat="1" x14ac:dyDescent="0.2"/>
    <row r="614" s="1" customFormat="1" x14ac:dyDescent="0.2"/>
    <row r="615" s="1" customFormat="1" x14ac:dyDescent="0.2"/>
    <row r="616" s="1" customFormat="1" x14ac:dyDescent="0.2"/>
    <row r="617" s="1" customFormat="1" x14ac:dyDescent="0.2"/>
    <row r="618" s="1" customFormat="1" x14ac:dyDescent="0.2"/>
    <row r="619" s="1" customFormat="1" x14ac:dyDescent="0.2"/>
    <row r="620" s="1" customFormat="1" x14ac:dyDescent="0.2"/>
    <row r="621" s="1" customFormat="1" x14ac:dyDescent="0.2"/>
    <row r="622" s="1" customFormat="1" x14ac:dyDescent="0.2"/>
    <row r="623" s="1" customFormat="1" x14ac:dyDescent="0.2"/>
    <row r="624" s="1" customFormat="1" x14ac:dyDescent="0.2"/>
    <row r="625" spans="1:24" s="1" customFormat="1" x14ac:dyDescent="0.2"/>
    <row r="626" spans="1:24" s="1" customFormat="1" x14ac:dyDescent="0.2"/>
    <row r="627" spans="1:24" s="1" customFormat="1" x14ac:dyDescent="0.2"/>
    <row r="628" spans="1:24" s="1" customFormat="1" x14ac:dyDescent="0.2"/>
    <row r="629" spans="1:24" s="1" customFormat="1" x14ac:dyDescent="0.2"/>
    <row r="630" spans="1:24" s="1" customFormat="1" x14ac:dyDescent="0.2"/>
    <row r="631" spans="1:24" s="1" customFormat="1" x14ac:dyDescent="0.2"/>
    <row r="632" spans="1:24" s="1" customFormat="1" x14ac:dyDescent="0.2"/>
    <row r="633" spans="1:24" s="1" customFormat="1" x14ac:dyDescent="0.2"/>
    <row r="634" spans="1:24" s="1" customFormat="1" x14ac:dyDescent="0.2"/>
    <row r="635" spans="1:24" s="1" customFormat="1" x14ac:dyDescent="0.2"/>
    <row r="636" spans="1:24" s="1" customFormat="1" x14ac:dyDescent="0.2"/>
    <row r="637" spans="1:24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</sheetData>
  <sheetProtection password="CF7A" sheet="1" objects="1" scenarios="1"/>
  <mergeCells count="1">
    <mergeCell ref="F12:J17"/>
  </mergeCells>
  <phoneticPr fontId="4" type="noConversion"/>
  <pageMargins left="0.78740157499999996" right="0.78740157499999996" top="0.984251969" bottom="0.984251969" header="0.5" footer="0.5"/>
  <headerFooter alignWithMargins="0"/>
  <customProperties>
    <customPr name="DVSECTIONID" r:id="rId1"/>
  </customPropertie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T327"/>
  <sheetViews>
    <sheetView zoomScaleNormal="100" workbookViewId="0"/>
  </sheetViews>
  <sheetFormatPr defaultRowHeight="12.75" x14ac:dyDescent="0.2"/>
  <sheetData>
    <row r="1" s="1" customFormat="1" x14ac:dyDescent="0.2"/>
    <row r="2" s="1" customFormat="1" x14ac:dyDescent="0.2"/>
    <row r="3" s="1" customFormat="1" x14ac:dyDescent="0.2"/>
    <row r="4" s="1" customFormat="1" x14ac:dyDescent="0.2"/>
    <row r="5" s="1" customFormat="1" x14ac:dyDescent="0.2"/>
    <row r="6" s="1" customFormat="1" x14ac:dyDescent="0.2"/>
    <row r="7" s="1" customFormat="1" x14ac:dyDescent="0.2"/>
    <row r="8" s="1" customFormat="1" ht="13.5" customHeight="1" x14ac:dyDescent="0.2"/>
    <row r="9" s="1" customFormat="1" ht="13.5" customHeight="1" x14ac:dyDescent="0.2"/>
    <row r="10" s="1" customFormat="1" ht="13.5" customHeight="1" x14ac:dyDescent="0.2"/>
    <row r="11" s="1" customFormat="1" ht="12.75" customHeight="1" x14ac:dyDescent="0.2"/>
    <row r="12" s="1" customFormat="1" ht="13.5" customHeight="1" x14ac:dyDescent="0.2"/>
    <row r="13" s="1" customFormat="1" ht="13.5" customHeight="1" x14ac:dyDescent="0.2"/>
    <row r="14" s="1" customFormat="1" ht="12.75" customHeight="1" x14ac:dyDescent="0.2"/>
    <row r="15" s="1" customFormat="1" ht="12.75" customHeight="1" x14ac:dyDescent="0.2"/>
    <row r="16" s="1" customFormat="1" ht="12.75" customHeight="1" x14ac:dyDescent="0.2"/>
    <row r="17" s="1" customFormat="1" ht="12.75" customHeight="1" x14ac:dyDescent="0.2"/>
    <row r="18" s="1" customFormat="1" ht="12.75" customHeight="1" x14ac:dyDescent="0.2"/>
    <row r="19" s="1" customFormat="1" ht="12.75" customHeight="1" x14ac:dyDescent="0.2"/>
    <row r="20" s="1" customFormat="1" ht="12.75" customHeight="1" x14ac:dyDescent="0.2"/>
    <row r="21" s="1" customFormat="1" ht="12.75" customHeight="1" x14ac:dyDescent="0.2"/>
    <row r="22" s="1" customFormat="1" ht="12.75" customHeight="1" x14ac:dyDescent="0.2"/>
    <row r="23" s="1" customFormat="1" ht="12.75" customHeight="1" x14ac:dyDescent="0.2"/>
    <row r="24" s="1" customFormat="1" ht="12.75" customHeight="1" x14ac:dyDescent="0.2"/>
    <row r="25" s="1" customFormat="1" x14ac:dyDescent="0.2"/>
    <row r="26" s="1" customFormat="1" x14ac:dyDescent="0.2"/>
    <row r="27" s="1" customFormat="1" x14ac:dyDescent="0.2"/>
    <row r="28" s="1" customFormat="1" x14ac:dyDescent="0.2"/>
    <row r="29" s="1" customFormat="1" x14ac:dyDescent="0.2"/>
    <row r="30" s="1" customFormat="1" x14ac:dyDescent="0.2"/>
    <row r="31" s="1" customFormat="1" x14ac:dyDescent="0.2"/>
    <row r="32" s="1" customFormat="1" x14ac:dyDescent="0.2"/>
    <row r="33" s="1" customFormat="1" x14ac:dyDescent="0.2"/>
    <row r="34" s="1" customFormat="1" x14ac:dyDescent="0.2"/>
    <row r="35" s="1" customFormat="1" x14ac:dyDescent="0.2"/>
    <row r="36" s="1" customFormat="1" x14ac:dyDescent="0.2"/>
    <row r="37" s="1" customFormat="1" x14ac:dyDescent="0.2"/>
    <row r="38" s="1" customFormat="1" x14ac:dyDescent="0.2"/>
    <row r="39" s="1" customFormat="1" x14ac:dyDescent="0.2"/>
    <row r="40" s="1" customFormat="1" x14ac:dyDescent="0.2"/>
    <row r="41" s="1" customFormat="1" x14ac:dyDescent="0.2"/>
    <row r="42" s="1" customFormat="1" x14ac:dyDescent="0.2"/>
    <row r="43" s="1" customFormat="1" x14ac:dyDescent="0.2"/>
    <row r="44" s="1" customFormat="1" x14ac:dyDescent="0.2"/>
    <row r="45" s="1" customFormat="1" x14ac:dyDescent="0.2"/>
    <row r="46" s="1" customFormat="1" x14ac:dyDescent="0.2"/>
    <row r="47" s="1" customFormat="1" x14ac:dyDescent="0.2"/>
    <row r="48" s="1" customFormat="1" x14ac:dyDescent="0.2"/>
    <row r="49" s="1" customFormat="1" x14ac:dyDescent="0.2"/>
    <row r="50" s="1" customFormat="1" x14ac:dyDescent="0.2"/>
    <row r="51" s="1" customFormat="1" x14ac:dyDescent="0.2"/>
    <row r="52" s="1" customFormat="1" x14ac:dyDescent="0.2"/>
    <row r="53" s="1" customFormat="1" x14ac:dyDescent="0.2"/>
    <row r="54" s="1" customFormat="1" x14ac:dyDescent="0.2"/>
    <row r="55" s="1" customFormat="1" x14ac:dyDescent="0.2"/>
    <row r="56" s="1" customFormat="1" x14ac:dyDescent="0.2"/>
    <row r="57" s="1" customFormat="1" x14ac:dyDescent="0.2"/>
    <row r="58" s="1" customFormat="1" x14ac:dyDescent="0.2"/>
    <row r="59" s="1" customFormat="1" x14ac:dyDescent="0.2"/>
    <row r="60" s="1" customFormat="1" x14ac:dyDescent="0.2"/>
    <row r="61" s="1" customFormat="1" x14ac:dyDescent="0.2"/>
    <row r="62" s="1" customFormat="1" x14ac:dyDescent="0.2"/>
    <row r="63" s="1" customFormat="1" x14ac:dyDescent="0.2"/>
    <row r="64" s="1" customFormat="1" x14ac:dyDescent="0.2"/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  <row r="94" s="1" customFormat="1" x14ac:dyDescent="0.2"/>
    <row r="95" s="1" customFormat="1" x14ac:dyDescent="0.2"/>
    <row r="96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  <row r="102" s="1" customFormat="1" x14ac:dyDescent="0.2"/>
    <row r="103" s="1" customFormat="1" x14ac:dyDescent="0.2"/>
    <row r="104" s="1" customFormat="1" x14ac:dyDescent="0.2"/>
    <row r="105" s="1" customFormat="1" x14ac:dyDescent="0.2"/>
    <row r="106" s="1" customFormat="1" x14ac:dyDescent="0.2"/>
    <row r="107" s="1" customFormat="1" x14ac:dyDescent="0.2"/>
    <row r="108" s="1" customFormat="1" x14ac:dyDescent="0.2"/>
    <row r="109" s="1" customFormat="1" x14ac:dyDescent="0.2"/>
    <row r="110" s="1" customFormat="1" x14ac:dyDescent="0.2"/>
    <row r="111" s="1" customFormat="1" x14ac:dyDescent="0.2"/>
    <row r="112" s="1" customFormat="1" x14ac:dyDescent="0.2"/>
    <row r="113" spans="1:20" s="1" customFormat="1" x14ac:dyDescent="0.2"/>
    <row r="114" spans="1:2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</sheetData>
  <sheetProtection password="CF7A" sheet="1" objects="1" scenarios="1"/>
  <pageMargins left="0.511811024" right="0.511811024" top="0.78740157499999996" bottom="0.78740157499999996" header="0.31496062000000002" footer="0.31496062000000002"/>
  <customProperties>
    <customPr name="DVSECTIONID" r:id="rId1"/>
  </customPropertie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A294"/>
  <sheetViews>
    <sheetView zoomScaleNormal="100" workbookViewId="0"/>
  </sheetViews>
  <sheetFormatPr defaultRowHeight="12.75" x14ac:dyDescent="0.2"/>
  <sheetData>
    <row r="1" s="1" customFormat="1" x14ac:dyDescent="0.2"/>
    <row r="2" s="1" customFormat="1" x14ac:dyDescent="0.2"/>
    <row r="3" s="1" customFormat="1" x14ac:dyDescent="0.2"/>
    <row r="4" s="1" customFormat="1" x14ac:dyDescent="0.2"/>
    <row r="5" s="1" customFormat="1" x14ac:dyDescent="0.2"/>
    <row r="6" s="1" customFormat="1" x14ac:dyDescent="0.2"/>
    <row r="7" s="1" customFormat="1" x14ac:dyDescent="0.2"/>
    <row r="8" s="1" customFormat="1" x14ac:dyDescent="0.2"/>
    <row r="9" s="1" customFormat="1" x14ac:dyDescent="0.2"/>
    <row r="10" s="1" customFormat="1" x14ac:dyDescent="0.2"/>
    <row r="11" s="1" customFormat="1" x14ac:dyDescent="0.2"/>
    <row r="12" s="1" customFormat="1" x14ac:dyDescent="0.2"/>
    <row r="13" s="1" customFormat="1" x14ac:dyDescent="0.2"/>
    <row r="14" s="1" customFormat="1" x14ac:dyDescent="0.2"/>
    <row r="15" s="1" customFormat="1" x14ac:dyDescent="0.2"/>
    <row r="16" s="1" customFormat="1" x14ac:dyDescent="0.2"/>
    <row r="17" s="1" customFormat="1" x14ac:dyDescent="0.2"/>
    <row r="18" s="1" customFormat="1" x14ac:dyDescent="0.2"/>
    <row r="19" s="1" customFormat="1" x14ac:dyDescent="0.2"/>
    <row r="20" s="1" customFormat="1" x14ac:dyDescent="0.2"/>
    <row r="21" s="1" customFormat="1" x14ac:dyDescent="0.2"/>
    <row r="22" s="1" customFormat="1" x14ac:dyDescent="0.2"/>
    <row r="23" s="1" customFormat="1" x14ac:dyDescent="0.2"/>
    <row r="24" s="1" customFormat="1" x14ac:dyDescent="0.2"/>
    <row r="25" s="1" customFormat="1" x14ac:dyDescent="0.2"/>
    <row r="26" s="1" customFormat="1" x14ac:dyDescent="0.2"/>
    <row r="27" s="1" customFormat="1" x14ac:dyDescent="0.2"/>
    <row r="28" s="1" customFormat="1" x14ac:dyDescent="0.2"/>
    <row r="29" s="1" customFormat="1" x14ac:dyDescent="0.2"/>
    <row r="30" s="1" customFormat="1" x14ac:dyDescent="0.2"/>
    <row r="31" s="1" customFormat="1" x14ac:dyDescent="0.2"/>
    <row r="32" s="1" customFormat="1" x14ac:dyDescent="0.2"/>
    <row r="33" s="1" customFormat="1" x14ac:dyDescent="0.2"/>
    <row r="34" s="1" customFormat="1" x14ac:dyDescent="0.2"/>
    <row r="35" s="1" customFormat="1" x14ac:dyDescent="0.2"/>
    <row r="36" s="1" customFormat="1" x14ac:dyDescent="0.2"/>
    <row r="37" s="1" customFormat="1" x14ac:dyDescent="0.2"/>
    <row r="38" s="1" customFormat="1" x14ac:dyDescent="0.2"/>
    <row r="39" s="1" customFormat="1" x14ac:dyDescent="0.2"/>
    <row r="40" s="1" customFormat="1" x14ac:dyDescent="0.2"/>
    <row r="41" s="1" customFormat="1" x14ac:dyDescent="0.2"/>
    <row r="42" s="1" customFormat="1" x14ac:dyDescent="0.2"/>
    <row r="43" s="1" customFormat="1" x14ac:dyDescent="0.2"/>
    <row r="44" s="1" customFormat="1" x14ac:dyDescent="0.2"/>
    <row r="45" s="1" customFormat="1" x14ac:dyDescent="0.2"/>
    <row r="46" s="1" customFormat="1" x14ac:dyDescent="0.2"/>
    <row r="47" s="1" customFormat="1" x14ac:dyDescent="0.2"/>
    <row r="48" s="1" customFormat="1" x14ac:dyDescent="0.2"/>
    <row r="49" s="1" customFormat="1" x14ac:dyDescent="0.2"/>
    <row r="50" s="1" customFormat="1" x14ac:dyDescent="0.2"/>
    <row r="51" s="1" customFormat="1" x14ac:dyDescent="0.2"/>
    <row r="52" s="1" customFormat="1" x14ac:dyDescent="0.2"/>
    <row r="53" s="1" customFormat="1" x14ac:dyDescent="0.2"/>
    <row r="54" s="1" customFormat="1" x14ac:dyDescent="0.2"/>
    <row r="55" s="1" customFormat="1" x14ac:dyDescent="0.2"/>
    <row r="56" s="1" customFormat="1" x14ac:dyDescent="0.2"/>
    <row r="57" s="1" customFormat="1" x14ac:dyDescent="0.2"/>
    <row r="58" s="1" customFormat="1" x14ac:dyDescent="0.2"/>
    <row r="59" s="1" customFormat="1" x14ac:dyDescent="0.2"/>
    <row r="60" s="1" customFormat="1" x14ac:dyDescent="0.2"/>
    <row r="61" s="1" customFormat="1" x14ac:dyDescent="0.2"/>
    <row r="62" s="1" customFormat="1" x14ac:dyDescent="0.2"/>
    <row r="63" s="1" customFormat="1" x14ac:dyDescent="0.2"/>
    <row r="64" s="1" customFormat="1" x14ac:dyDescent="0.2"/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  <row r="94" s="1" customFormat="1" x14ac:dyDescent="0.2"/>
    <row r="95" s="1" customFormat="1" x14ac:dyDescent="0.2"/>
    <row r="96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  <row r="102" s="1" customFormat="1" x14ac:dyDescent="0.2"/>
    <row r="103" s="1" customFormat="1" x14ac:dyDescent="0.2"/>
    <row r="104" s="1" customFormat="1" x14ac:dyDescent="0.2"/>
    <row r="105" s="1" customFormat="1" x14ac:dyDescent="0.2"/>
    <row r="106" s="1" customFormat="1" x14ac:dyDescent="0.2"/>
    <row r="107" s="1" customFormat="1" x14ac:dyDescent="0.2"/>
    <row r="108" s="1" customFormat="1" x14ac:dyDescent="0.2"/>
    <row r="109" s="1" customFormat="1" x14ac:dyDescent="0.2"/>
    <row r="110" s="1" customFormat="1" x14ac:dyDescent="0.2"/>
    <row r="111" s="1" customFormat="1" x14ac:dyDescent="0.2"/>
    <row r="112" s="1" customFormat="1" x14ac:dyDescent="0.2"/>
    <row r="113" s="1" customFormat="1" x14ac:dyDescent="0.2"/>
    <row r="114" s="1" customFormat="1" x14ac:dyDescent="0.2"/>
    <row r="115" s="1" customFormat="1" x14ac:dyDescent="0.2"/>
    <row r="116" s="1" customFormat="1" x14ac:dyDescent="0.2"/>
    <row r="117" s="1" customFormat="1" x14ac:dyDescent="0.2"/>
    <row r="118" s="1" customFormat="1" x14ac:dyDescent="0.2"/>
    <row r="119" s="1" customFormat="1" x14ac:dyDescent="0.2"/>
    <row r="120" s="1" customFormat="1" x14ac:dyDescent="0.2"/>
    <row r="121" s="1" customFormat="1" x14ac:dyDescent="0.2"/>
    <row r="122" s="1" customFormat="1" x14ac:dyDescent="0.2"/>
    <row r="123" s="1" customFormat="1" x14ac:dyDescent="0.2"/>
    <row r="124" s="1" customFormat="1" x14ac:dyDescent="0.2"/>
    <row r="125" s="1" customFormat="1" x14ac:dyDescent="0.2"/>
    <row r="126" s="1" customFormat="1" x14ac:dyDescent="0.2"/>
    <row r="127" s="1" customFormat="1" x14ac:dyDescent="0.2"/>
    <row r="128" s="1" customFormat="1" x14ac:dyDescent="0.2"/>
    <row r="129" s="1" customFormat="1" x14ac:dyDescent="0.2"/>
    <row r="130" s="1" customFormat="1" x14ac:dyDescent="0.2"/>
    <row r="131" s="1" customFormat="1" x14ac:dyDescent="0.2"/>
    <row r="132" s="1" customFormat="1" x14ac:dyDescent="0.2"/>
    <row r="133" s="1" customFormat="1" x14ac:dyDescent="0.2"/>
    <row r="134" s="1" customFormat="1" x14ac:dyDescent="0.2"/>
    <row r="135" s="1" customFormat="1" x14ac:dyDescent="0.2"/>
    <row r="136" s="1" customFormat="1" x14ac:dyDescent="0.2"/>
    <row r="137" s="1" customFormat="1" x14ac:dyDescent="0.2"/>
    <row r="138" s="1" customFormat="1" x14ac:dyDescent="0.2"/>
    <row r="139" s="1" customFormat="1" x14ac:dyDescent="0.2"/>
    <row r="140" s="1" customFormat="1" x14ac:dyDescent="0.2"/>
    <row r="141" s="1" customFormat="1" x14ac:dyDescent="0.2"/>
    <row r="142" s="1" customFormat="1" x14ac:dyDescent="0.2"/>
    <row r="143" s="1" customFormat="1" x14ac:dyDescent="0.2"/>
    <row r="144" s="1" customFormat="1" x14ac:dyDescent="0.2"/>
    <row r="145" s="1" customFormat="1" x14ac:dyDescent="0.2"/>
    <row r="146" s="1" customFormat="1" x14ac:dyDescent="0.2"/>
    <row r="147" s="1" customFormat="1" x14ac:dyDescent="0.2"/>
    <row r="148" s="1" customFormat="1" x14ac:dyDescent="0.2"/>
    <row r="149" s="1" customFormat="1" x14ac:dyDescent="0.2"/>
    <row r="150" s="1" customFormat="1" x14ac:dyDescent="0.2"/>
    <row r="151" s="1" customFormat="1" x14ac:dyDescent="0.2"/>
    <row r="152" s="1" customFormat="1" x14ac:dyDescent="0.2"/>
    <row r="153" s="1" customFormat="1" x14ac:dyDescent="0.2"/>
    <row r="154" s="1" customFormat="1" x14ac:dyDescent="0.2"/>
    <row r="155" s="1" customFormat="1" x14ac:dyDescent="0.2"/>
    <row r="156" s="1" customFormat="1" x14ac:dyDescent="0.2"/>
    <row r="157" s="1" customFormat="1" x14ac:dyDescent="0.2"/>
    <row r="158" s="1" customFormat="1" x14ac:dyDescent="0.2"/>
    <row r="159" s="1" customFormat="1" x14ac:dyDescent="0.2"/>
    <row r="160" s="1" customFormat="1" x14ac:dyDescent="0.2"/>
    <row r="161" s="1" customFormat="1" x14ac:dyDescent="0.2"/>
    <row r="162" s="1" customFormat="1" x14ac:dyDescent="0.2"/>
    <row r="163" s="1" customFormat="1" x14ac:dyDescent="0.2"/>
    <row r="164" s="1" customFormat="1" x14ac:dyDescent="0.2"/>
    <row r="165" s="1" customFormat="1" x14ac:dyDescent="0.2"/>
    <row r="166" s="1" customFormat="1" x14ac:dyDescent="0.2"/>
    <row r="167" s="1" customFormat="1" x14ac:dyDescent="0.2"/>
    <row r="168" s="1" customFormat="1" x14ac:dyDescent="0.2"/>
    <row r="169" s="1" customFormat="1" x14ac:dyDescent="0.2"/>
    <row r="170" s="1" customFormat="1" x14ac:dyDescent="0.2"/>
    <row r="171" s="1" customFormat="1" x14ac:dyDescent="0.2"/>
    <row r="172" s="1" customFormat="1" x14ac:dyDescent="0.2"/>
    <row r="173" s="1" customFormat="1" x14ac:dyDescent="0.2"/>
    <row r="174" s="1" customFormat="1" x14ac:dyDescent="0.2"/>
    <row r="175" s="1" customFormat="1" x14ac:dyDescent="0.2"/>
    <row r="176" s="1" customFormat="1" x14ac:dyDescent="0.2"/>
    <row r="177" s="1" customFormat="1" x14ac:dyDescent="0.2"/>
    <row r="178" s="1" customFormat="1" x14ac:dyDescent="0.2"/>
    <row r="179" s="1" customFormat="1" x14ac:dyDescent="0.2"/>
    <row r="180" s="1" customFormat="1" x14ac:dyDescent="0.2"/>
    <row r="181" s="1" customFormat="1" x14ac:dyDescent="0.2"/>
    <row r="182" s="1" customFormat="1" x14ac:dyDescent="0.2"/>
    <row r="183" s="1" customFormat="1" x14ac:dyDescent="0.2"/>
    <row r="184" s="1" customFormat="1" x14ac:dyDescent="0.2"/>
    <row r="185" s="1" customFormat="1" x14ac:dyDescent="0.2"/>
    <row r="186" s="1" customFormat="1" x14ac:dyDescent="0.2"/>
    <row r="187" s="1" customFormat="1" x14ac:dyDescent="0.2"/>
    <row r="188" s="1" customFormat="1" x14ac:dyDescent="0.2"/>
    <row r="189" s="1" customFormat="1" x14ac:dyDescent="0.2"/>
    <row r="190" s="1" customFormat="1" x14ac:dyDescent="0.2"/>
    <row r="191" s="1" customFormat="1" x14ac:dyDescent="0.2"/>
    <row r="192" s="1" customFormat="1" x14ac:dyDescent="0.2"/>
    <row r="193" s="1" customFormat="1" x14ac:dyDescent="0.2"/>
    <row r="194" s="1" customFormat="1" x14ac:dyDescent="0.2"/>
    <row r="195" s="1" customFormat="1" x14ac:dyDescent="0.2"/>
    <row r="196" s="1" customFormat="1" x14ac:dyDescent="0.2"/>
    <row r="197" s="1" customFormat="1" x14ac:dyDescent="0.2"/>
    <row r="198" s="1" customFormat="1" x14ac:dyDescent="0.2"/>
    <row r="199" s="1" customFormat="1" x14ac:dyDescent="0.2"/>
    <row r="200" s="1" customFormat="1" x14ac:dyDescent="0.2"/>
    <row r="201" s="1" customFormat="1" x14ac:dyDescent="0.2"/>
    <row r="202" s="1" customFormat="1" x14ac:dyDescent="0.2"/>
    <row r="203" s="1" customFormat="1" x14ac:dyDescent="0.2"/>
    <row r="204" s="1" customFormat="1" x14ac:dyDescent="0.2"/>
    <row r="205" s="1" customFormat="1" x14ac:dyDescent="0.2"/>
    <row r="206" s="1" customFormat="1" x14ac:dyDescent="0.2"/>
    <row r="207" s="1" customFormat="1" x14ac:dyDescent="0.2"/>
    <row r="208" s="1" customFormat="1" x14ac:dyDescent="0.2"/>
    <row r="209" s="1" customFormat="1" x14ac:dyDescent="0.2"/>
    <row r="210" s="1" customFormat="1" x14ac:dyDescent="0.2"/>
    <row r="211" s="1" customFormat="1" x14ac:dyDescent="0.2"/>
    <row r="212" s="1" customFormat="1" x14ac:dyDescent="0.2"/>
    <row r="213" s="1" customFormat="1" x14ac:dyDescent="0.2"/>
    <row r="214" s="1" customFormat="1" x14ac:dyDescent="0.2"/>
    <row r="215" s="1" customFormat="1" x14ac:dyDescent="0.2"/>
    <row r="216" s="1" customFormat="1" x14ac:dyDescent="0.2"/>
    <row r="217" s="1" customFormat="1" x14ac:dyDescent="0.2"/>
    <row r="218" s="1" customFormat="1" x14ac:dyDescent="0.2"/>
    <row r="219" s="1" customFormat="1" x14ac:dyDescent="0.2"/>
    <row r="220" s="1" customFormat="1" x14ac:dyDescent="0.2"/>
    <row r="221" s="1" customFormat="1" x14ac:dyDescent="0.2"/>
    <row r="222" s="1" customFormat="1" x14ac:dyDescent="0.2"/>
    <row r="223" s="1" customFormat="1" x14ac:dyDescent="0.2"/>
    <row r="224" s="1" customFormat="1" x14ac:dyDescent="0.2"/>
    <row r="225" s="1" customFormat="1" x14ac:dyDescent="0.2"/>
    <row r="226" s="1" customFormat="1" x14ac:dyDescent="0.2"/>
    <row r="227" s="1" customFormat="1" x14ac:dyDescent="0.2"/>
    <row r="228" s="1" customFormat="1" x14ac:dyDescent="0.2"/>
    <row r="229" s="1" customFormat="1" x14ac:dyDescent="0.2"/>
    <row r="230" s="1" customFormat="1" x14ac:dyDescent="0.2"/>
    <row r="231" s="1" customFormat="1" x14ac:dyDescent="0.2"/>
    <row r="232" s="1" customFormat="1" x14ac:dyDescent="0.2"/>
    <row r="233" s="1" customFormat="1" x14ac:dyDescent="0.2"/>
    <row r="234" s="1" customFormat="1" x14ac:dyDescent="0.2"/>
    <row r="235" s="1" customFormat="1" x14ac:dyDescent="0.2"/>
    <row r="236" s="1" customFormat="1" x14ac:dyDescent="0.2"/>
    <row r="237" s="1" customFormat="1" x14ac:dyDescent="0.2"/>
    <row r="238" s="1" customFormat="1" x14ac:dyDescent="0.2"/>
    <row r="239" s="1" customFormat="1" x14ac:dyDescent="0.2"/>
    <row r="240" s="1" customFormat="1" x14ac:dyDescent="0.2"/>
    <row r="241" s="1" customFormat="1" x14ac:dyDescent="0.2"/>
    <row r="242" s="1" customFormat="1" x14ac:dyDescent="0.2"/>
    <row r="243" s="1" customFormat="1" x14ac:dyDescent="0.2"/>
    <row r="244" s="1" customFormat="1" x14ac:dyDescent="0.2"/>
    <row r="245" s="1" customFormat="1" x14ac:dyDescent="0.2"/>
    <row r="246" s="1" customFormat="1" x14ac:dyDescent="0.2"/>
    <row r="247" s="1" customFormat="1" x14ac:dyDescent="0.2"/>
    <row r="248" s="1" customFormat="1" x14ac:dyDescent="0.2"/>
    <row r="249" s="1" customFormat="1" x14ac:dyDescent="0.2"/>
    <row r="250" s="1" customFormat="1" x14ac:dyDescent="0.2"/>
    <row r="251" s="1" customFormat="1" x14ac:dyDescent="0.2"/>
    <row r="252" s="1" customFormat="1" x14ac:dyDescent="0.2"/>
    <row r="253" s="1" customFormat="1" x14ac:dyDescent="0.2"/>
    <row r="254" s="1" customFormat="1" x14ac:dyDescent="0.2"/>
    <row r="255" s="1" customFormat="1" x14ac:dyDescent="0.2"/>
    <row r="256" s="1" customFormat="1" x14ac:dyDescent="0.2"/>
    <row r="257" s="1" customFormat="1" x14ac:dyDescent="0.2"/>
    <row r="258" s="1" customFormat="1" x14ac:dyDescent="0.2"/>
    <row r="259" s="1" customFormat="1" x14ac:dyDescent="0.2"/>
    <row r="260" s="1" customFormat="1" x14ac:dyDescent="0.2"/>
    <row r="261" s="1" customFormat="1" x14ac:dyDescent="0.2"/>
    <row r="262" s="1" customFormat="1" x14ac:dyDescent="0.2"/>
    <row r="263" s="1" customFormat="1" x14ac:dyDescent="0.2"/>
    <row r="264" s="1" customFormat="1" x14ac:dyDescent="0.2"/>
    <row r="265" s="1" customFormat="1" x14ac:dyDescent="0.2"/>
    <row r="266" s="1" customFormat="1" x14ac:dyDescent="0.2"/>
    <row r="267" s="1" customFormat="1" x14ac:dyDescent="0.2"/>
    <row r="268" s="1" customFormat="1" x14ac:dyDescent="0.2"/>
    <row r="269" s="1" customFormat="1" x14ac:dyDescent="0.2"/>
    <row r="270" s="1" customFormat="1" x14ac:dyDescent="0.2"/>
    <row r="271" s="1" customFormat="1" x14ac:dyDescent="0.2"/>
    <row r="272" s="1" customFormat="1" x14ac:dyDescent="0.2"/>
    <row r="273" s="1" customFormat="1" x14ac:dyDescent="0.2"/>
    <row r="274" s="1" customFormat="1" x14ac:dyDescent="0.2"/>
    <row r="275" s="1" customFormat="1" x14ac:dyDescent="0.2"/>
    <row r="276" s="1" customFormat="1" x14ac:dyDescent="0.2"/>
    <row r="277" s="1" customFormat="1" x14ac:dyDescent="0.2"/>
    <row r="278" s="1" customFormat="1" x14ac:dyDescent="0.2"/>
    <row r="279" s="1" customFormat="1" x14ac:dyDescent="0.2"/>
    <row r="280" s="1" customFormat="1" x14ac:dyDescent="0.2"/>
    <row r="281" s="1" customFormat="1" x14ac:dyDescent="0.2"/>
    <row r="282" s="1" customFormat="1" x14ac:dyDescent="0.2"/>
    <row r="283" s="1" customFormat="1" x14ac:dyDescent="0.2"/>
    <row r="284" s="1" customFormat="1" x14ac:dyDescent="0.2"/>
    <row r="285" s="1" customFormat="1" x14ac:dyDescent="0.2"/>
    <row r="286" s="1" customFormat="1" x14ac:dyDescent="0.2"/>
    <row r="287" s="1" customFormat="1" x14ac:dyDescent="0.2"/>
    <row r="288" s="1" customFormat="1" x14ac:dyDescent="0.2"/>
    <row r="289" s="1" customFormat="1" x14ac:dyDescent="0.2"/>
    <row r="290" s="1" customFormat="1" x14ac:dyDescent="0.2"/>
    <row r="291" s="1" customFormat="1" x14ac:dyDescent="0.2"/>
    <row r="292" s="1" customFormat="1" x14ac:dyDescent="0.2"/>
    <row r="293" s="1" customFormat="1" x14ac:dyDescent="0.2"/>
    <row r="294" s="1" customFormat="1" x14ac:dyDescent="0.2"/>
  </sheetData>
  <sheetProtection password="CF7A" sheet="1" objects="1" scenarios="1"/>
  <pageMargins left="0.511811024" right="0.511811024" top="0.78740157499999996" bottom="0.78740157499999996" header="0.31496062000000002" footer="0.31496062000000002"/>
  <customProperties>
    <customPr name="DVSECTIONID" r:id="rId1"/>
  </customPropertie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/>
  <dimension ref="A1:T318"/>
  <sheetViews>
    <sheetView workbookViewId="0"/>
  </sheetViews>
  <sheetFormatPr defaultRowHeight="12.75" x14ac:dyDescent="0.2"/>
  <sheetData>
    <row r="1" s="1" customFormat="1" x14ac:dyDescent="0.2"/>
    <row r="2" s="1" customFormat="1" x14ac:dyDescent="0.2"/>
    <row r="3" s="1" customFormat="1" x14ac:dyDescent="0.2"/>
    <row r="4" s="1" customFormat="1" x14ac:dyDescent="0.2"/>
    <row r="5" s="1" customFormat="1" x14ac:dyDescent="0.2"/>
    <row r="6" s="1" customFormat="1" x14ac:dyDescent="0.2"/>
    <row r="7" s="1" customFormat="1" x14ac:dyDescent="0.2"/>
    <row r="8" s="1" customFormat="1" x14ac:dyDescent="0.2"/>
    <row r="9" s="1" customFormat="1" x14ac:dyDescent="0.2"/>
    <row r="10" s="1" customFormat="1" x14ac:dyDescent="0.2"/>
    <row r="11" s="1" customFormat="1" x14ac:dyDescent="0.2"/>
    <row r="12" s="1" customFormat="1" x14ac:dyDescent="0.2"/>
    <row r="13" s="1" customFormat="1" x14ac:dyDescent="0.2"/>
    <row r="14" s="1" customFormat="1" x14ac:dyDescent="0.2"/>
    <row r="15" s="1" customFormat="1" x14ac:dyDescent="0.2"/>
    <row r="16" s="1" customFormat="1" x14ac:dyDescent="0.2"/>
    <row r="17" s="1" customFormat="1" x14ac:dyDescent="0.2"/>
    <row r="18" s="1" customFormat="1" x14ac:dyDescent="0.2"/>
    <row r="19" s="1" customFormat="1" x14ac:dyDescent="0.2"/>
    <row r="20" s="1" customFormat="1" x14ac:dyDescent="0.2"/>
    <row r="21" s="1" customFormat="1" x14ac:dyDescent="0.2"/>
    <row r="22" s="1" customFormat="1" x14ac:dyDescent="0.2"/>
    <row r="23" s="1" customFormat="1" x14ac:dyDescent="0.2"/>
    <row r="24" s="1" customFormat="1" x14ac:dyDescent="0.2"/>
    <row r="25" s="1" customFormat="1" x14ac:dyDescent="0.2"/>
    <row r="26" s="1" customFormat="1" x14ac:dyDescent="0.2"/>
    <row r="27" s="1" customFormat="1" x14ac:dyDescent="0.2"/>
    <row r="28" s="1" customFormat="1" x14ac:dyDescent="0.2"/>
    <row r="29" s="1" customFormat="1" x14ac:dyDescent="0.2"/>
    <row r="30" s="1" customFormat="1" x14ac:dyDescent="0.2"/>
    <row r="31" s="1" customFormat="1" x14ac:dyDescent="0.2"/>
    <row r="32" s="1" customFormat="1" x14ac:dyDescent="0.2"/>
    <row r="33" s="1" customFormat="1" x14ac:dyDescent="0.2"/>
    <row r="34" s="1" customFormat="1" x14ac:dyDescent="0.2"/>
    <row r="35" s="1" customFormat="1" x14ac:dyDescent="0.2"/>
    <row r="36" s="1" customFormat="1" x14ac:dyDescent="0.2"/>
    <row r="37" s="1" customFormat="1" x14ac:dyDescent="0.2"/>
    <row r="38" s="1" customFormat="1" x14ac:dyDescent="0.2"/>
    <row r="39" s="1" customFormat="1" x14ac:dyDescent="0.2"/>
    <row r="40" s="1" customFormat="1" x14ac:dyDescent="0.2"/>
    <row r="41" s="1" customFormat="1" x14ac:dyDescent="0.2"/>
    <row r="42" s="1" customFormat="1" x14ac:dyDescent="0.2"/>
    <row r="43" s="1" customFormat="1" x14ac:dyDescent="0.2"/>
    <row r="44" s="1" customFormat="1" x14ac:dyDescent="0.2"/>
    <row r="45" s="1" customFormat="1" x14ac:dyDescent="0.2"/>
    <row r="46" s="1" customFormat="1" x14ac:dyDescent="0.2"/>
    <row r="47" s="1" customFormat="1" x14ac:dyDescent="0.2"/>
    <row r="48" s="1" customFormat="1" x14ac:dyDescent="0.2"/>
    <row r="49" s="1" customFormat="1" x14ac:dyDescent="0.2"/>
    <row r="50" s="1" customFormat="1" x14ac:dyDescent="0.2"/>
    <row r="51" s="1" customFormat="1" x14ac:dyDescent="0.2"/>
    <row r="52" s="1" customFormat="1" x14ac:dyDescent="0.2"/>
    <row r="53" s="1" customFormat="1" x14ac:dyDescent="0.2"/>
    <row r="54" s="1" customFormat="1" x14ac:dyDescent="0.2"/>
    <row r="55" s="1" customFormat="1" x14ac:dyDescent="0.2"/>
    <row r="56" s="1" customFormat="1" x14ac:dyDescent="0.2"/>
    <row r="57" s="1" customFormat="1" x14ac:dyDescent="0.2"/>
    <row r="58" s="1" customFormat="1" x14ac:dyDescent="0.2"/>
    <row r="59" s="1" customFormat="1" x14ac:dyDescent="0.2"/>
    <row r="60" s="1" customFormat="1" x14ac:dyDescent="0.2"/>
    <row r="61" s="1" customFormat="1" x14ac:dyDescent="0.2"/>
    <row r="62" s="1" customFormat="1" x14ac:dyDescent="0.2"/>
    <row r="63" s="1" customFormat="1" x14ac:dyDescent="0.2"/>
    <row r="64" s="1" customFormat="1" x14ac:dyDescent="0.2"/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  <row r="94" s="1" customFormat="1" x14ac:dyDescent="0.2"/>
    <row r="95" s="1" customFormat="1" x14ac:dyDescent="0.2"/>
    <row r="96" s="1" customFormat="1" x14ac:dyDescent="0.2"/>
    <row r="97" spans="1:20" s="1" customFormat="1" x14ac:dyDescent="0.2"/>
    <row r="98" spans="1:20" s="1" customFormat="1" x14ac:dyDescent="0.2"/>
    <row r="99" spans="1:20" s="1" customFormat="1" x14ac:dyDescent="0.2"/>
    <row r="100" spans="1:20" s="1" customFormat="1" x14ac:dyDescent="0.2"/>
    <row r="101" spans="1:20" s="1" customFormat="1" x14ac:dyDescent="0.2"/>
    <row r="102" spans="1:20" s="1" customFormat="1" x14ac:dyDescent="0.2"/>
    <row r="103" spans="1:20" s="1" customFormat="1" x14ac:dyDescent="0.2"/>
    <row r="104" spans="1:20" s="1" customFormat="1" x14ac:dyDescent="0.2"/>
    <row r="105" spans="1:20" s="1" customFormat="1" x14ac:dyDescent="0.2"/>
    <row r="106" spans="1:20" s="1" customFormat="1" x14ac:dyDescent="0.2"/>
    <row r="107" spans="1:2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</sheetData>
  <sheetProtection password="CF7A" sheet="1" objects="1" scenarios="1"/>
  <pageMargins left="0.511811024" right="0.511811024" top="0.78740157499999996" bottom="0.78740157499999996" header="0.31496062000000002" footer="0.31496062000000002"/>
  <customProperties>
    <customPr name="DVSECTIONID" r:id="rId1"/>
  </customPropertie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/>
  <dimension ref="A1:T205"/>
  <sheetViews>
    <sheetView workbookViewId="0"/>
  </sheetViews>
  <sheetFormatPr defaultRowHeight="12.75" x14ac:dyDescent="0.2"/>
  <sheetData>
    <row r="1" spans="1:20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s="1" customFormat="1" x14ac:dyDescent="0.2"/>
    <row r="3" spans="1:20" s="1" customFormat="1" x14ac:dyDescent="0.2"/>
    <row r="4" spans="1:20" s="1" customFormat="1" x14ac:dyDescent="0.2"/>
    <row r="5" spans="1:20" s="1" customFormat="1" x14ac:dyDescent="0.2"/>
    <row r="6" spans="1:20" s="1" customFormat="1" x14ac:dyDescent="0.2"/>
    <row r="7" spans="1:20" s="1" customFormat="1" x14ac:dyDescent="0.2"/>
    <row r="8" spans="1:20" s="1" customFormat="1" x14ac:dyDescent="0.2"/>
    <row r="9" spans="1:20" s="1" customFormat="1" x14ac:dyDescent="0.2"/>
    <row r="10" spans="1:20" s="1" customFormat="1" x14ac:dyDescent="0.2"/>
    <row r="11" spans="1:20" s="1" customFormat="1" x14ac:dyDescent="0.2"/>
    <row r="12" spans="1:20" s="1" customFormat="1" x14ac:dyDescent="0.2"/>
    <row r="13" spans="1:20" s="1" customFormat="1" x14ac:dyDescent="0.2"/>
    <row r="14" spans="1:20" s="1" customFormat="1" x14ac:dyDescent="0.2"/>
    <row r="15" spans="1:20" s="1" customFormat="1" x14ac:dyDescent="0.2"/>
    <row r="16" spans="1:20" s="1" customFormat="1" x14ac:dyDescent="0.2"/>
    <row r="17" s="1" customFormat="1" x14ac:dyDescent="0.2"/>
    <row r="18" s="1" customFormat="1" x14ac:dyDescent="0.2"/>
    <row r="19" s="1" customFormat="1" x14ac:dyDescent="0.2"/>
    <row r="20" s="1" customFormat="1" x14ac:dyDescent="0.2"/>
    <row r="21" s="1" customFormat="1" x14ac:dyDescent="0.2"/>
    <row r="22" s="1" customFormat="1" x14ac:dyDescent="0.2"/>
    <row r="23" s="1" customFormat="1" x14ac:dyDescent="0.2"/>
    <row r="24" s="1" customFormat="1" x14ac:dyDescent="0.2"/>
    <row r="25" s="1" customFormat="1" x14ac:dyDescent="0.2"/>
    <row r="26" s="1" customFormat="1" x14ac:dyDescent="0.2"/>
    <row r="27" s="1" customFormat="1" x14ac:dyDescent="0.2"/>
    <row r="28" s="1" customFormat="1" x14ac:dyDescent="0.2"/>
    <row r="29" s="1" customFormat="1" x14ac:dyDescent="0.2"/>
    <row r="30" s="1" customFormat="1" x14ac:dyDescent="0.2"/>
    <row r="31" s="1" customFormat="1" x14ac:dyDescent="0.2"/>
    <row r="32" s="1" customFormat="1" x14ac:dyDescent="0.2"/>
    <row r="33" s="1" customFormat="1" x14ac:dyDescent="0.2"/>
    <row r="34" s="1" customFormat="1" x14ac:dyDescent="0.2"/>
    <row r="35" s="1" customFormat="1" x14ac:dyDescent="0.2"/>
    <row r="36" s="1" customFormat="1" x14ac:dyDescent="0.2"/>
    <row r="37" s="1" customFormat="1" x14ac:dyDescent="0.2"/>
    <row r="38" s="1" customFormat="1" x14ac:dyDescent="0.2"/>
    <row r="39" s="1" customFormat="1" x14ac:dyDescent="0.2"/>
    <row r="40" s="1" customFormat="1" x14ac:dyDescent="0.2"/>
    <row r="41" s="1" customFormat="1" x14ac:dyDescent="0.2"/>
    <row r="42" s="1" customFormat="1" x14ac:dyDescent="0.2"/>
    <row r="43" s="1" customFormat="1" x14ac:dyDescent="0.2"/>
    <row r="44" s="1" customFormat="1" x14ac:dyDescent="0.2"/>
    <row r="45" s="1" customFormat="1" x14ac:dyDescent="0.2"/>
    <row r="46" s="1" customFormat="1" x14ac:dyDescent="0.2"/>
    <row r="47" s="1" customFormat="1" x14ac:dyDescent="0.2"/>
    <row r="48" s="1" customFormat="1" x14ac:dyDescent="0.2"/>
    <row r="49" s="1" customFormat="1" x14ac:dyDescent="0.2"/>
    <row r="50" s="1" customFormat="1" x14ac:dyDescent="0.2"/>
    <row r="51" s="1" customFormat="1" x14ac:dyDescent="0.2"/>
    <row r="52" s="1" customFormat="1" x14ac:dyDescent="0.2"/>
    <row r="53" s="1" customFormat="1" x14ac:dyDescent="0.2"/>
    <row r="54" s="1" customFormat="1" x14ac:dyDescent="0.2"/>
    <row r="55" s="1" customFormat="1" x14ac:dyDescent="0.2"/>
    <row r="56" s="1" customFormat="1" x14ac:dyDescent="0.2"/>
    <row r="57" s="1" customFormat="1" x14ac:dyDescent="0.2"/>
    <row r="58" s="1" customFormat="1" x14ac:dyDescent="0.2"/>
    <row r="59" s="1" customFormat="1" x14ac:dyDescent="0.2"/>
    <row r="60" s="1" customFormat="1" x14ac:dyDescent="0.2"/>
    <row r="61" s="1" customFormat="1" x14ac:dyDescent="0.2"/>
    <row r="62" s="1" customFormat="1" x14ac:dyDescent="0.2"/>
    <row r="63" s="1" customFormat="1" x14ac:dyDescent="0.2"/>
    <row r="64" s="1" customFormat="1" x14ac:dyDescent="0.2"/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  <row r="94" s="1" customFormat="1" x14ac:dyDescent="0.2"/>
    <row r="95" s="1" customFormat="1" x14ac:dyDescent="0.2"/>
    <row r="96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  <row r="102" s="1" customFormat="1" x14ac:dyDescent="0.2"/>
    <row r="103" s="1" customFormat="1" x14ac:dyDescent="0.2"/>
    <row r="104" s="1" customFormat="1" x14ac:dyDescent="0.2"/>
    <row r="105" s="1" customFormat="1" x14ac:dyDescent="0.2"/>
    <row r="106" s="1" customFormat="1" x14ac:dyDescent="0.2"/>
    <row r="107" s="1" customFormat="1" x14ac:dyDescent="0.2"/>
    <row r="108" s="1" customFormat="1" x14ac:dyDescent="0.2"/>
    <row r="109" s="1" customFormat="1" x14ac:dyDescent="0.2"/>
    <row r="110" s="1" customFormat="1" x14ac:dyDescent="0.2"/>
    <row r="111" s="1" customFormat="1" x14ac:dyDescent="0.2"/>
    <row r="112" s="1" customFormat="1" x14ac:dyDescent="0.2"/>
    <row r="113" s="1" customFormat="1" x14ac:dyDescent="0.2"/>
    <row r="114" s="1" customFormat="1" x14ac:dyDescent="0.2"/>
    <row r="115" s="1" customFormat="1" x14ac:dyDescent="0.2"/>
    <row r="116" s="1" customFormat="1" x14ac:dyDescent="0.2"/>
    <row r="117" s="1" customFormat="1" x14ac:dyDescent="0.2"/>
    <row r="118" s="1" customFormat="1" x14ac:dyDescent="0.2"/>
    <row r="119" s="1" customFormat="1" x14ac:dyDescent="0.2"/>
    <row r="120" s="1" customFormat="1" x14ac:dyDescent="0.2"/>
    <row r="121" s="1" customFormat="1" x14ac:dyDescent="0.2"/>
    <row r="122" s="1" customFormat="1" x14ac:dyDescent="0.2"/>
    <row r="123" s="1" customFormat="1" x14ac:dyDescent="0.2"/>
    <row r="124" s="1" customFormat="1" x14ac:dyDescent="0.2"/>
    <row r="125" s="1" customFormat="1" x14ac:dyDescent="0.2"/>
    <row r="126" s="1" customFormat="1" x14ac:dyDescent="0.2"/>
    <row r="127" s="1" customFormat="1" x14ac:dyDescent="0.2"/>
    <row r="128" s="1" customFormat="1" x14ac:dyDescent="0.2"/>
    <row r="129" spans="1:2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</sheetData>
  <sheetProtection password="CF7A" sheet="1" objects="1" scenarios="1"/>
  <pageMargins left="0.511811024" right="0.511811024" top="0.78740157499999996" bottom="0.78740157499999996" header="0.31496062000000002" footer="0.31496062000000002"/>
  <customProperties>
    <customPr name="DVSECTIONID" r:id="rId1"/>
  </customPropertie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1:AN85"/>
  <sheetViews>
    <sheetView zoomScaleNormal="100" workbookViewId="0">
      <selection activeCell="E31" sqref="E31"/>
    </sheetView>
  </sheetViews>
  <sheetFormatPr defaultRowHeight="12.75" x14ac:dyDescent="0.2"/>
  <sheetData>
    <row r="1" spans="1:40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spans="1:4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spans="1:4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spans="1:4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1:4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spans="1:4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spans="1:4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</row>
    <row r="8" spans="1:4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</row>
    <row r="9" spans="1:4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</row>
    <row r="10" spans="1:4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</row>
    <row r="11" spans="1:4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</row>
    <row r="12" spans="1:4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</row>
    <row r="13" spans="1:4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</row>
    <row r="14" spans="1:4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</row>
    <row r="15" spans="1:4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</row>
    <row r="16" spans="1:4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</row>
    <row r="17" spans="1:4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</row>
    <row r="18" spans="1:4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</row>
    <row r="19" spans="1:4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</row>
    <row r="20" spans="1:4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</row>
    <row r="21" spans="1:4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spans="1:4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spans="1:4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spans="1:4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spans="1:4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spans="1:4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spans="1:4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spans="1:4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spans="1:4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spans="1:4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spans="1:4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spans="1:4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spans="1:4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spans="1:4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spans="1:4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spans="1:4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spans="1:40" s="1" customFormat="1" x14ac:dyDescent="0.2"/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</sheetData>
  <sheetProtection password="CF7A" sheet="1" objects="1" scenarios="1"/>
  <pageMargins left="0.511811024" right="0.511811024" top="0.78740157499999996" bottom="0.78740157499999996" header="0.31496062000000002" footer="0.31496062000000002"/>
  <customProperties>
    <customPr name="DVSECTIONID" r:id="rId1"/>
  </customPropertie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/>
  <dimension ref="A1:T135"/>
  <sheetViews>
    <sheetView workbookViewId="0"/>
  </sheetViews>
  <sheetFormatPr defaultRowHeight="12.75" x14ac:dyDescent="0.2"/>
  <sheetData>
    <row r="1" s="1" customFormat="1" x14ac:dyDescent="0.2"/>
    <row r="2" s="1" customFormat="1" x14ac:dyDescent="0.2"/>
    <row r="3" s="1" customFormat="1" x14ac:dyDescent="0.2"/>
    <row r="4" s="1" customFormat="1" x14ac:dyDescent="0.2"/>
    <row r="5" s="1" customFormat="1" x14ac:dyDescent="0.2"/>
    <row r="6" s="1" customFormat="1" x14ac:dyDescent="0.2"/>
    <row r="7" s="1" customFormat="1" x14ac:dyDescent="0.2"/>
    <row r="8" s="1" customFormat="1" x14ac:dyDescent="0.2"/>
    <row r="9" s="1" customFormat="1" x14ac:dyDescent="0.2"/>
    <row r="10" s="1" customFormat="1" x14ac:dyDescent="0.2"/>
    <row r="11" s="1" customFormat="1" x14ac:dyDescent="0.2"/>
    <row r="12" s="1" customFormat="1" x14ac:dyDescent="0.2"/>
    <row r="13" s="1" customFormat="1" x14ac:dyDescent="0.2"/>
    <row r="14" s="1" customFormat="1" x14ac:dyDescent="0.2"/>
    <row r="15" s="1" customFormat="1" x14ac:dyDescent="0.2"/>
    <row r="16" s="1" customFormat="1" x14ac:dyDescent="0.2"/>
    <row r="17" s="1" customFormat="1" x14ac:dyDescent="0.2"/>
    <row r="18" s="1" customFormat="1" x14ac:dyDescent="0.2"/>
    <row r="19" s="1" customFormat="1" x14ac:dyDescent="0.2"/>
    <row r="20" s="1" customFormat="1" x14ac:dyDescent="0.2"/>
    <row r="21" s="1" customFormat="1" x14ac:dyDescent="0.2"/>
    <row r="22" s="1" customFormat="1" x14ac:dyDescent="0.2"/>
    <row r="23" s="1" customFormat="1" x14ac:dyDescent="0.2"/>
    <row r="24" s="1" customFormat="1" x14ac:dyDescent="0.2"/>
    <row r="25" s="1" customFormat="1" x14ac:dyDescent="0.2"/>
    <row r="26" s="1" customFormat="1" x14ac:dyDescent="0.2"/>
    <row r="27" s="1" customFormat="1" x14ac:dyDescent="0.2"/>
    <row r="28" s="1" customFormat="1" x14ac:dyDescent="0.2"/>
    <row r="29" s="1" customFormat="1" x14ac:dyDescent="0.2"/>
    <row r="30" s="1" customFormat="1" x14ac:dyDescent="0.2"/>
    <row r="31" s="1" customFormat="1" x14ac:dyDescent="0.2"/>
    <row r="32" s="1" customFormat="1" x14ac:dyDescent="0.2"/>
    <row r="33" s="1" customFormat="1" x14ac:dyDescent="0.2"/>
    <row r="34" s="1" customFormat="1" x14ac:dyDescent="0.2"/>
    <row r="35" s="1" customFormat="1" x14ac:dyDescent="0.2"/>
    <row r="36" s="1" customFormat="1" x14ac:dyDescent="0.2"/>
    <row r="37" s="1" customFormat="1" x14ac:dyDescent="0.2"/>
    <row r="38" s="1" customFormat="1" x14ac:dyDescent="0.2"/>
    <row r="39" s="1" customFormat="1" x14ac:dyDescent="0.2"/>
    <row r="40" s="1" customFormat="1" x14ac:dyDescent="0.2"/>
    <row r="41" s="1" customFormat="1" x14ac:dyDescent="0.2"/>
    <row r="42" s="1" customFormat="1" x14ac:dyDescent="0.2"/>
    <row r="43" s="1" customFormat="1" x14ac:dyDescent="0.2"/>
    <row r="44" s="1" customFormat="1" x14ac:dyDescent="0.2"/>
    <row r="45" s="1" customFormat="1" x14ac:dyDescent="0.2"/>
    <row r="46" s="1" customFormat="1" x14ac:dyDescent="0.2"/>
    <row r="47" s="1" customFormat="1" x14ac:dyDescent="0.2"/>
    <row r="48" s="1" customFormat="1" x14ac:dyDescent="0.2"/>
    <row r="49" s="1" customFormat="1" x14ac:dyDescent="0.2"/>
    <row r="50" s="1" customFormat="1" x14ac:dyDescent="0.2"/>
    <row r="51" s="1" customFormat="1" x14ac:dyDescent="0.2"/>
    <row r="52" s="1" customFormat="1" x14ac:dyDescent="0.2"/>
    <row r="53" s="1" customFormat="1" x14ac:dyDescent="0.2"/>
    <row r="54" s="1" customFormat="1" x14ac:dyDescent="0.2"/>
    <row r="55" s="1" customFormat="1" x14ac:dyDescent="0.2"/>
    <row r="56" s="1" customFormat="1" x14ac:dyDescent="0.2"/>
    <row r="57" s="1" customFormat="1" x14ac:dyDescent="0.2"/>
    <row r="58" s="1" customFormat="1" x14ac:dyDescent="0.2"/>
    <row r="59" s="1" customFormat="1" x14ac:dyDescent="0.2"/>
    <row r="60" s="1" customFormat="1" x14ac:dyDescent="0.2"/>
    <row r="61" s="1" customFormat="1" x14ac:dyDescent="0.2"/>
    <row r="62" s="1" customFormat="1" x14ac:dyDescent="0.2"/>
    <row r="63" s="1" customFormat="1" x14ac:dyDescent="0.2"/>
    <row r="64" s="1" customFormat="1" x14ac:dyDescent="0.2"/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  <row r="94" s="1" customFormat="1" x14ac:dyDescent="0.2"/>
    <row r="95" s="1" customFormat="1" x14ac:dyDescent="0.2"/>
    <row r="96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  <row r="102" s="1" customFormat="1" x14ac:dyDescent="0.2"/>
    <row r="103" s="1" customFormat="1" x14ac:dyDescent="0.2"/>
    <row r="104" s="1" customFormat="1" x14ac:dyDescent="0.2"/>
    <row r="105" s="1" customFormat="1" x14ac:dyDescent="0.2"/>
    <row r="106" s="1" customFormat="1" x14ac:dyDescent="0.2"/>
    <row r="107" s="1" customFormat="1" x14ac:dyDescent="0.2"/>
    <row r="108" s="1" customFormat="1" x14ac:dyDescent="0.2"/>
    <row r="109" s="1" customFormat="1" x14ac:dyDescent="0.2"/>
    <row r="110" s="1" customFormat="1" x14ac:dyDescent="0.2"/>
    <row r="111" s="1" customFormat="1" x14ac:dyDescent="0.2"/>
    <row r="112" s="1" customFormat="1" x14ac:dyDescent="0.2"/>
    <row r="113" s="1" customFormat="1" x14ac:dyDescent="0.2"/>
    <row r="114" s="1" customFormat="1" x14ac:dyDescent="0.2"/>
    <row r="115" s="1" customFormat="1" x14ac:dyDescent="0.2"/>
    <row r="116" s="1" customFormat="1" x14ac:dyDescent="0.2"/>
    <row r="117" s="1" customFormat="1" x14ac:dyDescent="0.2"/>
    <row r="118" s="1" customFormat="1" x14ac:dyDescent="0.2"/>
    <row r="119" s="1" customFormat="1" x14ac:dyDescent="0.2"/>
    <row r="120" s="1" customFormat="1" x14ac:dyDescent="0.2"/>
    <row r="121" s="1" customFormat="1" x14ac:dyDescent="0.2"/>
    <row r="122" s="1" customFormat="1" x14ac:dyDescent="0.2"/>
    <row r="123" s="1" customFormat="1" x14ac:dyDescent="0.2"/>
    <row r="124" s="1" customFormat="1" x14ac:dyDescent="0.2"/>
    <row r="125" s="1" customFormat="1" x14ac:dyDescent="0.2"/>
    <row r="126" s="1" customFormat="1" x14ac:dyDescent="0.2"/>
    <row r="127" s="1" customFormat="1" x14ac:dyDescent="0.2"/>
    <row r="128" s="1" customFormat="1" x14ac:dyDescent="0.2"/>
    <row r="129" spans="1:20" s="1" customFormat="1" x14ac:dyDescent="0.2"/>
    <row r="130" spans="1:20" s="1" customFormat="1" x14ac:dyDescent="0.2"/>
    <row r="131" spans="1:20" s="1" customFormat="1" x14ac:dyDescent="0.2"/>
    <row r="132" spans="1:20" s="1" customFormat="1" x14ac:dyDescent="0.2"/>
    <row r="133" spans="1:20" s="1" customFormat="1" x14ac:dyDescent="0.2"/>
    <row r="134" spans="1:2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</sheetData>
  <sheetProtection password="CF7A" sheet="1" objects="1" scenarios="1"/>
  <pageMargins left="0.511811024" right="0.511811024" top="0.78740157499999996" bottom="0.78740157499999996" header="0.31496062000000002" footer="0.31496062000000002"/>
  <customProperties>
    <customPr name="DVSECTION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AQ153"/>
  <sheetViews>
    <sheetView workbookViewId="0"/>
  </sheetViews>
  <sheetFormatPr defaultRowHeight="12.75" x14ac:dyDescent="0.2"/>
  <cols>
    <col min="25" max="43" width="9.140625" style="1"/>
  </cols>
  <sheetData>
    <row r="1" spans="1:24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2">
      <c r="O153" s="1"/>
      <c r="P153" s="1"/>
      <c r="Q153" s="1"/>
      <c r="R153" s="1"/>
      <c r="S153" s="1"/>
      <c r="T153" s="1"/>
      <c r="U153" s="1"/>
      <c r="V153" s="1"/>
      <c r="W153" s="1"/>
      <c r="X153" s="1"/>
    </row>
  </sheetData>
  <phoneticPr fontId="4" type="noConversion"/>
  <pageMargins left="0.78740157499999996" right="0.78740157499999996" top="0.984251969" bottom="0.984251969" header="0.5" footer="0.5"/>
  <headerFooter alignWithMargins="0"/>
  <customProperties>
    <customPr name="DVSECTIONID" r:id="rId1"/>
  </customPropertie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/>
  <dimension ref="A1"/>
  <sheetViews>
    <sheetView workbookViewId="0">
      <selection activeCell="O21" sqref="O21"/>
    </sheetView>
  </sheetViews>
  <sheetFormatPr defaultRowHeight="12.75" x14ac:dyDescent="0.2"/>
  <sheetData/>
  <pageMargins left="0.511811024" right="0.511811024" top="0.78740157499999996" bottom="0.78740157499999996" header="0.31496062000000002" footer="0.31496062000000002"/>
  <customProperties>
    <customPr name="DVSECTIONID" r:id="rId1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/>
  <dimension ref="A1:IV185"/>
  <sheetViews>
    <sheetView workbookViewId="0">
      <selection activeCell="AA176" sqref="AA176"/>
    </sheetView>
  </sheetViews>
  <sheetFormatPr defaultRowHeight="12.75" x14ac:dyDescent="0.2"/>
  <sheetData>
    <row r="1" spans="1:256" x14ac:dyDescent="0.2">
      <c r="A1">
        <f>IF(apresentação!1:1,"AAAAAH+X+wA=",0)</f>
        <v>0</v>
      </c>
      <c r="B1">
        <f>IF(apresentação!4:4,"AAAAAH+X+wE=",0)</f>
        <v>0</v>
      </c>
      <c r="C1">
        <f>IF(apresentação!5:5,"AAAAAH+X+wI=",0)</f>
        <v>0</v>
      </c>
      <c r="D1">
        <f>IF(apresentação!6:6,"AAAAAH+X+wM=",0)</f>
        <v>0</v>
      </c>
      <c r="E1">
        <f>IF(apresentação!7:7,"AAAAAH+X+wQ=",0)</f>
        <v>0</v>
      </c>
      <c r="F1">
        <f>IF(apresentação!8:8,"AAAAAH+X+wU=",0)</f>
        <v>0</v>
      </c>
      <c r="G1">
        <f>IF(apresentação!9:9,"AAAAAH+X+wY=",0)</f>
        <v>0</v>
      </c>
      <c r="H1">
        <f>IF(apresentação!10:10,"AAAAAH+X+wc=",0)</f>
        <v>0</v>
      </c>
      <c r="I1">
        <f>IF(apresentação!11:11,"AAAAAH+X+wg=",0)</f>
        <v>0</v>
      </c>
      <c r="J1">
        <f>IF(apresentação!12:12,"AAAAAH+X+wk=",0)</f>
        <v>0</v>
      </c>
      <c r="K1">
        <f>IF(apresentação!13:13,"AAAAAH+X+wo=",0)</f>
        <v>0</v>
      </c>
      <c r="L1">
        <f>IF(apresentação!14:14,"AAAAAH+X+ws=",0)</f>
        <v>0</v>
      </c>
      <c r="M1">
        <f>IF(apresentação!15:15,"AAAAAH+X+ww=",0)</f>
        <v>0</v>
      </c>
      <c r="N1">
        <f>IF(apresentação!16:16,"AAAAAH+X+w0=",0)</f>
        <v>0</v>
      </c>
      <c r="O1">
        <f>IF(apresentação!17:17,"AAAAAH+X+w4=",0)</f>
        <v>0</v>
      </c>
      <c r="P1">
        <f>IF(apresentação!18:18,"AAAAAH+X+w8=",0)</f>
        <v>0</v>
      </c>
      <c r="Q1">
        <f>IF(apresentação!19:19,"AAAAAH+X+xA=",0)</f>
        <v>0</v>
      </c>
      <c r="R1">
        <f>IF(apresentação!20:20,"AAAAAH+X+xE=",0)</f>
        <v>0</v>
      </c>
      <c r="S1">
        <f>IF(apresentação!21:21,"AAAAAH+X+xI=",0)</f>
        <v>0</v>
      </c>
      <c r="T1">
        <f>IF(apresentação!22:22,"AAAAAH+X+xM=",0)</f>
        <v>0</v>
      </c>
      <c r="U1">
        <f>IF(apresentação!23:23,"AAAAAH+X+xQ=",0)</f>
        <v>0</v>
      </c>
      <c r="V1">
        <f>IF(apresentação!24:24,"AAAAAH+X+xU=",0)</f>
        <v>0</v>
      </c>
      <c r="W1">
        <f>IF(apresentação!25:25,"AAAAAH+X+xY=",0)</f>
        <v>0</v>
      </c>
      <c r="X1">
        <f>IF(apresentação!26:26,"AAAAAH+X+xc=",0)</f>
        <v>0</v>
      </c>
      <c r="Y1">
        <f>IF(apresentação!27:27,"AAAAAH+X+xg=",0)</f>
        <v>0</v>
      </c>
      <c r="Z1">
        <f>IF(apresentação!28:28,"AAAAAH+X+xk=",0)</f>
        <v>0</v>
      </c>
      <c r="AA1">
        <f>IF(apresentação!29:29,"AAAAAH+X+xo=",0)</f>
        <v>0</v>
      </c>
      <c r="AB1">
        <f>IF(apresentação!30:30,"AAAAAH+X+xs=",0)</f>
        <v>0</v>
      </c>
      <c r="AC1">
        <f>IF(apresentação!31:31,"AAAAAH+X+xw=",0)</f>
        <v>0</v>
      </c>
      <c r="AD1">
        <f>IF(apresentação!32:32,"AAAAAH+X+x0=",0)</f>
        <v>0</v>
      </c>
      <c r="AE1">
        <f>IF(apresentação!33:33,"AAAAAH+X+x4=",0)</f>
        <v>0</v>
      </c>
      <c r="AF1">
        <f>IF(apresentação!34:34,"AAAAAH+X+x8=",0)</f>
        <v>0</v>
      </c>
      <c r="AG1">
        <f>IF(apresentação!35:35,"AAAAAH+X+yA=",0)</f>
        <v>0</v>
      </c>
      <c r="AH1">
        <f>IF(apresentação!36:36,"AAAAAH+X+yE=",0)</f>
        <v>0</v>
      </c>
      <c r="AI1">
        <f>IF(apresentação!37:37,"AAAAAH+X+yI=",0)</f>
        <v>0</v>
      </c>
      <c r="AJ1">
        <f>IF(apresentação!38:38,"AAAAAH+X+yM=",0)</f>
        <v>0</v>
      </c>
      <c r="AK1">
        <f>IF(apresentação!C:C,"AAAAAH+X+yQ=",0)</f>
        <v>0</v>
      </c>
      <c r="AL1">
        <f>IF(apresentação!D:D,"AAAAAH+X+yU=",0)</f>
        <v>0</v>
      </c>
      <c r="AM1">
        <f>IF(apresentação!E:E,"AAAAAH+X+yY=",0)</f>
        <v>0</v>
      </c>
      <c r="AN1">
        <f>IF(apresentação!F:F,"AAAAAH+X+yc=",0)</f>
        <v>0</v>
      </c>
      <c r="AO1">
        <f>IF(apresentação!G:G,"AAAAAH+X+yg=",0)</f>
        <v>0</v>
      </c>
      <c r="AP1">
        <f>IF(apresentação!H:H,"AAAAAH+X+yk=",0)</f>
        <v>0</v>
      </c>
      <c r="AQ1">
        <f>IF(apresentação!I:I,"AAAAAH+X+yo=",0)</f>
        <v>0</v>
      </c>
      <c r="AR1">
        <f>IF(apresentação!J:J,"AAAAAH+X+ys=",0)</f>
        <v>0</v>
      </c>
      <c r="AS1">
        <f>IF(apresentação!K:K,"AAAAAH+X+yw=",0)</f>
        <v>0</v>
      </c>
      <c r="AT1">
        <f>IF(apresentação!L:L,"AAAAAH+X+y0=",0)</f>
        <v>0</v>
      </c>
      <c r="AU1">
        <f>IF(apresentação!M:M,"AAAAAH+X+y4=",0)</f>
        <v>0</v>
      </c>
      <c r="AV1">
        <f>IF(apresentação!N:N,"AAAAAH+X+y8=",0)</f>
        <v>0</v>
      </c>
      <c r="AW1">
        <f>IF(apresentação!O:O,"AAAAAH+X+zA=",0)</f>
        <v>0</v>
      </c>
      <c r="AX1">
        <f>IF(apresentação!P:P,"AAAAAH+X+zE=",0)</f>
        <v>0</v>
      </c>
      <c r="AY1">
        <f>IF(apresentação!Q:Q,"AAAAAH+X+zI=",0)</f>
        <v>0</v>
      </c>
      <c r="AZ1">
        <f>IF(apresentação!R:R,"AAAAAH+X+zM=",0)</f>
        <v>0</v>
      </c>
      <c r="BA1">
        <f>IF(apresentação!S:S,"AAAAAH+X+zQ=",0)</f>
        <v>0</v>
      </c>
      <c r="BB1">
        <f>IF(apresentação!T:T,"AAAAAH+X+zU=",0)</f>
        <v>0</v>
      </c>
      <c r="BC1">
        <f>IF(apresentação!U:U,"AAAAAH+X+zY=",0)</f>
        <v>0</v>
      </c>
      <c r="BD1">
        <f>IF(apresentação!V:V,"AAAAAH+X+zc=",0)</f>
        <v>0</v>
      </c>
      <c r="BE1">
        <f>IF(apresentação!W:W,"AAAAAH+X+zg=",0)</f>
        <v>0</v>
      </c>
      <c r="BF1">
        <f>IF(instru!1:1,"AAAAAH+X+zk=",0)</f>
        <v>0</v>
      </c>
      <c r="BG1">
        <f>IF(instru!2:2,"AAAAAH+X+zo=",0)</f>
        <v>0</v>
      </c>
      <c r="BH1">
        <f>IF(instru!3:3,"AAAAAH+X+zs=",0)</f>
        <v>0</v>
      </c>
      <c r="BI1">
        <f>IF(instru!4:4,"AAAAAH+X+zw=",0)</f>
        <v>0</v>
      </c>
      <c r="BJ1">
        <f>IF(instru!7:7,"AAAAAH+X+z0=",0)</f>
        <v>0</v>
      </c>
      <c r="BK1">
        <f>IF(instru!8:8,"AAAAAH+X+z4=",0)</f>
        <v>0</v>
      </c>
      <c r="BL1">
        <f>IF(instru!9:9,"AAAAAH+X+z8=",0)</f>
        <v>0</v>
      </c>
      <c r="BM1">
        <f>IF(instru!10:10,"AAAAAH+X+0A=",0)</f>
        <v>0</v>
      </c>
      <c r="BN1">
        <f>IF(instru!11:11,"AAAAAH+X+0E=",0)</f>
        <v>0</v>
      </c>
      <c r="BO1">
        <f>IF(instru!12:12,"AAAAAH+X+0I=",0)</f>
        <v>0</v>
      </c>
      <c r="BP1">
        <f>IF(instru!13:13,"AAAAAH+X+0M=",0)</f>
        <v>0</v>
      </c>
      <c r="BQ1">
        <f>IF(instru!14:14,"AAAAAH+X+0Q=",0)</f>
        <v>0</v>
      </c>
      <c r="BR1">
        <f>IF(instru!15:15,"AAAAAH+X+0U=",0)</f>
        <v>0</v>
      </c>
      <c r="BS1">
        <f>IF(instru!16:16,"AAAAAH+X+0Y=",0)</f>
        <v>0</v>
      </c>
      <c r="BT1">
        <f>IF(instru!17:17,"AAAAAH+X+0c=",0)</f>
        <v>0</v>
      </c>
      <c r="BU1">
        <f>IF(instru!18:18,"AAAAAH+X+0g=",0)</f>
        <v>0</v>
      </c>
      <c r="BV1">
        <f>IF(instru!19:19,"AAAAAH+X+0k=",0)</f>
        <v>0</v>
      </c>
      <c r="BW1">
        <f>IF(instru!20:20,"AAAAAH+X+0o=",0)</f>
        <v>0</v>
      </c>
      <c r="BX1">
        <f>IF(instru!21:21,"AAAAAH+X+0s=",0)</f>
        <v>0</v>
      </c>
      <c r="BY1">
        <f>IF(instru!22:22,"AAAAAH+X+0w=",0)</f>
        <v>0</v>
      </c>
      <c r="BZ1">
        <f>IF(instru!23:23,"AAAAAH+X+00=",0)</f>
        <v>0</v>
      </c>
      <c r="CA1">
        <f>IF(instru!24:24,"AAAAAH+X+04=",0)</f>
        <v>0</v>
      </c>
      <c r="CB1">
        <f>IF(instru!25:25,"AAAAAH+X+08=",0)</f>
        <v>0</v>
      </c>
      <c r="CC1">
        <f>IF(instru!26:26,"AAAAAH+X+1A=",0)</f>
        <v>0</v>
      </c>
      <c r="CD1">
        <f>IF(instru!27:27,"AAAAAH+X+1E=",0)</f>
        <v>0</v>
      </c>
      <c r="CE1">
        <f>IF(instru!28:28,"AAAAAH+X+1I=",0)</f>
        <v>0</v>
      </c>
      <c r="CF1">
        <f>IF(instru!29:29,"AAAAAH+X+1M=",0)</f>
        <v>0</v>
      </c>
      <c r="CG1">
        <f>IF(instru!30:30,"AAAAAH+X+1Q=",0)</f>
        <v>0</v>
      </c>
      <c r="CH1">
        <f>IF(instru!31:31,"AAAAAH+X+1U=",0)</f>
        <v>0</v>
      </c>
      <c r="CI1">
        <f>IF(instru!32:32,"AAAAAH+X+1Y=",0)</f>
        <v>0</v>
      </c>
      <c r="CJ1">
        <f>IF(instru!33:33,"AAAAAH+X+1c=",0)</f>
        <v>0</v>
      </c>
      <c r="CK1">
        <f>IF(instru!34:34,"AAAAAH+X+1g=",0)</f>
        <v>0</v>
      </c>
      <c r="CL1">
        <f>IF(instru!35:35,"AAAAAH+X+1k=",0)</f>
        <v>0</v>
      </c>
      <c r="CM1">
        <f>IF(instru!36:36,"AAAAAH+X+1o=",0)</f>
        <v>0</v>
      </c>
      <c r="CN1">
        <f>IF(instru!37:37,"AAAAAH+X+1s=",0)</f>
        <v>0</v>
      </c>
      <c r="CO1">
        <f>IF(instru!38:38,"AAAAAH+X+1w=",0)</f>
        <v>0</v>
      </c>
      <c r="CP1">
        <f>IF(instru!39:39,"AAAAAH+X+10=",0)</f>
        <v>0</v>
      </c>
      <c r="CQ1">
        <f>IF(instru!40:40,"AAAAAH+X+14=",0)</f>
        <v>0</v>
      </c>
      <c r="CR1">
        <f>IF(instru!41:41,"AAAAAH+X+18=",0)</f>
        <v>0</v>
      </c>
      <c r="CS1">
        <f>IF(instru!42:42,"AAAAAH+X+2A=",0)</f>
        <v>0</v>
      </c>
      <c r="CT1">
        <f>IF(instru!43:43,"AAAAAH+X+2E=",0)</f>
        <v>0</v>
      </c>
      <c r="CU1">
        <f>IF(instru!44:44,"AAAAAH+X+2I=",0)</f>
        <v>0</v>
      </c>
      <c r="CV1">
        <f>IF(instru!45:45,"AAAAAH+X+2M=",0)</f>
        <v>0</v>
      </c>
      <c r="CW1">
        <f>IF(instru!46:46,"AAAAAH+X+2Q=",0)</f>
        <v>0</v>
      </c>
      <c r="CX1">
        <f>IF(instru!47:47,"AAAAAH+X+2U=",0)</f>
        <v>0</v>
      </c>
      <c r="CY1">
        <f>IF(instru!48:48,"AAAAAH+X+2Y=",0)</f>
        <v>0</v>
      </c>
      <c r="CZ1">
        <f>IF(instru!49:49,"AAAAAH+X+2c=",0)</f>
        <v>0</v>
      </c>
      <c r="DA1">
        <f>IF(instru!50:50,"AAAAAH+X+2g=",0)</f>
        <v>0</v>
      </c>
      <c r="DB1">
        <f>IF(instru!51:51,"AAAAAH+X+2k=",0)</f>
        <v>0</v>
      </c>
      <c r="DC1">
        <f>IF(instru!52:52,"AAAAAH+X+2o=",0)</f>
        <v>0</v>
      </c>
      <c r="DD1">
        <f>IF(instru!53:53,"AAAAAH+X+2s=",0)</f>
        <v>0</v>
      </c>
      <c r="DE1">
        <f>IF(instru!54:54,"AAAAAH+X+2w=",0)</f>
        <v>0</v>
      </c>
      <c r="DF1">
        <f>IF(instru!55:55,"AAAAAH+X+20=",0)</f>
        <v>0</v>
      </c>
      <c r="DG1">
        <f>IF(instru!56:56,"AAAAAH+X+24=",0)</f>
        <v>0</v>
      </c>
      <c r="DH1">
        <f>IF(instru!57:57,"AAAAAH+X+28=",0)</f>
        <v>0</v>
      </c>
      <c r="DI1">
        <f>IF(instru!58:58,"AAAAAH+X+3A=",0)</f>
        <v>0</v>
      </c>
      <c r="DJ1">
        <f>IF(instru!59:59,"AAAAAH+X+3E=",0)</f>
        <v>0</v>
      </c>
      <c r="DK1">
        <f>IF(instru!60:60,"AAAAAH+X+3I=",0)</f>
        <v>0</v>
      </c>
      <c r="DL1">
        <f>IF(instru!61:61,"AAAAAH+X+3M=",0)</f>
        <v>0</v>
      </c>
      <c r="DM1">
        <f>IF(instru!62:62,"AAAAAH+X+3Q=",0)</f>
        <v>0</v>
      </c>
      <c r="DN1">
        <f>IF(instru!63:63,"AAAAAH+X+3U=",0)</f>
        <v>0</v>
      </c>
      <c r="DO1">
        <f>IF(instru!64:64,"AAAAAH+X+3Y=",0)</f>
        <v>0</v>
      </c>
      <c r="DP1">
        <f>IF(instru!65:65,"AAAAAH+X+3c=",0)</f>
        <v>0</v>
      </c>
      <c r="DQ1">
        <f>IF(instru!66:66,"AAAAAH+X+3g=",0)</f>
        <v>0</v>
      </c>
      <c r="DR1">
        <f>IF(instru!67:67,"AAAAAH+X+3k=",0)</f>
        <v>0</v>
      </c>
      <c r="DS1">
        <f>IF(instru!68:68,"AAAAAH+X+3o=",0)</f>
        <v>0</v>
      </c>
      <c r="DT1">
        <f>IF(instru!69:69,"AAAAAH+X+3s=",0)</f>
        <v>0</v>
      </c>
      <c r="DU1">
        <f>IF(instru!70:70,"AAAAAH+X+3w=",0)</f>
        <v>0</v>
      </c>
      <c r="DV1">
        <f>IF(instru!71:71,"AAAAAH+X+30=",0)</f>
        <v>0</v>
      </c>
      <c r="DW1">
        <f>IF(instru!72:72,"AAAAAH+X+34=",0)</f>
        <v>0</v>
      </c>
      <c r="DX1">
        <f>IF(instru!73:73,"AAAAAH+X+38=",0)</f>
        <v>0</v>
      </c>
      <c r="DY1">
        <f>IF(instru!74:74,"AAAAAH+X+4A=",0)</f>
        <v>0</v>
      </c>
      <c r="DZ1">
        <f>IF(instru!75:75,"AAAAAH+X+4E=",0)</f>
        <v>0</v>
      </c>
      <c r="EA1">
        <f>IF(instru!76:76,"AAAAAH+X+4I=",0)</f>
        <v>0</v>
      </c>
      <c r="EB1">
        <f>IF(instru!77:77,"AAAAAH+X+4M=",0)</f>
        <v>0</v>
      </c>
      <c r="EC1">
        <f>IF(instru!78:78,"AAAAAH+X+4Q=",0)</f>
        <v>0</v>
      </c>
      <c r="ED1">
        <f>IF(instru!79:79,"AAAAAH+X+4U=",0)</f>
        <v>0</v>
      </c>
      <c r="EE1">
        <f>IF(instru!80:80,"AAAAAH+X+4Y=",0)</f>
        <v>0</v>
      </c>
      <c r="EF1">
        <f>IF(instru!81:81,"AAAAAH+X+4c=",0)</f>
        <v>0</v>
      </c>
      <c r="EG1">
        <f>IF(instru!82:82,"AAAAAH+X+4g=",0)</f>
        <v>0</v>
      </c>
      <c r="EH1">
        <f>IF(instru!83:83,"AAAAAH+X+4k=",0)</f>
        <v>0</v>
      </c>
      <c r="EI1">
        <f>IF(instru!84:84,"AAAAAH+X+4o=",0)</f>
        <v>0</v>
      </c>
      <c r="EJ1">
        <f>IF(instru!85:85,"AAAAAH+X+4s=",0)</f>
        <v>0</v>
      </c>
      <c r="EK1">
        <f>IF(instru!86:86,"AAAAAH+X+4w=",0)</f>
        <v>0</v>
      </c>
      <c r="EL1">
        <f>IF(instru!87:87,"AAAAAH+X+40=",0)</f>
        <v>0</v>
      </c>
      <c r="EM1">
        <f>IF(instru!88:88,"AAAAAH+X+44=",0)</f>
        <v>0</v>
      </c>
      <c r="EN1">
        <f>IF(instru!89:89,"AAAAAH+X+48=",0)</f>
        <v>0</v>
      </c>
      <c r="EO1">
        <f>IF(instru!90:90,"AAAAAH+X+5A=",0)</f>
        <v>0</v>
      </c>
      <c r="EP1">
        <f>IF(instru!91:91,"AAAAAH+X+5E=",0)</f>
        <v>0</v>
      </c>
      <c r="EQ1">
        <f>IF(instru!92:92,"AAAAAH+X+5I=",0)</f>
        <v>0</v>
      </c>
      <c r="ER1">
        <f>IF(instru!93:93,"AAAAAH+X+5M=",0)</f>
        <v>0</v>
      </c>
      <c r="ES1">
        <f>IF(instru!94:94,"AAAAAH+X+5Q=",0)</f>
        <v>0</v>
      </c>
      <c r="ET1">
        <f>IF(instru!95:95,"AAAAAH+X+5U=",0)</f>
        <v>0</v>
      </c>
      <c r="EU1">
        <f>IF(instru!96:96,"AAAAAH+X+5Y=",0)</f>
        <v>0</v>
      </c>
      <c r="EV1">
        <f>IF(instru!97:97,"AAAAAH+X+5c=",0)</f>
        <v>0</v>
      </c>
      <c r="EW1">
        <f>IF(instru!98:98,"AAAAAH+X+5g=",0)</f>
        <v>0</v>
      </c>
      <c r="EX1">
        <f>IF(instru!99:99,"AAAAAH+X+5k=",0)</f>
        <v>0</v>
      </c>
      <c r="EY1">
        <f>IF(instru!100:100,"AAAAAH+X+5o=",0)</f>
        <v>0</v>
      </c>
      <c r="EZ1">
        <f>IF(instru!101:101,"AAAAAH+X+5s=",0)</f>
        <v>0</v>
      </c>
      <c r="FA1">
        <f>IF(instru!102:102,"AAAAAH+X+5w=",0)</f>
        <v>0</v>
      </c>
      <c r="FB1">
        <f>IF(instru!103:103,"AAAAAH+X+50=",0)</f>
        <v>0</v>
      </c>
      <c r="FC1">
        <f>IF(instru!104:104,"AAAAAH+X+54=",0)</f>
        <v>0</v>
      </c>
      <c r="FD1">
        <f>IF(instru!105:105,"AAAAAH+X+58=",0)</f>
        <v>0</v>
      </c>
      <c r="FE1">
        <f>IF(instru!106:106,"AAAAAH+X+6A=",0)</f>
        <v>0</v>
      </c>
      <c r="FF1">
        <f>IF(instru!107:107,"AAAAAH+X+6E=",0)</f>
        <v>0</v>
      </c>
      <c r="FG1">
        <f>IF(instru!108:108,"AAAAAH+X+6I=",0)</f>
        <v>0</v>
      </c>
      <c r="FH1">
        <f>IF(instru!109:109,"AAAAAH+X+6M=",0)</f>
        <v>0</v>
      </c>
      <c r="FI1">
        <f>IF(instru!110:110,"AAAAAH+X+6Q=",0)</f>
        <v>0</v>
      </c>
      <c r="FJ1">
        <f>IF(instru!111:111,"AAAAAH+X+6U=",0)</f>
        <v>0</v>
      </c>
      <c r="FK1">
        <f>IF(instru!112:112,"AAAAAH+X+6Y=",0)</f>
        <v>0</v>
      </c>
      <c r="FL1">
        <f>IF(instru!113:113,"AAAAAH+X+6c=",0)</f>
        <v>0</v>
      </c>
      <c r="FM1">
        <f>IF(instru!114:114,"AAAAAH+X+6g=",0)</f>
        <v>0</v>
      </c>
      <c r="FN1">
        <f>IF(instru!115:115,"AAAAAH+X+6k=",0)</f>
        <v>0</v>
      </c>
      <c r="FO1">
        <f>IF(instru!116:116,"AAAAAH+X+6o=",0)</f>
        <v>0</v>
      </c>
      <c r="FP1">
        <f>IF(instru!117:117,"AAAAAH+X+6s=",0)</f>
        <v>0</v>
      </c>
      <c r="FQ1">
        <f>IF(instru!118:118,"AAAAAH+X+6w=",0)</f>
        <v>0</v>
      </c>
      <c r="FR1">
        <f>IF(instru!119:119,"AAAAAH+X+60=",0)</f>
        <v>0</v>
      </c>
      <c r="FS1">
        <f>IF(instru!120:120,"AAAAAH+X+64=",0)</f>
        <v>0</v>
      </c>
      <c r="FT1">
        <f>IF(instru!121:121,"AAAAAH+X+68=",0)</f>
        <v>0</v>
      </c>
      <c r="FU1">
        <f>IF(instru!122:122,"AAAAAH+X+7A=",0)</f>
        <v>0</v>
      </c>
      <c r="FV1">
        <f>IF(instru!123:123,"AAAAAH+X+7E=",0)</f>
        <v>0</v>
      </c>
      <c r="FW1">
        <f>IF(instru!124:124,"AAAAAH+X+7I=",0)</f>
        <v>0</v>
      </c>
      <c r="FX1">
        <f>IF(instru!125:125,"AAAAAH+X+7M=",0)</f>
        <v>0</v>
      </c>
      <c r="FY1">
        <f>IF(instru!126:126,"AAAAAH+X+7Q=",0)</f>
        <v>0</v>
      </c>
      <c r="FZ1">
        <f>IF(instru!127:127,"AAAAAH+X+7U=",0)</f>
        <v>0</v>
      </c>
      <c r="GA1">
        <f>IF(instru!128:128,"AAAAAH+X+7Y=",0)</f>
        <v>0</v>
      </c>
      <c r="GB1">
        <f>IF(instru!129:129,"AAAAAH+X+7c=",0)</f>
        <v>0</v>
      </c>
      <c r="GC1">
        <f>IF(instru!130:130,"AAAAAH+X+7g=",0)</f>
        <v>0</v>
      </c>
      <c r="GD1">
        <f>IF(instru!131:131,"AAAAAH+X+7k=",0)</f>
        <v>0</v>
      </c>
      <c r="GE1">
        <f>IF(instru!132:132,"AAAAAH+X+7o=",0)</f>
        <v>0</v>
      </c>
      <c r="GF1">
        <f>IF(instru!133:133,"AAAAAH+X+7s=",0)</f>
        <v>0</v>
      </c>
      <c r="GG1">
        <f>IF(instru!134:134,"AAAAAH+X+7w=",0)</f>
        <v>0</v>
      </c>
      <c r="GH1">
        <f>IF(instru!135:135,"AAAAAH+X+70=",0)</f>
        <v>0</v>
      </c>
      <c r="GI1">
        <f>IF(instru!136:136,"AAAAAH+X+74=",0)</f>
        <v>0</v>
      </c>
      <c r="GJ1">
        <f>IF(instru!137:137,"AAAAAH+X+78=",0)</f>
        <v>0</v>
      </c>
      <c r="GK1">
        <f>IF(instru!138:138,"AAAAAH+X+8A=",0)</f>
        <v>0</v>
      </c>
      <c r="GL1">
        <f>IF(instru!139:139,"AAAAAH+X+8E=",0)</f>
        <v>0</v>
      </c>
      <c r="GM1">
        <f>IF(instru!140:140,"AAAAAH+X+8I=",0)</f>
        <v>0</v>
      </c>
      <c r="GN1">
        <f>IF(instru!141:141,"AAAAAH+X+8M=",0)</f>
        <v>0</v>
      </c>
      <c r="GO1">
        <f>IF(instru!142:142,"AAAAAH+X+8Q=",0)</f>
        <v>0</v>
      </c>
      <c r="GP1">
        <f>IF(instru!143:143,"AAAAAH+X+8U=",0)</f>
        <v>0</v>
      </c>
      <c r="GQ1">
        <f>IF(instru!144:144,"AAAAAH+X+8Y=",0)</f>
        <v>0</v>
      </c>
      <c r="GR1">
        <f>IF(instru!145:145,"AAAAAH+X+8c=",0)</f>
        <v>0</v>
      </c>
      <c r="GS1">
        <f>IF(instru!146:146,"AAAAAH+X+8g=",0)</f>
        <v>0</v>
      </c>
      <c r="GT1">
        <f>IF(instru!147:147,"AAAAAH+X+8k=",0)</f>
        <v>0</v>
      </c>
      <c r="GU1">
        <f>IF(instru!148:148,"AAAAAH+X+8o=",0)</f>
        <v>0</v>
      </c>
      <c r="GV1">
        <f>IF(instru!149:149,"AAAAAH+X+8s=",0)</f>
        <v>0</v>
      </c>
      <c r="GW1">
        <f>IF(instru!150:150,"AAAAAH+X+8w=",0)</f>
        <v>0</v>
      </c>
      <c r="GX1">
        <f>IF(instru!151:151,"AAAAAH+X+80=",0)</f>
        <v>0</v>
      </c>
      <c r="GY1">
        <f>IF(instru!152:152,"AAAAAH+X+84=",0)</f>
        <v>0</v>
      </c>
      <c r="GZ1">
        <f>IF(instru!153:153,"AAAAAH+X+88=",0)</f>
        <v>0</v>
      </c>
      <c r="HA1">
        <f>IF(instru!A:A,"AAAAAH+X+9A=",0)</f>
        <v>0</v>
      </c>
      <c r="HB1">
        <f>IF(instru!B:B,"AAAAAH+X+9E=",0)</f>
        <v>0</v>
      </c>
      <c r="HC1">
        <f>IF(instru!C:C,"AAAAAH+X+9I=",0)</f>
        <v>0</v>
      </c>
      <c r="HD1">
        <f>IF(instru!D:D,"AAAAAH+X+9M=",0)</f>
        <v>0</v>
      </c>
      <c r="HE1">
        <f>IF(instru!E:E,"AAAAAH+X+9Q=",0)</f>
        <v>0</v>
      </c>
      <c r="HF1">
        <f>IF(instru!F:F,"AAAAAH+X+9U=",0)</f>
        <v>0</v>
      </c>
      <c r="HG1">
        <f>IF(instru!G:G,"AAAAAH+X+9Y=",0)</f>
        <v>0</v>
      </c>
      <c r="HH1">
        <f>IF(instru!H:H,"AAAAAH+X+9c=",0)</f>
        <v>0</v>
      </c>
      <c r="HI1">
        <f>IF(instru!I:I,"AAAAAH+X+9g=",0)</f>
        <v>0</v>
      </c>
      <c r="HJ1">
        <f>IF(instru!J:J,"AAAAAH+X+9k=",0)</f>
        <v>0</v>
      </c>
      <c r="HK1">
        <f>IF(instru!K:K,"AAAAAH+X+9o=",0)</f>
        <v>0</v>
      </c>
      <c r="HL1">
        <f>IF(instru!L:L,"AAAAAH+X+9s=",0)</f>
        <v>0</v>
      </c>
      <c r="HM1">
        <f>IF(instru!M:M,"AAAAAH+X+9w=",0)</f>
        <v>0</v>
      </c>
      <c r="HN1">
        <f>IF(instru!N:N,"AAAAAH+X+90=",0)</f>
        <v>0</v>
      </c>
      <c r="HO1">
        <f>IF(instru!O:O,"AAAAAH+X+94=",0)</f>
        <v>0</v>
      </c>
      <c r="HP1">
        <f>IF(instru!P:P,"AAAAAH+X+98=",0)</f>
        <v>0</v>
      </c>
      <c r="HQ1">
        <f>IF(instru!Q:Q,"AAAAAH+X++A=",0)</f>
        <v>0</v>
      </c>
      <c r="HR1">
        <f>IF(instru!R:R,"AAAAAH+X++E=",0)</f>
        <v>0</v>
      </c>
      <c r="HS1">
        <f>IF(instru!S:S,"AAAAAH+X++I=",0)</f>
        <v>0</v>
      </c>
      <c r="HT1">
        <f>IF(instru!T:T,"AAAAAH+X++M=",0)</f>
        <v>0</v>
      </c>
      <c r="HU1">
        <f>IF(instru!U:U,"AAAAAH+X++Q=",0)</f>
        <v>0</v>
      </c>
      <c r="HV1">
        <f>IF(instru!V:V,"AAAAAH+X++U=",0)</f>
        <v>0</v>
      </c>
      <c r="HW1">
        <f>IF(instru!W:W,"AAAAAH+X++Y=",0)</f>
        <v>0</v>
      </c>
      <c r="HX1">
        <f>IF(instru!X:X,"AAAAAH+X++c=",0)</f>
        <v>0</v>
      </c>
      <c r="HY1">
        <f>IF(instru!Y:Y,"AAAAAH+X++g=",0)</f>
        <v>0</v>
      </c>
      <c r="HZ1">
        <f>IF(instru!Z:Z,"AAAAAH+X++k=",0)</f>
        <v>0</v>
      </c>
      <c r="IA1">
        <f>IF(instru!AA:AA,"AAAAAH+X++o=",0)</f>
        <v>0</v>
      </c>
      <c r="IB1">
        <f>IF(calcest!1:1,"AAAAAH+X++s=",0)</f>
        <v>0</v>
      </c>
      <c r="IC1">
        <f>IF(calcest!2:2,"AAAAAH+X++w=",0)</f>
        <v>0</v>
      </c>
      <c r="ID1">
        <f>IF(calcest!3:3,"AAAAAH+X++0=",0)</f>
        <v>0</v>
      </c>
      <c r="IE1">
        <f>IF(calcest!4:4,"AAAAAH+X++4=",0)</f>
        <v>0</v>
      </c>
      <c r="IF1">
        <f>IF(calcest!5:5,"AAAAAH+X++8=",0)</f>
        <v>0</v>
      </c>
      <c r="IG1">
        <f>IF(calcest!6:6,"AAAAAH+X+/A=",0)</f>
        <v>0</v>
      </c>
      <c r="IH1">
        <f>IF(calcest!7:7,"AAAAAH+X+/E=",0)</f>
        <v>0</v>
      </c>
      <c r="II1">
        <f>IF(calcest!8:8,"AAAAAH+X+/I=",0)</f>
        <v>0</v>
      </c>
      <c r="IJ1">
        <f>IF(calcest!9:9,"AAAAAH+X+/M=",0)</f>
        <v>0</v>
      </c>
      <c r="IK1">
        <f>IF(calcest!10:10,"AAAAAH+X+/Q=",0)</f>
        <v>0</v>
      </c>
      <c r="IL1">
        <f>IF(calcest!11:11,"AAAAAH+X+/U=",0)</f>
        <v>0</v>
      </c>
      <c r="IM1">
        <f>IF(calcest!12:12,"AAAAAH+X+/Y=",0)</f>
        <v>0</v>
      </c>
      <c r="IN1">
        <f>IF(calcest!13:13,"AAAAAH+X+/c=",0)</f>
        <v>0</v>
      </c>
      <c r="IO1">
        <f>IF(calcest!14:14,"AAAAAH+X+/g=",0)</f>
        <v>0</v>
      </c>
      <c r="IP1">
        <f>IF(calcest!15:15,"AAAAAH+X+/k=",0)</f>
        <v>0</v>
      </c>
      <c r="IQ1">
        <f>IF(calcest!16:16,"AAAAAH+X+/o=",0)</f>
        <v>0</v>
      </c>
      <c r="IR1">
        <f>IF(calcest!17:17,"AAAAAH+X+/s=",0)</f>
        <v>0</v>
      </c>
      <c r="IS1">
        <f>IF(calcest!18:18,"AAAAAH+X+/w=",0)</f>
        <v>0</v>
      </c>
      <c r="IT1">
        <f>IF(calcest!19:19,"AAAAAH+X+/0=",0)</f>
        <v>0</v>
      </c>
      <c r="IU1">
        <f>IF(calcest!20:20,"AAAAAH+X+/4=",0)</f>
        <v>0</v>
      </c>
      <c r="IV1">
        <f>IF(calcest!21:21,"AAAAAH+X+/8=",0)</f>
        <v>0</v>
      </c>
    </row>
    <row r="2" spans="1:256" x14ac:dyDescent="0.2">
      <c r="A2">
        <f>IF(calcest!22:22,"AAAAAH8+/AA=",0)</f>
        <v>0</v>
      </c>
      <c r="B2">
        <f>IF(calcest!23:23,"AAAAAH8+/AE=",0)</f>
        <v>0</v>
      </c>
      <c r="C2">
        <f>IF(calcest!24:24,"AAAAAH8+/AI=",0)</f>
        <v>0</v>
      </c>
      <c r="D2">
        <f>IF(calcest!25:25,"AAAAAH8+/AM=",0)</f>
        <v>0</v>
      </c>
      <c r="E2">
        <f>IF(calcest!26:26,"AAAAAH8+/AQ=",0)</f>
        <v>0</v>
      </c>
      <c r="F2">
        <f>IF(calcest!27:27,"AAAAAH8+/AU=",0)</f>
        <v>0</v>
      </c>
      <c r="G2">
        <f>IF(calcest!28:28,"AAAAAH8+/AY=",0)</f>
        <v>0</v>
      </c>
      <c r="H2">
        <f>IF(calcest!29:29,"AAAAAH8+/Ac=",0)</f>
        <v>0</v>
      </c>
      <c r="I2">
        <f>IF(calcest!30:30,"AAAAAH8+/Ag=",0)</f>
        <v>0</v>
      </c>
      <c r="J2">
        <f>IF(calcest!31:31,"AAAAAH8+/Ak=",0)</f>
        <v>0</v>
      </c>
      <c r="K2">
        <f>IF(calcest!32:32,"AAAAAH8+/Ao=",0)</f>
        <v>0</v>
      </c>
      <c r="L2">
        <f>IF(calcest!33:33,"AAAAAH8+/As=",0)</f>
        <v>0</v>
      </c>
      <c r="M2">
        <f>IF(calcest!34:34,"AAAAAH8+/Aw=",0)</f>
        <v>0</v>
      </c>
      <c r="N2">
        <f>IF(calcest!35:35,"AAAAAH8+/A0=",0)</f>
        <v>0</v>
      </c>
      <c r="O2">
        <f>IF(calcest!36:36,"AAAAAH8+/A4=",0)</f>
        <v>0</v>
      </c>
      <c r="P2">
        <f>IF(calcest!37:37,"AAAAAH8+/A8=",0)</f>
        <v>0</v>
      </c>
      <c r="Q2">
        <f>IF(calcest!38:38,"AAAAAH8+/BA=",0)</f>
        <v>0</v>
      </c>
      <c r="R2">
        <f>IF(calcest!39:39,"AAAAAH8+/BE=",0)</f>
        <v>0</v>
      </c>
      <c r="S2">
        <f>IF(calcest!40:40,"AAAAAH8+/BI=",0)</f>
        <v>0</v>
      </c>
      <c r="T2">
        <f>IF(calcest!41:41,"AAAAAH8+/BM=",0)</f>
        <v>0</v>
      </c>
      <c r="U2">
        <f>IF(calcest!42:42,"AAAAAH8+/BQ=",0)</f>
        <v>0</v>
      </c>
      <c r="V2">
        <f>IF(calcest!43:43,"AAAAAH8+/BU=",0)</f>
        <v>0</v>
      </c>
      <c r="W2">
        <f>IF(calcest!44:44,"AAAAAH8+/BY=",0)</f>
        <v>0</v>
      </c>
      <c r="X2">
        <f>IF(calcest!45:45,"AAAAAH8+/Bc=",0)</f>
        <v>0</v>
      </c>
      <c r="Y2">
        <f>IF(calcest!46:46,"AAAAAH8+/Bg=",0)</f>
        <v>0</v>
      </c>
      <c r="Z2">
        <f>IF(calcest!47:47,"AAAAAH8+/Bk=",0)</f>
        <v>0</v>
      </c>
      <c r="AA2">
        <f>IF(calcest!48:48,"AAAAAH8+/Bo=",0)</f>
        <v>0</v>
      </c>
      <c r="AB2">
        <f>IF(calcest!49:49,"AAAAAH8+/Bs=",0)</f>
        <v>0</v>
      </c>
      <c r="AC2">
        <f>IF(calcest!50:50,"AAAAAH8+/Bw=",0)</f>
        <v>0</v>
      </c>
      <c r="AD2">
        <f>IF(calcest!51:51,"AAAAAH8+/B0=",0)</f>
        <v>0</v>
      </c>
      <c r="AE2">
        <f>IF(calcest!52:52,"AAAAAH8+/B4=",0)</f>
        <v>0</v>
      </c>
      <c r="AF2">
        <f>IF(calcest!53:53,"AAAAAH8+/B8=",0)</f>
        <v>0</v>
      </c>
      <c r="AG2">
        <f>IF(calcest!54:54,"AAAAAH8+/CA=",0)</f>
        <v>0</v>
      </c>
      <c r="AH2">
        <f>IF(calcest!55:55,"AAAAAH8+/CE=",0)</f>
        <v>0</v>
      </c>
      <c r="AI2">
        <f>IF(calcest!56:56,"AAAAAH8+/CI=",0)</f>
        <v>0</v>
      </c>
      <c r="AJ2">
        <f>IF(calcest!57:57,"AAAAAH8+/CM=",0)</f>
        <v>0</v>
      </c>
      <c r="AK2">
        <f>IF(calcest!58:58,"AAAAAH8+/CQ=",0)</f>
        <v>0</v>
      </c>
      <c r="AL2">
        <f>IF(calcest!59:59,"AAAAAH8+/CU=",0)</f>
        <v>0</v>
      </c>
      <c r="AM2">
        <f>IF(calcest!60:60,"AAAAAH8+/CY=",0)</f>
        <v>0</v>
      </c>
      <c r="AN2">
        <f>IF(calcest!61:61,"AAAAAH8+/Cc=",0)</f>
        <v>0</v>
      </c>
      <c r="AO2">
        <f>IF(calcest!62:62,"AAAAAH8+/Cg=",0)</f>
        <v>0</v>
      </c>
      <c r="AP2">
        <f>IF(calcest!63:63,"AAAAAH8+/Ck=",0)</f>
        <v>0</v>
      </c>
      <c r="AQ2">
        <f>IF(calcest!64:64,"AAAAAH8+/Co=",0)</f>
        <v>0</v>
      </c>
      <c r="AR2">
        <f>IF(calcest!65:65,"AAAAAH8+/Cs=",0)</f>
        <v>0</v>
      </c>
      <c r="AS2">
        <f>IF(calcest!66:66,"AAAAAH8+/Cw=",0)</f>
        <v>0</v>
      </c>
      <c r="AT2">
        <f>IF(calcest!67:67,"AAAAAH8+/C0=",0)</f>
        <v>0</v>
      </c>
      <c r="AU2">
        <f>IF(calcest!68:68,"AAAAAH8+/C4=",0)</f>
        <v>0</v>
      </c>
      <c r="AV2">
        <f>IF(calcest!69:69,"AAAAAH8+/C8=",0)</f>
        <v>0</v>
      </c>
      <c r="AW2">
        <f>IF(calcest!70:70,"AAAAAH8+/DA=",0)</f>
        <v>0</v>
      </c>
      <c r="AX2">
        <f>IF(calcest!71:71,"AAAAAH8+/DE=",0)</f>
        <v>0</v>
      </c>
      <c r="AY2">
        <f>IF(calcest!72:72,"AAAAAH8+/DI=",0)</f>
        <v>0</v>
      </c>
      <c r="AZ2">
        <f>IF(calcest!73:73,"AAAAAH8+/DM=",0)</f>
        <v>0</v>
      </c>
      <c r="BA2">
        <f>IF(calcest!74:74,"AAAAAH8+/DQ=",0)</f>
        <v>0</v>
      </c>
      <c r="BB2">
        <f>IF(calcest!75:75,"AAAAAH8+/DU=",0)</f>
        <v>0</v>
      </c>
      <c r="BC2">
        <f>IF(calcest!76:76,"AAAAAH8+/DY=",0)</f>
        <v>0</v>
      </c>
      <c r="BD2">
        <f>IF(calcest!77:77,"AAAAAH8+/Dc=",0)</f>
        <v>0</v>
      </c>
      <c r="BE2">
        <f>IF(calcest!78:78,"AAAAAH8+/Dg=",0)</f>
        <v>0</v>
      </c>
      <c r="BF2">
        <f>IF(calcest!79:79,"AAAAAH8+/Dk=",0)</f>
        <v>0</v>
      </c>
      <c r="BG2">
        <f>IF(calcest!80:80,"AAAAAH8+/Do=",0)</f>
        <v>0</v>
      </c>
      <c r="BH2">
        <f>IF(calcest!81:81,"AAAAAH8+/Ds=",0)</f>
        <v>0</v>
      </c>
      <c r="BI2">
        <f>IF(calcest!82:82,"AAAAAH8+/Dw=",0)</f>
        <v>0</v>
      </c>
      <c r="BJ2">
        <f>IF(calcest!83:83,"AAAAAH8+/D0=",0)</f>
        <v>0</v>
      </c>
      <c r="BK2">
        <f>IF(calcest!84:84,"AAAAAH8+/D4=",0)</f>
        <v>0</v>
      </c>
      <c r="BL2">
        <f>IF(calcest!85:85,"AAAAAH8+/D8=",0)</f>
        <v>0</v>
      </c>
      <c r="BM2">
        <f>IF(calcest!86:86,"AAAAAH8+/EA=",0)</f>
        <v>0</v>
      </c>
      <c r="BN2">
        <f>IF(calcest!87:87,"AAAAAH8+/EE=",0)</f>
        <v>0</v>
      </c>
      <c r="BO2">
        <f>IF(calcest!88:88,"AAAAAH8+/EI=",0)</f>
        <v>0</v>
      </c>
      <c r="BP2">
        <f>IF(calcest!89:89,"AAAAAH8+/EM=",0)</f>
        <v>0</v>
      </c>
      <c r="BQ2">
        <f>IF(calcest!90:90,"AAAAAH8+/EQ=",0)</f>
        <v>0</v>
      </c>
      <c r="BR2">
        <f>IF(calcest!91:91,"AAAAAH8+/EU=",0)</f>
        <v>0</v>
      </c>
      <c r="BS2">
        <f>IF(calcest!92:92,"AAAAAH8+/EY=",0)</f>
        <v>0</v>
      </c>
      <c r="BT2">
        <f>IF(calcest!93:93,"AAAAAH8+/Ec=",0)</f>
        <v>0</v>
      </c>
      <c r="BU2">
        <f>IF(calcest!94:94,"AAAAAH8+/Eg=",0)</f>
        <v>0</v>
      </c>
      <c r="BV2">
        <f>IF(calcest!A:A,"AAAAAH8+/Ek=",0)</f>
        <v>0</v>
      </c>
      <c r="BW2" t="e">
        <f>IF(calcest!#REF!,"AAAAAH8+/Eo=",0)</f>
        <v>#REF!</v>
      </c>
      <c r="BX2" t="e">
        <f>IF(calcest!#REF!,"AAAAAH8+/Es=",0)</f>
        <v>#REF!</v>
      </c>
      <c r="BY2">
        <f>IF(calcest!C:C,"AAAAAH8+/Ew=",0)</f>
        <v>0</v>
      </c>
      <c r="BZ2">
        <f>IF(calcest!D:D,"AAAAAH8+/E0=",0)</f>
        <v>0</v>
      </c>
      <c r="CA2">
        <f>IF(calcest!E:E,"AAAAAH8+/E4=",0)</f>
        <v>0</v>
      </c>
      <c r="CB2">
        <f>IF(calcest!F:F,"AAAAAH8+/E8=",0)</f>
        <v>0</v>
      </c>
      <c r="CC2">
        <f>IF(calcest!G:G,"AAAAAH8+/FA=",0)</f>
        <v>0</v>
      </c>
      <c r="CD2">
        <f>IF(calcest!H:H,"AAAAAH8+/FE=",0)</f>
        <v>0</v>
      </c>
      <c r="CE2">
        <f>IF(calcest!I:I,"AAAAAH8+/FI=",0)</f>
        <v>0</v>
      </c>
      <c r="CF2">
        <f>IF(calcest!J:J,"AAAAAH8+/FM=",0)</f>
        <v>0</v>
      </c>
      <c r="CG2">
        <f>IF(calcest!K:K,"AAAAAH8+/FQ=",0)</f>
        <v>0</v>
      </c>
      <c r="CH2">
        <f>IF(calcest!L:L,"AAAAAH8+/FU=",0)</f>
        <v>0</v>
      </c>
      <c r="CI2">
        <f>IF(calcest!M:M,"AAAAAH8+/FY=",0)</f>
        <v>0</v>
      </c>
      <c r="CJ2">
        <f>IF(calcest!N:N,"AAAAAH8+/Fc=",0)</f>
        <v>0</v>
      </c>
      <c r="CK2">
        <f>IF(calcest!O:O,"AAAAAH8+/Fg=",0)</f>
        <v>0</v>
      </c>
      <c r="CL2">
        <f>IF(calcest!P:P,"AAAAAH8+/Fk=",0)</f>
        <v>0</v>
      </c>
      <c r="CM2">
        <f>IF(calcest!Q:Q,"AAAAAH8+/Fo=",0)</f>
        <v>0</v>
      </c>
      <c r="CN2">
        <f>IF(calcest!R:R,"AAAAAH8+/Fs=",0)</f>
        <v>0</v>
      </c>
      <c r="CO2">
        <f>IF(calcest!S:S,"AAAAAH8+/Fw=",0)</f>
        <v>0</v>
      </c>
      <c r="CP2">
        <f>IF(calcest!T:T,"AAAAAH8+/F0=",0)</f>
        <v>0</v>
      </c>
      <c r="CQ2">
        <f>IF(inserir_med!1:1,"AAAAAH8+/F4=",0)</f>
        <v>0</v>
      </c>
      <c r="CR2">
        <f>IF(inserir_med!2:2,"AAAAAH8+/F8=",0)</f>
        <v>0</v>
      </c>
      <c r="CS2">
        <f>IF(inserir_med!3:3,"AAAAAH8+/GA=",0)</f>
        <v>0</v>
      </c>
      <c r="CT2">
        <f>IF(inserir_med!4:4,"AAAAAH8+/GE=",0)</f>
        <v>0</v>
      </c>
      <c r="CU2">
        <f>IF(inserir_med!5:5,"AAAAAH8+/GI=",0)</f>
        <v>0</v>
      </c>
      <c r="CV2">
        <f>IF(inserir_med!6:6,"AAAAAH8+/GM=",0)</f>
        <v>0</v>
      </c>
      <c r="CW2">
        <f>IF(inserir_med!7:7,"AAAAAH8+/GQ=",0)</f>
        <v>0</v>
      </c>
      <c r="CX2">
        <f>IF(inserir_med!8:8,"AAAAAH8+/GU=",0)</f>
        <v>0</v>
      </c>
      <c r="CY2">
        <f>IF(inserir_med!9:9,"AAAAAH8+/GY=",0)</f>
        <v>0</v>
      </c>
      <c r="CZ2">
        <f>IF(inserir_med!10:10,"AAAAAH8+/Gc=",0)</f>
        <v>0</v>
      </c>
      <c r="DA2">
        <f>IF(inserir_med!11:11,"AAAAAH8+/Gg=",0)</f>
        <v>0</v>
      </c>
      <c r="DB2">
        <f>IF(inserir_med!12:12,"AAAAAH8+/Gk=",0)</f>
        <v>0</v>
      </c>
      <c r="DC2">
        <f>IF(inserir_med!13:13,"AAAAAH8+/Go=",0)</f>
        <v>0</v>
      </c>
      <c r="DD2">
        <f>IF(inserir_med!14:14,"AAAAAH8+/Gs=",0)</f>
        <v>0</v>
      </c>
      <c r="DE2">
        <f>IF(inserir_med!15:15,"AAAAAH8+/Gw=",0)</f>
        <v>0</v>
      </c>
      <c r="DF2">
        <f>IF(inserir_med!16:16,"AAAAAH8+/G0=",0)</f>
        <v>0</v>
      </c>
      <c r="DG2">
        <f>IF(inserir_med!17:17,"AAAAAH8+/G4=",0)</f>
        <v>0</v>
      </c>
      <c r="DH2">
        <f>IF(inserir_med!18:18,"AAAAAH8+/G8=",0)</f>
        <v>0</v>
      </c>
      <c r="DI2">
        <f>IF(inserir_med!19:19,"AAAAAH8+/HA=",0)</f>
        <v>0</v>
      </c>
      <c r="DJ2">
        <f>IF(inserir_med!20:20,"AAAAAH8+/HE=",0)</f>
        <v>0</v>
      </c>
      <c r="DK2">
        <f>IF(inserir_med!21:21,"AAAAAH8+/HI=",0)</f>
        <v>0</v>
      </c>
      <c r="DL2">
        <f>IF(inserir_med!22:22,"AAAAAH8+/HM=",0)</f>
        <v>0</v>
      </c>
      <c r="DM2">
        <f>IF(inserir_med!23:23,"AAAAAH8+/HQ=",0)</f>
        <v>0</v>
      </c>
      <c r="DN2">
        <f>IF(inserir_med!24:24,"AAAAAH8+/HU=",0)</f>
        <v>0</v>
      </c>
      <c r="DO2">
        <f>IF(inserir_med!25:25,"AAAAAH8+/HY=",0)</f>
        <v>0</v>
      </c>
      <c r="DP2">
        <f>IF(inserir_med!26:26,"AAAAAH8+/Hc=",0)</f>
        <v>0</v>
      </c>
      <c r="DQ2">
        <f>IF(inserir_med!27:27,"AAAAAH8+/Hg=",0)</f>
        <v>0</v>
      </c>
      <c r="DR2">
        <f>IF(inserir_med!28:28,"AAAAAH8+/Hk=",0)</f>
        <v>0</v>
      </c>
      <c r="DS2">
        <f>IF(inserir_med!29:29,"AAAAAH8+/Ho=",0)</f>
        <v>0</v>
      </c>
      <c r="DT2">
        <f>IF(inserir_med!30:30,"AAAAAH8+/Hs=",0)</f>
        <v>0</v>
      </c>
      <c r="DU2">
        <f>IF(inserir_med!31:31,"AAAAAH8+/Hw=",0)</f>
        <v>0</v>
      </c>
      <c r="DV2">
        <f>IF(inserir_med!32:32,"AAAAAH8+/H0=",0)</f>
        <v>0</v>
      </c>
      <c r="DW2">
        <f>IF(inserir_med!33:33,"AAAAAH8+/H4=",0)</f>
        <v>0</v>
      </c>
      <c r="DX2">
        <f>IF(inserir_med!34:34,"AAAAAH8+/H8=",0)</f>
        <v>0</v>
      </c>
      <c r="DY2">
        <f>IF(inserir_med!35:35,"AAAAAH8+/IA=",0)</f>
        <v>0</v>
      </c>
      <c r="DZ2">
        <f>IF(inserir_med!36:36,"AAAAAH8+/IE=",0)</f>
        <v>0</v>
      </c>
      <c r="EA2">
        <f>IF(inserir_med!37:37,"AAAAAH8+/II=",0)</f>
        <v>0</v>
      </c>
      <c r="EB2">
        <f>IF(inserir_med!38:38,"AAAAAH8+/IM=",0)</f>
        <v>0</v>
      </c>
      <c r="EC2">
        <f>IF(inserir_med!39:39,"AAAAAH8+/IQ=",0)</f>
        <v>0</v>
      </c>
      <c r="ED2">
        <f>IF(inserir_med!40:40,"AAAAAH8+/IU=",0)</f>
        <v>0</v>
      </c>
      <c r="EE2">
        <f>IF(inserir_med!41:41,"AAAAAH8+/IY=",0)</f>
        <v>0</v>
      </c>
      <c r="EF2">
        <f>IF(inserir_med!42:42,"AAAAAH8+/Ic=",0)</f>
        <v>0</v>
      </c>
      <c r="EG2">
        <f>IF(inserir_med!43:43,"AAAAAH8+/Ig=",0)</f>
        <v>0</v>
      </c>
      <c r="EH2">
        <f>IF(inserir_med!44:44,"AAAAAH8+/Ik=",0)</f>
        <v>0</v>
      </c>
      <c r="EI2">
        <f>IF(inserir_med!45:45,"AAAAAH8+/Io=",0)</f>
        <v>0</v>
      </c>
      <c r="EJ2">
        <f>IF(inserir_med!46:46,"AAAAAH8+/Is=",0)</f>
        <v>0</v>
      </c>
      <c r="EK2">
        <f>IF(inserir_med!47:47,"AAAAAH8+/Iw=",0)</f>
        <v>0</v>
      </c>
      <c r="EL2">
        <f>IF(inserir_med!48:48,"AAAAAH8+/I0=",0)</f>
        <v>0</v>
      </c>
      <c r="EM2">
        <f>IF(inserir_med!49:49,"AAAAAH8+/I4=",0)</f>
        <v>0</v>
      </c>
      <c r="EN2">
        <f>IF(inserir_med!50:50,"AAAAAH8+/I8=",0)</f>
        <v>0</v>
      </c>
      <c r="EO2">
        <f>IF(inserir_med!51:51,"AAAAAH8+/JA=",0)</f>
        <v>0</v>
      </c>
      <c r="EP2">
        <f>IF(inserir_med!52:52,"AAAAAH8+/JE=",0)</f>
        <v>0</v>
      </c>
      <c r="EQ2">
        <f>IF(inserir_med!53:53,"AAAAAH8+/JI=",0)</f>
        <v>0</v>
      </c>
      <c r="ER2">
        <f>IF(inserir_med!54:54,"AAAAAH8+/JM=",0)</f>
        <v>0</v>
      </c>
      <c r="ES2">
        <f>IF(inserir_med!55:55,"AAAAAH8+/JQ=",0)</f>
        <v>0</v>
      </c>
      <c r="ET2">
        <f>IF(inserir_med!56:56,"AAAAAH8+/JU=",0)</f>
        <v>0</v>
      </c>
      <c r="EU2">
        <f>IF(inserir_med!57:57,"AAAAAH8+/JY=",0)</f>
        <v>0</v>
      </c>
      <c r="EV2">
        <f>IF(inserir_med!58:58,"AAAAAH8+/Jc=",0)</f>
        <v>0</v>
      </c>
      <c r="EW2">
        <f>IF(inserir_med!59:59,"AAAAAH8+/Jg=",0)</f>
        <v>0</v>
      </c>
      <c r="EX2">
        <f>IF(inserir_med!60:60,"AAAAAH8+/Jk=",0)</f>
        <v>0</v>
      </c>
      <c r="EY2">
        <f>IF(inserir_med!61:61,"AAAAAH8+/Jo=",0)</f>
        <v>0</v>
      </c>
      <c r="EZ2">
        <f>IF(inserir_med!62:62,"AAAAAH8+/Js=",0)</f>
        <v>0</v>
      </c>
      <c r="FA2">
        <f>IF(inserir_med!63:63,"AAAAAH8+/Jw=",0)</f>
        <v>0</v>
      </c>
      <c r="FB2">
        <f>IF(inserir_med!64:64,"AAAAAH8+/J0=",0)</f>
        <v>0</v>
      </c>
      <c r="FC2">
        <f>IF(inserir_med!65:65,"AAAAAH8+/J4=",0)</f>
        <v>0</v>
      </c>
      <c r="FD2">
        <f>IF(inserir_med!66:66,"AAAAAH8+/J8=",0)</f>
        <v>0</v>
      </c>
      <c r="FE2">
        <f>IF(inserir_med!67:67,"AAAAAH8+/KA=",0)</f>
        <v>0</v>
      </c>
      <c r="FF2">
        <f>IF(inserir_med!68:68,"AAAAAH8+/KE=",0)</f>
        <v>0</v>
      </c>
      <c r="FG2">
        <f>IF(inserir_med!69:69,"AAAAAH8+/KI=",0)</f>
        <v>0</v>
      </c>
      <c r="FH2">
        <f>IF(inserir_med!70:70,"AAAAAH8+/KM=",0)</f>
        <v>0</v>
      </c>
      <c r="FI2">
        <f>IF(inserir_med!71:71,"AAAAAH8+/KQ=",0)</f>
        <v>0</v>
      </c>
      <c r="FJ2">
        <f>IF(inserir_med!72:72,"AAAAAH8+/KU=",0)</f>
        <v>0</v>
      </c>
      <c r="FK2">
        <f>IF(inserir_med!73:73,"AAAAAH8+/KY=",0)</f>
        <v>0</v>
      </c>
      <c r="FL2">
        <f>IF(inserir_med!74:74,"AAAAAH8+/Kc=",0)</f>
        <v>0</v>
      </c>
      <c r="FM2">
        <f>IF(inserir_med!75:75,"AAAAAH8+/Kg=",0)</f>
        <v>0</v>
      </c>
      <c r="FN2">
        <f>IF(inserir_med!76:76,"AAAAAH8+/Kk=",0)</f>
        <v>0</v>
      </c>
      <c r="FO2">
        <f>IF(inserir_med!77:77,"AAAAAH8+/Ko=",0)</f>
        <v>0</v>
      </c>
      <c r="FP2">
        <f>IF(inserir_med!78:78,"AAAAAH8+/Ks=",0)</f>
        <v>0</v>
      </c>
      <c r="FQ2">
        <f>IF(inserir_med!79:79,"AAAAAH8+/Kw=",0)</f>
        <v>0</v>
      </c>
      <c r="FR2">
        <f>IF(inserir_med!80:80,"AAAAAH8+/K0=",0)</f>
        <v>0</v>
      </c>
      <c r="FS2">
        <f>IF(inserir_med!81:81,"AAAAAH8+/K4=",0)</f>
        <v>0</v>
      </c>
      <c r="FT2">
        <f>IF(inserir_med!82:82,"AAAAAH8+/K8=",0)</f>
        <v>0</v>
      </c>
      <c r="FU2">
        <f>IF(inserir_med!83:83,"AAAAAH8+/LA=",0)</f>
        <v>0</v>
      </c>
      <c r="FV2">
        <f>IF(inserir_med!84:84,"AAAAAH8+/LE=",0)</f>
        <v>0</v>
      </c>
      <c r="FW2">
        <f>IF(inserir_med!85:85,"AAAAAH8+/LI=",0)</f>
        <v>0</v>
      </c>
      <c r="FX2">
        <f>IF(inserir_med!86:86,"AAAAAH8+/LM=",0)</f>
        <v>0</v>
      </c>
      <c r="FY2">
        <f>IF(inserir_med!87:87,"AAAAAH8+/LQ=",0)</f>
        <v>0</v>
      </c>
      <c r="FZ2">
        <f>IF(inserir_med!88:88,"AAAAAH8+/LU=",0)</f>
        <v>0</v>
      </c>
      <c r="GA2">
        <f>IF(inserir_med!89:89,"AAAAAH8+/LY=",0)</f>
        <v>0</v>
      </c>
      <c r="GB2">
        <f>IF(inserir_med!90:90,"AAAAAH8+/Lc=",0)</f>
        <v>0</v>
      </c>
      <c r="GC2">
        <f>IF(inserir_med!91:91,"AAAAAH8+/Lg=",0)</f>
        <v>0</v>
      </c>
      <c r="GD2">
        <f>IF(inserir_med!92:92,"AAAAAH8+/Lk=",0)</f>
        <v>0</v>
      </c>
      <c r="GE2">
        <f>IF(inserir_med!93:93,"AAAAAH8+/Lo=",0)</f>
        <v>0</v>
      </c>
      <c r="GF2">
        <f>IF(inserir_med!94:94,"AAAAAH8+/Ls=",0)</f>
        <v>0</v>
      </c>
      <c r="GG2">
        <f>IF(inserir_med!95:95,"AAAAAH8+/Lw=",0)</f>
        <v>0</v>
      </c>
      <c r="GH2">
        <f>IF(inserir_med!96:96,"AAAAAH8+/L0=",0)</f>
        <v>0</v>
      </c>
      <c r="GI2">
        <f>IF(inserir_med!97:97,"AAAAAH8+/L4=",0)</f>
        <v>0</v>
      </c>
      <c r="GJ2">
        <f>IF(inserir_med!98:98,"AAAAAH8+/L8=",0)</f>
        <v>0</v>
      </c>
      <c r="GK2">
        <f>IF(inserir_med!99:99,"AAAAAH8+/MA=",0)</f>
        <v>0</v>
      </c>
      <c r="GL2">
        <f>IF(inserir_med!100:100,"AAAAAH8+/ME=",0)</f>
        <v>0</v>
      </c>
      <c r="GM2">
        <f>IF(inserir_med!101:101,"AAAAAH8+/MI=",0)</f>
        <v>0</v>
      </c>
      <c r="GN2">
        <f>IF(inserir_med!102:102,"AAAAAH8+/MM=",0)</f>
        <v>0</v>
      </c>
      <c r="GO2">
        <f>IF(inserir_med!103:103,"AAAAAH8+/MQ=",0)</f>
        <v>0</v>
      </c>
      <c r="GP2">
        <f>IF(inserir_med!104:104,"AAAAAH8+/MU=",0)</f>
        <v>0</v>
      </c>
      <c r="GQ2">
        <f>IF(inserir_med!105:105,"AAAAAH8+/MY=",0)</f>
        <v>0</v>
      </c>
      <c r="GR2">
        <f>IF(inserir_med!106:106,"AAAAAH8+/Mc=",0)</f>
        <v>0</v>
      </c>
      <c r="GS2">
        <f>IF(inserir_med!107:107,"AAAAAH8+/Mg=",0)</f>
        <v>0</v>
      </c>
      <c r="GT2">
        <f>IF(inserir_med!108:108,"AAAAAH8+/Mk=",0)</f>
        <v>0</v>
      </c>
      <c r="GU2">
        <f>IF(inserir_med!109:109,"AAAAAH8+/Mo=",0)</f>
        <v>0</v>
      </c>
      <c r="GV2">
        <f>IF(inserir_med!110:110,"AAAAAH8+/Ms=",0)</f>
        <v>0</v>
      </c>
      <c r="GW2">
        <f>IF(inserir_med!111:111,"AAAAAH8+/Mw=",0)</f>
        <v>0</v>
      </c>
      <c r="GX2">
        <f>IF(inserir_med!112:112,"AAAAAH8+/M0=",0)</f>
        <v>0</v>
      </c>
      <c r="GY2">
        <f>IF(inserir_med!113:113,"AAAAAH8+/M4=",0)</f>
        <v>0</v>
      </c>
      <c r="GZ2">
        <f>IF(inserir_med!114:114,"AAAAAH8+/M8=",0)</f>
        <v>0</v>
      </c>
      <c r="HA2">
        <f>IF(inserir_med!115:115,"AAAAAH8+/NA=",0)</f>
        <v>0</v>
      </c>
      <c r="HB2">
        <f>IF(inserir_med!116:116,"AAAAAH8+/NE=",0)</f>
        <v>0</v>
      </c>
      <c r="HC2">
        <f>IF(inserir_med!117:117,"AAAAAH8+/NI=",0)</f>
        <v>0</v>
      </c>
      <c r="HD2">
        <f>IF(inserir_med!118:118,"AAAAAH8+/NM=",0)</f>
        <v>0</v>
      </c>
      <c r="HE2">
        <f>IF(inserir_med!119:119,"AAAAAH8+/NQ=",0)</f>
        <v>0</v>
      </c>
      <c r="HF2">
        <f>IF(inserir_med!120:120,"AAAAAH8+/NU=",0)</f>
        <v>0</v>
      </c>
      <c r="HG2">
        <f>IF(inserir_med!121:121,"AAAAAH8+/NY=",0)</f>
        <v>0</v>
      </c>
      <c r="HH2">
        <f>IF(inserir_med!122:122,"AAAAAH8+/Nc=",0)</f>
        <v>0</v>
      </c>
      <c r="HI2">
        <f>IF(inserir_med!123:123,"AAAAAH8+/Ng=",0)</f>
        <v>0</v>
      </c>
      <c r="HJ2">
        <f>IF(inserir_med!124:124,"AAAAAH8+/Nk=",0)</f>
        <v>0</v>
      </c>
      <c r="HK2">
        <f>IF(inserir_med!125:125,"AAAAAH8+/No=",0)</f>
        <v>0</v>
      </c>
      <c r="HL2">
        <f>IF(inserir_med!126:126,"AAAAAH8+/Ns=",0)</f>
        <v>0</v>
      </c>
      <c r="HM2">
        <f>IF(inserir_med!127:127,"AAAAAH8+/Nw=",0)</f>
        <v>0</v>
      </c>
      <c r="HN2">
        <f>IF(inserir_med!128:128,"AAAAAH8+/N0=",0)</f>
        <v>0</v>
      </c>
      <c r="HO2">
        <f>IF(inserir_med!129:129,"AAAAAH8+/N4=",0)</f>
        <v>0</v>
      </c>
      <c r="HP2">
        <f>IF(inserir_med!130:130,"AAAAAH8+/N8=",0)</f>
        <v>0</v>
      </c>
      <c r="HQ2">
        <f>IF(inserir_med!131:131,"AAAAAH8+/OA=",0)</f>
        <v>0</v>
      </c>
      <c r="HR2">
        <f>IF(inserir_med!132:132,"AAAAAH8+/OE=",0)</f>
        <v>0</v>
      </c>
      <c r="HS2">
        <f>IF(inserir_med!133:133,"AAAAAH8+/OI=",0)</f>
        <v>0</v>
      </c>
      <c r="HT2">
        <f>IF(inserir_med!134:134,"AAAAAH8+/OM=",0)</f>
        <v>0</v>
      </c>
      <c r="HU2">
        <f>IF(inserir_med!135:135,"AAAAAH8+/OQ=",0)</f>
        <v>0</v>
      </c>
      <c r="HV2">
        <f>IF(inserir_med!136:136,"AAAAAH8+/OU=",0)</f>
        <v>0</v>
      </c>
      <c r="HW2">
        <f>IF(inserir_med!137:137,"AAAAAH8+/OY=",0)</f>
        <v>0</v>
      </c>
      <c r="HX2">
        <f>IF(inserir_med!138:138,"AAAAAH8+/Oc=",0)</f>
        <v>0</v>
      </c>
      <c r="HY2">
        <f>IF(inserir_med!139:139,"AAAAAH8+/Og=",0)</f>
        <v>0</v>
      </c>
      <c r="HZ2">
        <f>IF(inserir_med!140:140,"AAAAAH8+/Ok=",0)</f>
        <v>0</v>
      </c>
      <c r="IA2">
        <f>IF(inserir_med!141:141,"AAAAAH8+/Oo=",0)</f>
        <v>0</v>
      </c>
      <c r="IB2">
        <f>IF(inserir_med!142:142,"AAAAAH8+/Os=",0)</f>
        <v>0</v>
      </c>
      <c r="IC2">
        <f>IF(inserir_med!143:143,"AAAAAH8+/Ow=",0)</f>
        <v>0</v>
      </c>
      <c r="ID2">
        <f>IF(inserir_med!144:144,"AAAAAH8+/O0=",0)</f>
        <v>0</v>
      </c>
      <c r="IE2">
        <f>IF(inserir_med!145:145,"AAAAAH8+/O4=",0)</f>
        <v>0</v>
      </c>
      <c r="IF2">
        <f>IF(inserir_med!146:146,"AAAAAH8+/O8=",0)</f>
        <v>0</v>
      </c>
      <c r="IG2">
        <f>IF(inserir_med!147:147,"AAAAAH8+/PA=",0)</f>
        <v>0</v>
      </c>
      <c r="IH2">
        <f>IF(inserir_med!148:148,"AAAAAH8+/PE=",0)</f>
        <v>0</v>
      </c>
      <c r="II2">
        <f>IF(inserir_med!149:149,"AAAAAH8+/PI=",0)</f>
        <v>0</v>
      </c>
      <c r="IJ2">
        <f>IF(inserir_med!150:150,"AAAAAH8+/PM=",0)</f>
        <v>0</v>
      </c>
      <c r="IK2">
        <f>IF(inserir_med!151:151,"AAAAAH8+/PQ=",0)</f>
        <v>0</v>
      </c>
      <c r="IL2">
        <f>IF(inserir_med!152:152,"AAAAAH8+/PU=",0)</f>
        <v>0</v>
      </c>
      <c r="IM2">
        <f>IF(inserir_med!153:153,"AAAAAH8+/PY=",0)</f>
        <v>0</v>
      </c>
      <c r="IN2">
        <f>IF(inserir_med!B:B,"AAAAAH8+/Pc=",0)</f>
        <v>0</v>
      </c>
      <c r="IO2">
        <f>IF(inserir_med!C:C,"AAAAAH8+/Pg=",0)</f>
        <v>0</v>
      </c>
      <c r="IP2">
        <f>IF(inserir_med!D:D,"AAAAAH8+/Pk=",0)</f>
        <v>0</v>
      </c>
      <c r="IQ2">
        <f>IF(inserir_med!E:E,"AAAAAH8+/Po=",0)</f>
        <v>0</v>
      </c>
      <c r="IR2">
        <f>IF(inserir_med!F:F,"AAAAAH8+/Ps=",0)</f>
        <v>0</v>
      </c>
      <c r="IS2">
        <f>IF(inserir_med!G:G,"AAAAAH8+/Pw=",0)</f>
        <v>0</v>
      </c>
      <c r="IT2">
        <f>IF(inserir_med!H:H,"AAAAAH8+/P0=",0)</f>
        <v>0</v>
      </c>
      <c r="IU2">
        <f>IF(inserir_med!I:I,"AAAAAH8+/P4=",0)</f>
        <v>0</v>
      </c>
      <c r="IV2">
        <f>IF(inserir_med!J:J,"AAAAAH8+/P8=",0)</f>
        <v>0</v>
      </c>
    </row>
    <row r="3" spans="1:256" x14ac:dyDescent="0.2">
      <c r="A3">
        <f>IF(inserir_med!K:K,"AAAAAHs/PQA=",0)</f>
        <v>0</v>
      </c>
      <c r="B3">
        <f>IF(inserir_med!L:L,"AAAAAHs/PQE=",0)</f>
        <v>0</v>
      </c>
      <c r="C3">
        <f>IF(inserir_med!M:M,"AAAAAHs/PQI=",0)</f>
        <v>0</v>
      </c>
      <c r="D3">
        <f>IF(inserir_med!N:N,"AAAAAHs/PQM=",0)</f>
        <v>0</v>
      </c>
      <c r="E3">
        <f>IF(inserir_med!O:O,"AAAAAHs/PQQ=",0)</f>
        <v>0</v>
      </c>
      <c r="F3">
        <f>IF(inserir_med!P:P,"AAAAAHs/PQU=",0)</f>
        <v>0</v>
      </c>
      <c r="G3">
        <f>IF(inserir_med!Q:Q,"AAAAAHs/PQY=",0)</f>
        <v>0</v>
      </c>
      <c r="H3">
        <f>IF(inserir_med!R:R,"AAAAAHs/PQc=",0)</f>
        <v>0</v>
      </c>
      <c r="I3">
        <f>IF(inserir_med!S:S,"AAAAAHs/PQg=",0)</f>
        <v>0</v>
      </c>
      <c r="J3">
        <f>IF(inserir_med!T:T,"AAAAAHs/PQk=",0)</f>
        <v>0</v>
      </c>
      <c r="K3">
        <f>IF(inserir_med!U:U,"AAAAAHs/PQo=",0)</f>
        <v>0</v>
      </c>
      <c r="L3">
        <f>IF(inserir_med!V:V,"AAAAAHs/PQs=",0)</f>
        <v>0</v>
      </c>
      <c r="M3">
        <f>IF(inserir_med!W:W,"AAAAAHs/PQw=",0)</f>
        <v>0</v>
      </c>
      <c r="N3">
        <f>IF(inserir_med!X:X,"AAAAAHs/PQ0=",0)</f>
        <v>0</v>
      </c>
      <c r="O3">
        <f>IF(inserir_med!Y:Y,"AAAAAHs/PQ4=",0)</f>
        <v>0</v>
      </c>
      <c r="P3">
        <f>IF(inserir_med!Z:Z,"AAAAAHs/PQ8=",0)</f>
        <v>0</v>
      </c>
      <c r="Q3">
        <f>IF(inserir_med!AA:AA,"AAAAAHs/PRA=",0)</f>
        <v>0</v>
      </c>
      <c r="R3">
        <f>IF(inserir_med!AB:AB,"AAAAAHs/PRE=",0)</f>
        <v>0</v>
      </c>
      <c r="S3">
        <f>IF(inserir_med!AC:AC,"AAAAAHs/PRI=",0)</f>
        <v>0</v>
      </c>
      <c r="T3">
        <f>IF(fontes!1:1,"AAAAAHs/PRM=",0)</f>
        <v>0</v>
      </c>
      <c r="U3">
        <f>IF(fontes!2:2,"AAAAAHs/PRQ=",0)</f>
        <v>0</v>
      </c>
      <c r="V3">
        <f>IF(fontes!3:3,"AAAAAHs/PRU=",0)</f>
        <v>0</v>
      </c>
      <c r="W3">
        <f>IF(fontes!4:4,"AAAAAHs/PRY=",0)</f>
        <v>0</v>
      </c>
      <c r="X3">
        <f>IF(fontes!5:5,"AAAAAHs/PRc=",0)</f>
        <v>0</v>
      </c>
      <c r="Y3">
        <f>IF(fontes!6:6,"AAAAAHs/PRg=",0)</f>
        <v>0</v>
      </c>
      <c r="Z3">
        <f>IF(fontes!7:7,"AAAAAHs/PRk=",0)</f>
        <v>0</v>
      </c>
      <c r="AA3">
        <f>IF(fontes!8:8,"AAAAAHs/PRo=",0)</f>
        <v>0</v>
      </c>
      <c r="AB3">
        <f>IF(fontes!9:9,"AAAAAHs/PRs=",0)</f>
        <v>0</v>
      </c>
      <c r="AC3">
        <f>IF(fontes!10:10,"AAAAAHs/PRw=",0)</f>
        <v>0</v>
      </c>
      <c r="AD3">
        <f>IF(fontes!11:11,"AAAAAHs/PR0=",0)</f>
        <v>0</v>
      </c>
      <c r="AE3">
        <f>IF(fontes!12:12,"AAAAAHs/PR4=",0)</f>
        <v>0</v>
      </c>
      <c r="AF3">
        <f>IF(fontes!13:13,"AAAAAHs/PR8=",0)</f>
        <v>0</v>
      </c>
      <c r="AG3">
        <f>IF(fontes!14:14,"AAAAAHs/PSA=",0)</f>
        <v>0</v>
      </c>
      <c r="AH3">
        <f>IF(fontes!15:15,"AAAAAHs/PSE=",0)</f>
        <v>0</v>
      </c>
      <c r="AI3">
        <f>IF(fontes!16:16,"AAAAAHs/PSI=",0)</f>
        <v>0</v>
      </c>
      <c r="AJ3">
        <f>IF(fontes!17:17,"AAAAAHs/PSM=",0)</f>
        <v>0</v>
      </c>
      <c r="AK3">
        <f>IF(fontes!18:18,"AAAAAHs/PSQ=",0)</f>
        <v>0</v>
      </c>
      <c r="AL3">
        <f>IF(fontes!19:19,"AAAAAHs/PSU=",0)</f>
        <v>0</v>
      </c>
      <c r="AM3">
        <f>IF(fontes!20:20,"AAAAAHs/PSY=",0)</f>
        <v>0</v>
      </c>
      <c r="AN3">
        <f>IF(fontes!21:21,"AAAAAHs/PSc=",0)</f>
        <v>0</v>
      </c>
      <c r="AO3">
        <f>IF(fontes!22:22,"AAAAAHs/PSg=",0)</f>
        <v>0</v>
      </c>
      <c r="AP3">
        <f>IF(fontes!23:23,"AAAAAHs/PSk=",0)</f>
        <v>0</v>
      </c>
      <c r="AQ3">
        <f>IF(fontes!24:24,"AAAAAHs/PSo=",0)</f>
        <v>0</v>
      </c>
      <c r="AR3">
        <f>IF(fontes!25:25,"AAAAAHs/PSs=",0)</f>
        <v>0</v>
      </c>
      <c r="AS3">
        <f>IF(fontes!26:26,"AAAAAHs/PSw=",0)</f>
        <v>0</v>
      </c>
      <c r="AT3">
        <f>IF(fontes!27:27,"AAAAAHs/PS0=",0)</f>
        <v>0</v>
      </c>
      <c r="AU3">
        <f>IF(fontes!28:28,"AAAAAHs/PS4=",0)</f>
        <v>0</v>
      </c>
      <c r="AV3">
        <f>IF(fontes!29:29,"AAAAAHs/PS8=",0)</f>
        <v>0</v>
      </c>
      <c r="AW3">
        <f>IF(fontes!30:30,"AAAAAHs/PTA=",0)</f>
        <v>0</v>
      </c>
      <c r="AX3">
        <f>IF(fontes!31:31,"AAAAAHs/PTE=",0)</f>
        <v>0</v>
      </c>
      <c r="AY3">
        <f>IF(fontes!32:32,"AAAAAHs/PTI=",0)</f>
        <v>0</v>
      </c>
      <c r="AZ3">
        <f>IF(fontes!33:33,"AAAAAHs/PTM=",0)</f>
        <v>0</v>
      </c>
      <c r="BA3">
        <f>IF(fontes!34:34,"AAAAAHs/PTQ=",0)</f>
        <v>0</v>
      </c>
      <c r="BB3">
        <f>IF(fontes!35:35,"AAAAAHs/PTU=",0)</f>
        <v>0</v>
      </c>
      <c r="BC3">
        <f>IF(fontes!36:36,"AAAAAHs/PTY=",0)</f>
        <v>0</v>
      </c>
      <c r="BD3">
        <f>IF(fontes!37:37,"AAAAAHs/PTc=",0)</f>
        <v>0</v>
      </c>
      <c r="BE3">
        <f>IF(fontes!38:38,"AAAAAHs/PTg=",0)</f>
        <v>0</v>
      </c>
      <c r="BF3">
        <f>IF(fontes!39:39,"AAAAAHs/PTk=",0)</f>
        <v>0</v>
      </c>
      <c r="BG3">
        <f>IF(fontes!40:40,"AAAAAHs/PTo=",0)</f>
        <v>0</v>
      </c>
      <c r="BH3">
        <f>IF(fontes!41:41,"AAAAAHs/PTs=",0)</f>
        <v>0</v>
      </c>
      <c r="BI3">
        <f>IF(fontes!42:42,"AAAAAHs/PTw=",0)</f>
        <v>0</v>
      </c>
      <c r="BJ3">
        <f>IF(fontes!43:43,"AAAAAHs/PT0=",0)</f>
        <v>0</v>
      </c>
      <c r="BK3">
        <f>IF(fontes!44:44,"AAAAAHs/PT4=",0)</f>
        <v>0</v>
      </c>
      <c r="BL3">
        <f>IF(fontes!45:45,"AAAAAHs/PT8=",0)</f>
        <v>0</v>
      </c>
      <c r="BM3">
        <f>IF(fontes!46:46,"AAAAAHs/PUA=",0)</f>
        <v>0</v>
      </c>
      <c r="BN3">
        <f>IF(fontes!47:47,"AAAAAHs/PUE=",0)</f>
        <v>0</v>
      </c>
      <c r="BO3">
        <f>IF(fontes!48:48,"AAAAAHs/PUI=",0)</f>
        <v>0</v>
      </c>
      <c r="BP3">
        <f>IF(fontes!49:49,"AAAAAHs/PUM=",0)</f>
        <v>0</v>
      </c>
      <c r="BQ3">
        <f>IF(fontes!50:50,"AAAAAHs/PUQ=",0)</f>
        <v>0</v>
      </c>
      <c r="BR3">
        <f>IF(fontes!51:51,"AAAAAHs/PUU=",0)</f>
        <v>0</v>
      </c>
      <c r="BS3">
        <f>IF(fontes!52:52,"AAAAAHs/PUY=",0)</f>
        <v>0</v>
      </c>
      <c r="BT3">
        <f>IF(fontes!53:53,"AAAAAHs/PUc=",0)</f>
        <v>0</v>
      </c>
      <c r="BU3">
        <f>IF(fontes!54:54,"AAAAAHs/PUg=",0)</f>
        <v>0</v>
      </c>
      <c r="BV3">
        <f>IF(fontes!55:55,"AAAAAHs/PUk=",0)</f>
        <v>0</v>
      </c>
      <c r="BW3">
        <f>IF(fontes!56:56,"AAAAAHs/PUo=",0)</f>
        <v>0</v>
      </c>
      <c r="BX3">
        <f>IF(fontes!57:57,"AAAAAHs/PUs=",0)</f>
        <v>0</v>
      </c>
      <c r="BY3">
        <f>IF(fontes!58:58,"AAAAAHs/PUw=",0)</f>
        <v>0</v>
      </c>
      <c r="BZ3">
        <f>IF(fontes!59:59,"AAAAAHs/PU0=",0)</f>
        <v>0</v>
      </c>
      <c r="CA3">
        <f>IF(fontes!60:60,"AAAAAHs/PU4=",0)</f>
        <v>0</v>
      </c>
      <c r="CB3">
        <f>IF(fontes!61:61,"AAAAAHs/PU8=",0)</f>
        <v>0</v>
      </c>
      <c r="CC3">
        <f>IF(fontes!62:62,"AAAAAHs/PVA=",0)</f>
        <v>0</v>
      </c>
      <c r="CD3">
        <f>IF(fontes!63:63,"AAAAAHs/PVE=",0)</f>
        <v>0</v>
      </c>
      <c r="CE3">
        <f>IF(fontes!64:64,"AAAAAHs/PVI=",0)</f>
        <v>0</v>
      </c>
      <c r="CF3">
        <f>IF(fontes!65:65,"AAAAAHs/PVM=",0)</f>
        <v>0</v>
      </c>
      <c r="CG3">
        <f>IF(fontes!66:66,"AAAAAHs/PVQ=",0)</f>
        <v>0</v>
      </c>
      <c r="CH3">
        <f>IF(fontes!67:67,"AAAAAHs/PVU=",0)</f>
        <v>0</v>
      </c>
      <c r="CI3">
        <f>IF(fontes!68:68,"AAAAAHs/PVY=",0)</f>
        <v>0</v>
      </c>
      <c r="CJ3">
        <f>IF(fontes!69:69,"AAAAAHs/PVc=",0)</f>
        <v>0</v>
      </c>
      <c r="CK3">
        <f>IF(fontes!70:70,"AAAAAHs/PVg=",0)</f>
        <v>0</v>
      </c>
      <c r="CL3">
        <f>IF(fontes!71:71,"AAAAAHs/PVk=",0)</f>
        <v>0</v>
      </c>
      <c r="CM3">
        <f>IF(fontes!72:72,"AAAAAHs/PVo=",0)</f>
        <v>0</v>
      </c>
      <c r="CN3">
        <f>IF(fontes!73:73,"AAAAAHs/PVs=",0)</f>
        <v>0</v>
      </c>
      <c r="CO3">
        <f>IF(fontes!74:74,"AAAAAHs/PVw=",0)</f>
        <v>0</v>
      </c>
      <c r="CP3">
        <f>IF(fontes!75:75,"AAAAAHs/PV0=",0)</f>
        <v>0</v>
      </c>
      <c r="CQ3">
        <f>IF(fontes!76:76,"AAAAAHs/PV4=",0)</f>
        <v>0</v>
      </c>
      <c r="CR3">
        <f>IF(fontes!77:77,"AAAAAHs/PV8=",0)</f>
        <v>0</v>
      </c>
      <c r="CS3">
        <f>IF(fontes!78:78,"AAAAAHs/PWA=",0)</f>
        <v>0</v>
      </c>
      <c r="CT3">
        <f>IF(fontes!A:A,"AAAAAHs/PWE=",0)</f>
        <v>0</v>
      </c>
      <c r="CU3">
        <f>IF(fontes!B:B,"AAAAAHs/PWI=",0)</f>
        <v>0</v>
      </c>
      <c r="CV3">
        <f>IF(fontes!C:C,"AAAAAHs/PWM=",0)</f>
        <v>0</v>
      </c>
      <c r="CW3">
        <f>IF(fontes!D:D,"AAAAAHs/PWQ=",0)</f>
        <v>0</v>
      </c>
      <c r="CX3">
        <f>IF(fontes!E:E,"AAAAAHs/PWU=",0)</f>
        <v>0</v>
      </c>
      <c r="CY3">
        <f>IF(fontes!F:F,"AAAAAHs/PWY=",0)</f>
        <v>0</v>
      </c>
      <c r="CZ3">
        <f>IF(fontes!G:G,"AAAAAHs/PWc=",0)</f>
        <v>0</v>
      </c>
      <c r="DA3">
        <f>IF(fontes!H:H,"AAAAAHs/PWg=",0)</f>
        <v>0</v>
      </c>
      <c r="DB3">
        <f>IF(fontes!I:I,"AAAAAHs/PWk=",0)</f>
        <v>0</v>
      </c>
      <c r="DC3">
        <f>IF(fontes!J:J,"AAAAAHs/PWo=",0)</f>
        <v>0</v>
      </c>
      <c r="DD3">
        <f>IF(fontes!K:K,"AAAAAHs/PWs=",0)</f>
        <v>0</v>
      </c>
      <c r="DE3">
        <f>IF(fontes!L:L,"AAAAAHs/PWw=",0)</f>
        <v>0</v>
      </c>
      <c r="DF3">
        <f>IF(fontes!M:M,"AAAAAHs/PW0=",0)</f>
        <v>0</v>
      </c>
      <c r="DG3">
        <f>IF(fontes!N:N,"AAAAAHs/PW4=",0)</f>
        <v>0</v>
      </c>
      <c r="DH3">
        <f>IF(fontes!O:O,"AAAAAHs/PW8=",0)</f>
        <v>0</v>
      </c>
      <c r="DI3">
        <f>IF(fontes!P:P,"AAAAAHs/PXA=",0)</f>
        <v>0</v>
      </c>
      <c r="DJ3">
        <f>IF(fontes!Q:Q,"AAAAAHs/PXE=",0)</f>
        <v>0</v>
      </c>
      <c r="DK3">
        <f>IF(fontes!R:R,"AAAAAHs/PXI=",0)</f>
        <v>0</v>
      </c>
      <c r="DL3">
        <f>IF(fontes!S:S,"AAAAAHs/PXM=",0)</f>
        <v>0</v>
      </c>
      <c r="DM3">
        <f>IF(fontes!T:T,"AAAAAHs/PXQ=",0)</f>
        <v>0</v>
      </c>
      <c r="DN3">
        <f>IF(fontes!U:U,"AAAAAHs/PXU=",0)</f>
        <v>0</v>
      </c>
      <c r="DO3">
        <f>IF(fontes!V:V,"AAAAAHs/PXY=",0)</f>
        <v>0</v>
      </c>
      <c r="DP3">
        <f>IF(fontes!W:W,"AAAAAHs/PXc=",0)</f>
        <v>0</v>
      </c>
      <c r="DQ3">
        <f>IF(créditos!3:3,"AAAAAHs/PXg=",0)</f>
        <v>0</v>
      </c>
      <c r="DR3">
        <f>IF(créditos!4:4,"AAAAAHs/PXk=",0)</f>
        <v>0</v>
      </c>
      <c r="DS3">
        <f>IF(créditos!5:5,"AAAAAHs/PXo=",0)</f>
        <v>0</v>
      </c>
      <c r="DT3">
        <f>IF(créditos!6:6,"AAAAAHs/PXs=",0)</f>
        <v>0</v>
      </c>
      <c r="DU3">
        <f>IF(créditos!7:7,"AAAAAHs/PXw=",0)</f>
        <v>0</v>
      </c>
      <c r="DV3">
        <f>IF(créditos!8:8,"AAAAAHs/PX0=",0)</f>
        <v>0</v>
      </c>
      <c r="DW3">
        <f>IF(créditos!9:9,"AAAAAHs/PX4=",0)</f>
        <v>0</v>
      </c>
      <c r="DX3">
        <f>IF(créditos!10:10,"AAAAAHs/PX8=",0)</f>
        <v>0</v>
      </c>
      <c r="DY3">
        <f>IF(créditos!11:11,"AAAAAHs/PYA=",0)</f>
        <v>0</v>
      </c>
      <c r="DZ3">
        <f>IF(créditos!12:12,"AAAAAHs/PYE=",0)</f>
        <v>0</v>
      </c>
      <c r="EA3">
        <f>IF(créditos!13:13,"AAAAAHs/PYI=",0)</f>
        <v>0</v>
      </c>
      <c r="EB3">
        <f>IF(créditos!14:14,"AAAAAHs/PYM=",0)</f>
        <v>0</v>
      </c>
      <c r="EC3">
        <f>IF(créditos!15:15,"AAAAAHs/PYQ=",0)</f>
        <v>0</v>
      </c>
      <c r="ED3">
        <f>IF(créditos!16:16,"AAAAAHs/PYU=",0)</f>
        <v>0</v>
      </c>
      <c r="EE3">
        <f>IF(créditos!17:17,"AAAAAHs/PYY=",0)</f>
        <v>0</v>
      </c>
      <c r="EF3">
        <f>IF(créditos!18:18,"AAAAAHs/PYc=",0)</f>
        <v>0</v>
      </c>
      <c r="EG3">
        <f>IF(créditos!19:19,"AAAAAHs/PYg=",0)</f>
        <v>0</v>
      </c>
      <c r="EH3">
        <f>IF(créditos!20:20,"AAAAAHs/PYk=",0)</f>
        <v>0</v>
      </c>
      <c r="EI3">
        <f>IF(créditos!21:21,"AAAAAHs/PYo=",0)</f>
        <v>0</v>
      </c>
      <c r="EJ3">
        <f>IF(créditos!22:22,"AAAAAHs/PYs=",0)</f>
        <v>0</v>
      </c>
      <c r="EK3">
        <f>IF(créditos!23:23,"AAAAAHs/PYw=",0)</f>
        <v>0</v>
      </c>
      <c r="EL3">
        <f>IF(créditos!24:24,"AAAAAHs/PY0=",0)</f>
        <v>0</v>
      </c>
      <c r="EM3">
        <f>IF(créditos!25:25,"AAAAAHs/PY4=",0)</f>
        <v>0</v>
      </c>
      <c r="EN3">
        <f>IF(créditos!26:26,"AAAAAHs/PY8=",0)</f>
        <v>0</v>
      </c>
      <c r="EO3">
        <f>IF(créditos!27:27,"AAAAAHs/PZA=",0)</f>
        <v>0</v>
      </c>
      <c r="EP3">
        <f>IF(créditos!28:28,"AAAAAHs/PZE=",0)</f>
        <v>0</v>
      </c>
      <c r="EQ3">
        <f>IF(créditos!29:29,"AAAAAHs/PZI=",0)</f>
        <v>0</v>
      </c>
      <c r="ER3">
        <f>IF(créditos!30:30,"AAAAAHs/PZM=",0)</f>
        <v>0</v>
      </c>
      <c r="ES3">
        <f>IF(créditos!31:31,"AAAAAHs/PZQ=",0)</f>
        <v>0</v>
      </c>
      <c r="ET3">
        <f>IF(créditos!32:32,"AAAAAHs/PZU=",0)</f>
        <v>0</v>
      </c>
      <c r="EU3">
        <f>IF(créditos!33:33,"AAAAAHs/PZY=",0)</f>
        <v>0</v>
      </c>
      <c r="EV3">
        <f>IF(créditos!34:34,"AAAAAHs/PZc=",0)</f>
        <v>0</v>
      </c>
      <c r="EW3">
        <f>IF(créditos!35:35,"AAAAAHs/PZg=",0)</f>
        <v>0</v>
      </c>
      <c r="EX3">
        <f>IF(créditos!36:36,"AAAAAHs/PZk=",0)</f>
        <v>0</v>
      </c>
      <c r="EY3">
        <f>IF(créditos!37:37,"AAAAAHs/PZo=",0)</f>
        <v>0</v>
      </c>
      <c r="EZ3">
        <f>IF(créditos!38:38,"AAAAAHs/PZs=",0)</f>
        <v>0</v>
      </c>
      <c r="FA3">
        <f>IF(créditos!39:39,"AAAAAHs/PZw=",0)</f>
        <v>0</v>
      </c>
      <c r="FB3">
        <f>IF(créditos!40:40,"AAAAAHs/PZ0=",0)</f>
        <v>0</v>
      </c>
      <c r="FC3">
        <f>IF(créditos!41:41,"AAAAAHs/PZ4=",0)</f>
        <v>0</v>
      </c>
      <c r="FD3">
        <f>IF(créditos!42:42,"AAAAAHs/PZ8=",0)</f>
        <v>0</v>
      </c>
      <c r="FE3">
        <f>IF(créditos!43:43,"AAAAAHs/PaA=",0)</f>
        <v>0</v>
      </c>
      <c r="FF3">
        <f>IF(créditos!44:44,"AAAAAHs/PaE=",0)</f>
        <v>0</v>
      </c>
      <c r="FG3">
        <f>IF(créditos!45:45,"AAAAAHs/PaI=",0)</f>
        <v>0</v>
      </c>
      <c r="FH3">
        <f>IF(créditos!46:46,"AAAAAHs/PaM=",0)</f>
        <v>0</v>
      </c>
      <c r="FI3">
        <f>IF(créditos!47:47,"AAAAAHs/PaQ=",0)</f>
        <v>0</v>
      </c>
      <c r="FJ3">
        <f>IF(créditos!48:48,"AAAAAHs/PaU=",0)</f>
        <v>0</v>
      </c>
      <c r="FK3">
        <f>IF(créditos!49:49,"AAAAAHs/PaY=",0)</f>
        <v>0</v>
      </c>
      <c r="FL3">
        <f>IF(créditos!50:50,"AAAAAHs/Pac=",0)</f>
        <v>0</v>
      </c>
      <c r="FM3">
        <f>IF(créditos!51:51,"AAAAAHs/Pag=",0)</f>
        <v>0</v>
      </c>
      <c r="FN3">
        <f>IF(créditos!52:52,"AAAAAHs/Pak=",0)</f>
        <v>0</v>
      </c>
      <c r="FO3">
        <f>IF(créditos!53:53,"AAAAAHs/Pao=",0)</f>
        <v>0</v>
      </c>
      <c r="FP3">
        <f>IF(créditos!54:54,"AAAAAHs/Pas=",0)</f>
        <v>0</v>
      </c>
      <c r="FQ3">
        <f>IF(créditos!55:55,"AAAAAHs/Paw=",0)</f>
        <v>0</v>
      </c>
      <c r="FR3">
        <f>IF(créditos!56:56,"AAAAAHs/Pa0=",0)</f>
        <v>0</v>
      </c>
      <c r="FS3">
        <f>IF(créditos!57:57,"AAAAAHs/Pa4=",0)</f>
        <v>0</v>
      </c>
      <c r="FT3">
        <f>IF(créditos!58:58,"AAAAAHs/Pa8=",0)</f>
        <v>0</v>
      </c>
      <c r="FU3">
        <f>IF(créditos!59:59,"AAAAAHs/PbA=",0)</f>
        <v>0</v>
      </c>
      <c r="FV3">
        <f>IF(créditos!60:60,"AAAAAHs/PbE=",0)</f>
        <v>0</v>
      </c>
      <c r="FW3">
        <f>IF(créditos!61:61,"AAAAAHs/PbI=",0)</f>
        <v>0</v>
      </c>
      <c r="FX3">
        <f>IF(créditos!62:62,"AAAAAHs/PbM=",0)</f>
        <v>0</v>
      </c>
      <c r="FY3">
        <f>IF(créditos!63:63,"AAAAAHs/PbQ=",0)</f>
        <v>0</v>
      </c>
      <c r="FZ3">
        <f>IF(créditos!64:64,"AAAAAHs/PbU=",0)</f>
        <v>0</v>
      </c>
      <c r="GA3">
        <f>IF(créditos!65:65,"AAAAAHs/PbY=",0)</f>
        <v>0</v>
      </c>
      <c r="GB3">
        <f>IF(créditos!66:66,"AAAAAHs/Pbc=",0)</f>
        <v>0</v>
      </c>
      <c r="GC3">
        <f>IF(créditos!67:67,"AAAAAHs/Pbg=",0)</f>
        <v>0</v>
      </c>
      <c r="GD3">
        <f>IF(créditos!68:68,"AAAAAHs/Pbk=",0)</f>
        <v>0</v>
      </c>
      <c r="GE3">
        <f>IF(créditos!69:69,"AAAAAHs/Pbo=",0)</f>
        <v>0</v>
      </c>
      <c r="GF3">
        <f>IF(créditos!70:70,"AAAAAHs/Pbs=",0)</f>
        <v>0</v>
      </c>
      <c r="GG3">
        <f>IF(créditos!71:71,"AAAAAHs/Pbw=",0)</f>
        <v>0</v>
      </c>
      <c r="GH3">
        <f>IF(créditos!72:72,"AAAAAHs/Pb0=",0)</f>
        <v>0</v>
      </c>
      <c r="GI3">
        <f>IF(créditos!B:B,"AAAAAHs/Pb4=",0)</f>
        <v>0</v>
      </c>
      <c r="GJ3">
        <f>IF(créditos!C:C,"AAAAAHs/Pb8=",0)</f>
        <v>0</v>
      </c>
      <c r="GK3">
        <f>IF(créditos!D:D,"AAAAAHs/PcA=",0)</f>
        <v>0</v>
      </c>
      <c r="GL3">
        <f>IF(créditos!E:E,"AAAAAHs/PcE=",0)</f>
        <v>0</v>
      </c>
      <c r="GM3">
        <f>IF(créditos!F:F,"AAAAAHs/PcI=",0)</f>
        <v>0</v>
      </c>
      <c r="GN3">
        <f>IF(créditos!G:G,"AAAAAHs/PcM=",0)</f>
        <v>0</v>
      </c>
      <c r="GO3">
        <f>IF(créditos!H:H,"AAAAAHs/PcQ=",0)</f>
        <v>0</v>
      </c>
      <c r="GP3">
        <f>IF(créditos!I:I,"AAAAAHs/PcU=",0)</f>
        <v>0</v>
      </c>
      <c r="GQ3">
        <f>IF(créditos!J:J,"AAAAAHs/PcY=",0)</f>
        <v>0</v>
      </c>
      <c r="GR3">
        <f>IF(créditos!K:K,"AAAAAHs/Pcc=",0)</f>
        <v>0</v>
      </c>
      <c r="GS3">
        <f>IF(créditos!L:L,"AAAAAHs/Pcg=",0)</f>
        <v>0</v>
      </c>
      <c r="GT3">
        <f>IF(créditos!M:M,"AAAAAHs/Pck=",0)</f>
        <v>0</v>
      </c>
      <c r="GU3">
        <f>IF(créditos!N:N,"AAAAAHs/Pco=",0)</f>
        <v>0</v>
      </c>
      <c r="GV3">
        <f>IF(créditos!O:O,"AAAAAHs/Pcs=",0)</f>
        <v>0</v>
      </c>
      <c r="GW3">
        <f>IF(créditos!P:P,"AAAAAHs/Pcw=",0)</f>
        <v>0</v>
      </c>
      <c r="GX3">
        <f>IF(créditos!Q:Q,"AAAAAHs/Pc0=",0)</f>
        <v>0</v>
      </c>
      <c r="GY3">
        <f>IF(créditos!R:R,"AAAAAHs/Pc4=",0)</f>
        <v>0</v>
      </c>
      <c r="GZ3">
        <f>IF(créditos!S:S,"AAAAAHs/Pc8=",0)</f>
        <v>0</v>
      </c>
      <c r="HA3">
        <f>IF(créditos!T:T,"AAAAAHs/PdA=",0)</f>
        <v>0</v>
      </c>
      <c r="HB3">
        <f>IF(créditos!U:U,"AAAAAHs/PdE=",0)</f>
        <v>0</v>
      </c>
      <c r="HC3">
        <f>IF(créditos!V:V,"AAAAAHs/PdI=",0)</f>
        <v>0</v>
      </c>
      <c r="HD3">
        <f>IF(créditos!W:W,"AAAAAHs/PdM=",0)</f>
        <v>0</v>
      </c>
      <c r="HE3">
        <f>IF(créditos!X:X,"AAAAAHs/PdQ=",0)</f>
        <v>0</v>
      </c>
      <c r="HF3">
        <f>IF(créditos!Y:Y,"AAAAAHs/PdU=",0)</f>
        <v>0</v>
      </c>
      <c r="HG3">
        <f>IF(créditos!Z:Z,"AAAAAHs/PdY=",0)</f>
        <v>0</v>
      </c>
      <c r="HH3">
        <f>IF(créditos!AA:AA,"AAAAAHs/Pdc=",0)</f>
        <v>0</v>
      </c>
      <c r="HI3">
        <f>IF(créditos!AB:AB,"AAAAAHs/Pdg=",0)</f>
        <v>0</v>
      </c>
      <c r="HJ3">
        <f>IF(créditos!AC:AC,"AAAAAHs/Pdk=",0)</f>
        <v>0</v>
      </c>
      <c r="HK3">
        <f>IF(créditos!AD:AD,"AAAAAHs/Pdo=",0)</f>
        <v>0</v>
      </c>
      <c r="HL3">
        <f>IF(créditos!AE:AE,"AAAAAHs/Pds=",0)</f>
        <v>0</v>
      </c>
      <c r="HM3">
        <f>IF(créditos!AF:AF,"AAAAAHs/Pdw=",0)</f>
        <v>0</v>
      </c>
      <c r="HN3">
        <f>IF(créditos!AG:AG,"AAAAAHs/Pd0=",0)</f>
        <v>0</v>
      </c>
      <c r="HO3">
        <f>IF(créditos!AH:AH,"AAAAAHs/Pd4=",0)</f>
        <v>0</v>
      </c>
      <c r="HP3">
        <f>IF(créditos!AI:AI,"AAAAAHs/Pd8=",0)</f>
        <v>0</v>
      </c>
      <c r="HQ3">
        <f>IF(créditos!AJ:AJ,"AAAAAHs/PeA=",0)</f>
        <v>0</v>
      </c>
      <c r="HR3">
        <f>IF(créditos!AK:AK,"AAAAAHs/PeE=",0)</f>
        <v>0</v>
      </c>
      <c r="HS3">
        <f>IF(créditos!AL:AL,"AAAAAHs/PeI=",0)</f>
        <v>0</v>
      </c>
      <c r="HT3">
        <f>IF(créditos!AM:AM,"AAAAAHs/PeM=",0)</f>
        <v>0</v>
      </c>
      <c r="HU3">
        <f>IF(créditos!AN:AN,"AAAAAHs/PeQ=",0)</f>
        <v>0</v>
      </c>
      <c r="HV3">
        <f>IF(créditos!AO:AO,"AAAAAHs/PeU=",0)</f>
        <v>0</v>
      </c>
      <c r="HW3">
        <f>IF(créditos!AP:AP,"AAAAAHs/PeY=",0)</f>
        <v>0</v>
      </c>
      <c r="HX3">
        <f>IF(estado!1:1,"AAAAAHs/Pec=",0)</f>
        <v>0</v>
      </c>
      <c r="HY3">
        <f>IF(estado!2:2,"AAAAAHs/Peg=",0)</f>
        <v>0</v>
      </c>
      <c r="HZ3">
        <f>IF(estado!3:3,"AAAAAHs/Pek=",0)</f>
        <v>0</v>
      </c>
      <c r="IA3">
        <f>IF(estado!4:4,"AAAAAHs/Peo=",0)</f>
        <v>0</v>
      </c>
      <c r="IB3">
        <f>IF(estado!5:5,"AAAAAHs/Pes=",0)</f>
        <v>0</v>
      </c>
      <c r="IC3">
        <f>IF(estado!6:6,"AAAAAHs/Pew=",0)</f>
        <v>0</v>
      </c>
      <c r="ID3">
        <f>IF(estado!7:7,"AAAAAHs/Pe0=",0)</f>
        <v>0</v>
      </c>
      <c r="IE3">
        <f>IF(estado!8:8,"AAAAAHs/Pe4=",0)</f>
        <v>0</v>
      </c>
      <c r="IF3">
        <f>IF(estado!9:9,"AAAAAHs/Pe8=",0)</f>
        <v>0</v>
      </c>
      <c r="IG3">
        <f>IF(estado!10:10,"AAAAAHs/PfA=",0)</f>
        <v>0</v>
      </c>
      <c r="IH3">
        <f>IF(estado!11:11,"AAAAAHs/PfE=",0)</f>
        <v>0</v>
      </c>
      <c r="II3">
        <f>IF(estado!12:12,"AAAAAHs/PfI=",0)</f>
        <v>0</v>
      </c>
      <c r="IJ3">
        <f>IF(estado!13:13,"AAAAAHs/PfM=",0)</f>
        <v>0</v>
      </c>
      <c r="IK3">
        <f>IF(estado!14:14,"AAAAAHs/PfQ=",0)</f>
        <v>0</v>
      </c>
      <c r="IL3">
        <f>IF(estado!15:15,"AAAAAHs/PfU=",0)</f>
        <v>0</v>
      </c>
      <c r="IM3">
        <f>IF(estado!16:16,"AAAAAHs/PfY=",0)</f>
        <v>0</v>
      </c>
      <c r="IN3">
        <f>IF(estado!17:17,"AAAAAHs/Pfc=",0)</f>
        <v>0</v>
      </c>
      <c r="IO3">
        <f>IF(estado!18:18,"AAAAAHs/Pfg=",0)</f>
        <v>0</v>
      </c>
      <c r="IP3">
        <f>IF(estado!19:19,"AAAAAHs/Pfk=",0)</f>
        <v>0</v>
      </c>
      <c r="IQ3">
        <f>IF(estado!20:20,"AAAAAHs/Pfo=",0)</f>
        <v>0</v>
      </c>
      <c r="IR3">
        <f>IF(estado!21:21,"AAAAAHs/Pfs=",0)</f>
        <v>0</v>
      </c>
      <c r="IS3">
        <f>IF(estado!22:22,"AAAAAHs/Pfw=",0)</f>
        <v>0</v>
      </c>
      <c r="IT3">
        <f>IF(estado!23:23,"AAAAAHs/Pf0=",0)</f>
        <v>0</v>
      </c>
      <c r="IU3">
        <f>IF(estado!24:24,"AAAAAHs/Pf4=",0)</f>
        <v>0</v>
      </c>
      <c r="IV3">
        <f>IF(estado!25:25,"AAAAAHs/Pf8=",0)</f>
        <v>0</v>
      </c>
    </row>
    <row r="4" spans="1:256" x14ac:dyDescent="0.2">
      <c r="A4">
        <f>IF(estado!26:26,"AAAAAGj3vQA=",0)</f>
        <v>0</v>
      </c>
      <c r="B4">
        <f>IF(estado!27:27,"AAAAAGj3vQE=",0)</f>
        <v>0</v>
      </c>
      <c r="C4">
        <f>IF(estado!28:28,"AAAAAGj3vQI=",0)</f>
        <v>0</v>
      </c>
      <c r="D4">
        <f>IF(estado!29:29,"AAAAAGj3vQM=",0)</f>
        <v>0</v>
      </c>
      <c r="E4">
        <f>IF(estado!30:30,"AAAAAGj3vQQ=",0)</f>
        <v>0</v>
      </c>
      <c r="F4">
        <f>IF(estado!31:31,"AAAAAGj3vQU=",0)</f>
        <v>0</v>
      </c>
      <c r="G4">
        <f>IF(estado!32:32,"AAAAAGj3vQY=",0)</f>
        <v>0</v>
      </c>
      <c r="H4">
        <f>IF(estado!33:33,"AAAAAGj3vQc=",0)</f>
        <v>0</v>
      </c>
      <c r="I4">
        <f>IF(estado!34:34,"AAAAAGj3vQg=",0)</f>
        <v>0</v>
      </c>
      <c r="J4">
        <f>IF(estado!35:35,"AAAAAGj3vQk=",0)</f>
        <v>0</v>
      </c>
      <c r="K4">
        <f>IF(estado!36:36,"AAAAAGj3vQo=",0)</f>
        <v>0</v>
      </c>
      <c r="L4">
        <f>IF(estado!37:37,"AAAAAGj3vQs=",0)</f>
        <v>0</v>
      </c>
      <c r="M4">
        <f>IF(estado!38:38,"AAAAAGj3vQw=",0)</f>
        <v>0</v>
      </c>
      <c r="N4">
        <f>IF(estado!39:39,"AAAAAGj3vQ0=",0)</f>
        <v>0</v>
      </c>
      <c r="O4">
        <f>IF(estado!40:40,"AAAAAGj3vQ4=",0)</f>
        <v>0</v>
      </c>
      <c r="P4">
        <f>IF(estado!41:41,"AAAAAGj3vQ8=",0)</f>
        <v>0</v>
      </c>
      <c r="Q4">
        <f>IF(estado!42:42,"AAAAAGj3vRA=",0)</f>
        <v>0</v>
      </c>
      <c r="R4">
        <f>IF(estado!43:43,"AAAAAGj3vRE=",0)</f>
        <v>0</v>
      </c>
      <c r="S4">
        <f>IF(estado!44:44,"AAAAAGj3vRI=",0)</f>
        <v>0</v>
      </c>
      <c r="T4">
        <f>IF(estado!45:45,"AAAAAGj3vRM=",0)</f>
        <v>0</v>
      </c>
      <c r="U4">
        <f>IF(estado!46:46,"AAAAAGj3vRQ=",0)</f>
        <v>0</v>
      </c>
      <c r="V4">
        <f>IF(estado!47:47,"AAAAAGj3vRU=",0)</f>
        <v>0</v>
      </c>
      <c r="W4">
        <f>IF(estado!48:48,"AAAAAGj3vRY=",0)</f>
        <v>0</v>
      </c>
      <c r="X4">
        <f>IF(estado!49:49,"AAAAAGj3vRc=",0)</f>
        <v>0</v>
      </c>
      <c r="Y4">
        <f>IF(estado!50:50,"AAAAAGj3vRg=",0)</f>
        <v>0</v>
      </c>
      <c r="Z4">
        <f>IF(estado!51:51,"AAAAAGj3vRk=",0)</f>
        <v>0</v>
      </c>
      <c r="AA4">
        <f>IF(estado!52:52,"AAAAAGj3vRo=",0)</f>
        <v>0</v>
      </c>
      <c r="AB4">
        <f>IF(estado!53:53,"AAAAAGj3vRs=",0)</f>
        <v>0</v>
      </c>
      <c r="AC4">
        <f>IF(estado!54:54,"AAAAAGj3vRw=",0)</f>
        <v>0</v>
      </c>
      <c r="AD4">
        <f>IF(estado!55:55,"AAAAAGj3vR0=",0)</f>
        <v>0</v>
      </c>
      <c r="AE4">
        <f>IF(estado!56:56,"AAAAAGj3vR4=",0)</f>
        <v>0</v>
      </c>
      <c r="AF4">
        <f>IF(estado!57:57,"AAAAAGj3vR8=",0)</f>
        <v>0</v>
      </c>
      <c r="AG4">
        <f>IF(estado!58:58,"AAAAAGj3vSA=",0)</f>
        <v>0</v>
      </c>
      <c r="AH4">
        <f>IF(estado!59:59,"AAAAAGj3vSE=",0)</f>
        <v>0</v>
      </c>
      <c r="AI4">
        <f>IF(estado!60:60,"AAAAAGj3vSI=",0)</f>
        <v>0</v>
      </c>
      <c r="AJ4">
        <f>IF(estado!61:61,"AAAAAGj3vSM=",0)</f>
        <v>0</v>
      </c>
      <c r="AK4">
        <f>IF(estado!62:62,"AAAAAGj3vSQ=",0)</f>
        <v>0</v>
      </c>
      <c r="AL4">
        <f>IF(estado!63:63,"AAAAAGj3vSU=",0)</f>
        <v>0</v>
      </c>
      <c r="AM4">
        <f>IF(estado!64:64,"AAAAAGj3vSY=",0)</f>
        <v>0</v>
      </c>
      <c r="AN4">
        <f>IF(estado!65:65,"AAAAAGj3vSc=",0)</f>
        <v>0</v>
      </c>
      <c r="AO4">
        <f>IF(estado!66:66,"AAAAAGj3vSg=",0)</f>
        <v>0</v>
      </c>
      <c r="AP4">
        <f>IF(estado!67:67,"AAAAAGj3vSk=",0)</f>
        <v>0</v>
      </c>
      <c r="AQ4">
        <f>IF(estado!68:68,"AAAAAGj3vSo=",0)</f>
        <v>0</v>
      </c>
      <c r="AR4">
        <f>IF(estado!69:69,"AAAAAGj3vSs=",0)</f>
        <v>0</v>
      </c>
      <c r="AS4">
        <f>IF(estado!70:70,"AAAAAGj3vSw=",0)</f>
        <v>0</v>
      </c>
      <c r="AT4">
        <f>IF(estado!71:71,"AAAAAGj3vS0=",0)</f>
        <v>0</v>
      </c>
      <c r="AU4">
        <f>IF(estado!72:72,"AAAAAGj3vS4=",0)</f>
        <v>0</v>
      </c>
      <c r="AV4">
        <f>IF(estado!73:73,"AAAAAGj3vS8=",0)</f>
        <v>0</v>
      </c>
      <c r="AW4">
        <f>IF(estado!74:74,"AAAAAGj3vTA=",0)</f>
        <v>0</v>
      </c>
      <c r="AX4">
        <f>IF(estado!75:75,"AAAAAGj3vTE=",0)</f>
        <v>0</v>
      </c>
      <c r="AY4">
        <f>IF(estado!76:76,"AAAAAGj3vTI=",0)</f>
        <v>0</v>
      </c>
      <c r="AZ4">
        <f>IF(estado!77:77,"AAAAAGj3vTM=",0)</f>
        <v>0</v>
      </c>
      <c r="BA4">
        <f>IF(estado!78:78,"AAAAAGj3vTQ=",0)</f>
        <v>0</v>
      </c>
      <c r="BB4">
        <f>IF(estado!79:79,"AAAAAGj3vTU=",0)</f>
        <v>0</v>
      </c>
      <c r="BC4">
        <f>IF(estado!80:80,"AAAAAGj3vTY=",0)</f>
        <v>0</v>
      </c>
      <c r="BD4">
        <f>IF(estado!81:81,"AAAAAGj3vTc=",0)</f>
        <v>0</v>
      </c>
      <c r="BE4">
        <f>IF(estado!82:82,"AAAAAGj3vTg=",0)</f>
        <v>0</v>
      </c>
      <c r="BF4">
        <f>IF(estado!83:83,"AAAAAGj3vTk=",0)</f>
        <v>0</v>
      </c>
      <c r="BG4">
        <f>IF(estado!84:84,"AAAAAGj3vTo=",0)</f>
        <v>0</v>
      </c>
      <c r="BH4">
        <f>IF(estado!85:85,"AAAAAGj3vTs=",0)</f>
        <v>0</v>
      </c>
      <c r="BI4">
        <f>IF(estado!86:86,"AAAAAGj3vTw=",0)</f>
        <v>0</v>
      </c>
      <c r="BJ4">
        <f>IF(estado!87:87,"AAAAAGj3vT0=",0)</f>
        <v>0</v>
      </c>
      <c r="BK4">
        <f>IF(estado!88:88,"AAAAAGj3vT4=",0)</f>
        <v>0</v>
      </c>
      <c r="BL4">
        <f>IF(estado!89:89,"AAAAAGj3vT8=",0)</f>
        <v>0</v>
      </c>
      <c r="BM4">
        <f>IF(estado!90:90,"AAAAAGj3vUA=",0)</f>
        <v>0</v>
      </c>
      <c r="BN4">
        <f>IF(estado!91:91,"AAAAAGj3vUE=",0)</f>
        <v>0</v>
      </c>
      <c r="BO4">
        <f>IF(estado!92:92,"AAAAAGj3vUI=",0)</f>
        <v>0</v>
      </c>
      <c r="BP4">
        <f>IF(estado!93:93,"AAAAAGj3vUM=",0)</f>
        <v>0</v>
      </c>
      <c r="BQ4">
        <f>IF(estado!94:94,"AAAAAGj3vUQ=",0)</f>
        <v>0</v>
      </c>
      <c r="BR4">
        <f>IF(estado!95:95,"AAAAAGj3vUU=",0)</f>
        <v>0</v>
      </c>
      <c r="BS4">
        <f>IF(estado!96:96,"AAAAAGj3vUY=",0)</f>
        <v>0</v>
      </c>
      <c r="BT4">
        <f>IF(estado!97:97,"AAAAAGj3vUc=",0)</f>
        <v>0</v>
      </c>
      <c r="BU4">
        <f>IF(estado!98:98,"AAAAAGj3vUg=",0)</f>
        <v>0</v>
      </c>
      <c r="BV4">
        <f>IF(estado!99:99,"AAAAAGj3vUk=",0)</f>
        <v>0</v>
      </c>
      <c r="BW4">
        <f>IF(estado!100:100,"AAAAAGj3vUo=",0)</f>
        <v>0</v>
      </c>
      <c r="BX4">
        <f>IF(estado!101:101,"AAAAAGj3vUs=",0)</f>
        <v>0</v>
      </c>
      <c r="BY4">
        <f>IF(estado!102:102,"AAAAAGj3vUw=",0)</f>
        <v>0</v>
      </c>
      <c r="BZ4">
        <f>IF(estado!103:103,"AAAAAGj3vU0=",0)</f>
        <v>0</v>
      </c>
      <c r="CA4">
        <f>IF(estado!104:104,"AAAAAGj3vU4=",0)</f>
        <v>0</v>
      </c>
      <c r="CB4">
        <f>IF(estado!105:105,"AAAAAGj3vU8=",0)</f>
        <v>0</v>
      </c>
      <c r="CC4">
        <f>IF(estado!106:106,"AAAAAGj3vVA=",0)</f>
        <v>0</v>
      </c>
      <c r="CD4">
        <f>IF(estado!107:107,"AAAAAGj3vVE=",0)</f>
        <v>0</v>
      </c>
      <c r="CE4">
        <f>IF(estado!108:108,"AAAAAGj3vVI=",0)</f>
        <v>0</v>
      </c>
      <c r="CF4">
        <f>IF(estado!109:109,"AAAAAGj3vVM=",0)</f>
        <v>0</v>
      </c>
      <c r="CG4">
        <f>IF(estado!110:110,"AAAAAGj3vVQ=",0)</f>
        <v>0</v>
      </c>
      <c r="CH4">
        <f>IF(estado!111:111,"AAAAAGj3vVU=",0)</f>
        <v>0</v>
      </c>
      <c r="CI4">
        <f>IF(estado!112:112,"AAAAAGj3vVY=",0)</f>
        <v>0</v>
      </c>
      <c r="CJ4">
        <f>IF(estado!113:113,"AAAAAGj3vVc=",0)</f>
        <v>0</v>
      </c>
      <c r="CK4">
        <f>IF(estado!114:114,"AAAAAGj3vVg=",0)</f>
        <v>0</v>
      </c>
      <c r="CL4">
        <f>IF(estado!115:115,"AAAAAGj3vVk=",0)</f>
        <v>0</v>
      </c>
      <c r="CM4">
        <f>IF(estado!116:116,"AAAAAGj3vVo=",0)</f>
        <v>0</v>
      </c>
      <c r="CN4">
        <f>IF(estado!117:117,"AAAAAGj3vVs=",0)</f>
        <v>0</v>
      </c>
      <c r="CO4">
        <f>IF(estado!118:118,"AAAAAGj3vVw=",0)</f>
        <v>0</v>
      </c>
      <c r="CP4">
        <f>IF(estado!119:119,"AAAAAGj3vV0=",0)</f>
        <v>0</v>
      </c>
      <c r="CQ4">
        <f>IF(estado!120:120,"AAAAAGj3vV4=",0)</f>
        <v>0</v>
      </c>
      <c r="CR4">
        <f>IF(estado!121:121,"AAAAAGj3vV8=",0)</f>
        <v>0</v>
      </c>
      <c r="CS4">
        <f>IF(estado!122:122,"AAAAAGj3vWA=",0)</f>
        <v>0</v>
      </c>
      <c r="CT4">
        <f>IF(estado!123:123,"AAAAAGj3vWE=",0)</f>
        <v>0</v>
      </c>
      <c r="CU4">
        <f>IF(estado!124:124,"AAAAAGj3vWI=",0)</f>
        <v>0</v>
      </c>
      <c r="CV4">
        <f>IF(estado!125:125,"AAAAAGj3vWM=",0)</f>
        <v>0</v>
      </c>
      <c r="CW4">
        <f>IF(estado!126:126,"AAAAAGj3vWQ=",0)</f>
        <v>0</v>
      </c>
      <c r="CX4">
        <f>IF(estado!127:127,"AAAAAGj3vWU=",0)</f>
        <v>0</v>
      </c>
      <c r="CY4">
        <f>IF(estado!128:128,"AAAAAGj3vWY=",0)</f>
        <v>0</v>
      </c>
      <c r="CZ4">
        <f>IF(estado!129:129,"AAAAAGj3vWc=",0)</f>
        <v>0</v>
      </c>
      <c r="DA4">
        <f>IF(estado!130:130,"AAAAAGj3vWg=",0)</f>
        <v>0</v>
      </c>
      <c r="DB4">
        <f>IF(estado!131:131,"AAAAAGj3vWk=",0)</f>
        <v>0</v>
      </c>
      <c r="DC4">
        <f>IF(estado!132:132,"AAAAAGj3vWo=",0)</f>
        <v>0</v>
      </c>
      <c r="DD4">
        <f>IF(estado!133:133,"AAAAAGj3vWs=",0)</f>
        <v>0</v>
      </c>
      <c r="DE4">
        <f>IF(estado!134:134,"AAAAAGj3vWw=",0)</f>
        <v>0</v>
      </c>
      <c r="DF4">
        <f>IF(estado!135:135,"AAAAAGj3vW0=",0)</f>
        <v>0</v>
      </c>
      <c r="DG4">
        <f>IF(estado!136:136,"AAAAAGj3vW4=",0)</f>
        <v>0</v>
      </c>
      <c r="DH4">
        <f>IF(estado!137:137,"AAAAAGj3vW8=",0)</f>
        <v>0</v>
      </c>
      <c r="DI4">
        <f>IF(estado!138:138,"AAAAAGj3vXA=",0)</f>
        <v>0</v>
      </c>
      <c r="DJ4">
        <f>IF(estado!139:139,"AAAAAGj3vXE=",0)</f>
        <v>0</v>
      </c>
      <c r="DK4">
        <f>IF(estado!140:140,"AAAAAGj3vXI=",0)</f>
        <v>0</v>
      </c>
      <c r="DL4">
        <f>IF(estado!141:141,"AAAAAGj3vXM=",0)</f>
        <v>0</v>
      </c>
      <c r="DM4">
        <f>IF(estado!142:142,"AAAAAGj3vXQ=",0)</f>
        <v>0</v>
      </c>
      <c r="DN4">
        <f>IF(estado!143:143,"AAAAAGj3vXU=",0)</f>
        <v>0</v>
      </c>
      <c r="DO4">
        <f>IF(estado!144:144,"AAAAAGj3vXY=",0)</f>
        <v>0</v>
      </c>
      <c r="DP4">
        <f>IF(estado!145:145,"AAAAAGj3vXc=",0)</f>
        <v>0</v>
      </c>
      <c r="DQ4">
        <f>IF(estado!146:146,"AAAAAGj3vXg=",0)</f>
        <v>0</v>
      </c>
      <c r="DR4">
        <f>IF(estado!147:147,"AAAAAGj3vXk=",0)</f>
        <v>0</v>
      </c>
      <c r="DS4">
        <f>IF(estado!148:148,"AAAAAGj3vXo=",0)</f>
        <v>0</v>
      </c>
      <c r="DT4">
        <f>IF(estado!149:149,"AAAAAGj3vXs=",0)</f>
        <v>0</v>
      </c>
      <c r="DU4">
        <f>IF(estado!150:150,"AAAAAGj3vXw=",0)</f>
        <v>0</v>
      </c>
      <c r="DV4">
        <f>IF(estado!151:151,"AAAAAGj3vX0=",0)</f>
        <v>0</v>
      </c>
      <c r="DW4">
        <f>IF(estado!152:152,"AAAAAGj3vX4=",0)</f>
        <v>0</v>
      </c>
      <c r="DX4">
        <f>IF(estado!153:153,"AAAAAGj3vX8=",0)</f>
        <v>0</v>
      </c>
      <c r="DY4">
        <f>IF(estado!154:154,"AAAAAGj3vYA=",0)</f>
        <v>0</v>
      </c>
      <c r="DZ4">
        <f>IF(estado!155:155,"AAAAAGj3vYE=",0)</f>
        <v>0</v>
      </c>
      <c r="EA4">
        <f>IF(estado!156:156,"AAAAAGj3vYI=",0)</f>
        <v>0</v>
      </c>
      <c r="EB4">
        <f>IF(estado!157:157,"AAAAAGj3vYM=",0)</f>
        <v>0</v>
      </c>
      <c r="EC4">
        <f>IF(estado!158:158,"AAAAAGj3vYQ=",0)</f>
        <v>0</v>
      </c>
      <c r="ED4">
        <f>IF(estado!159:159,"AAAAAGj3vYU=",0)</f>
        <v>0</v>
      </c>
      <c r="EE4">
        <f>IF(estado!160:160,"AAAAAGj3vYY=",0)</f>
        <v>0</v>
      </c>
      <c r="EF4">
        <f>IF(estado!161:161,"AAAAAGj3vYc=",0)</f>
        <v>0</v>
      </c>
      <c r="EG4">
        <f>IF(estado!162:162,"AAAAAGj3vYg=",0)</f>
        <v>0</v>
      </c>
      <c r="EH4">
        <f>IF(estado!163:163,"AAAAAGj3vYk=",0)</f>
        <v>0</v>
      </c>
      <c r="EI4">
        <f>IF(estado!164:164,"AAAAAGj3vYo=",0)</f>
        <v>0</v>
      </c>
      <c r="EJ4">
        <f>IF(estado!165:165,"AAAAAGj3vYs=",0)</f>
        <v>0</v>
      </c>
      <c r="EK4">
        <f>IF(estado!166:166,"AAAAAGj3vYw=",0)</f>
        <v>0</v>
      </c>
      <c r="EL4">
        <f>IF(estado!167:167,"AAAAAGj3vY0=",0)</f>
        <v>0</v>
      </c>
      <c r="EM4">
        <f>IF(estado!168:168,"AAAAAGj3vY4=",0)</f>
        <v>0</v>
      </c>
      <c r="EN4">
        <f>IF(estado!169:169,"AAAAAGj3vY8=",0)</f>
        <v>0</v>
      </c>
      <c r="EO4">
        <f>IF(estado!170:170,"AAAAAGj3vZA=",0)</f>
        <v>0</v>
      </c>
      <c r="EP4">
        <f>IF(estado!171:171,"AAAAAGj3vZE=",0)</f>
        <v>0</v>
      </c>
      <c r="EQ4">
        <f>IF(estado!172:172,"AAAAAGj3vZI=",0)</f>
        <v>0</v>
      </c>
      <c r="ER4">
        <f>IF(estado!173:173,"AAAAAGj3vZM=",0)</f>
        <v>0</v>
      </c>
      <c r="ES4">
        <f>IF(estado!174:174,"AAAAAGj3vZQ=",0)</f>
        <v>0</v>
      </c>
      <c r="ET4">
        <f>IF(estado!175:175,"AAAAAGj3vZU=",0)</f>
        <v>0</v>
      </c>
      <c r="EU4">
        <f>IF(estado!176:176,"AAAAAGj3vZY=",0)</f>
        <v>0</v>
      </c>
      <c r="EV4">
        <f>IF(estado!177:177,"AAAAAGj3vZc=",0)</f>
        <v>0</v>
      </c>
      <c r="EW4">
        <f>IF(estado!178:178,"AAAAAGj3vZg=",0)</f>
        <v>0</v>
      </c>
      <c r="EX4">
        <f>IF(estado!179:179,"AAAAAGj3vZk=",0)</f>
        <v>0</v>
      </c>
      <c r="EY4">
        <f>IF(estado!180:180,"AAAAAGj3vZo=",0)</f>
        <v>0</v>
      </c>
      <c r="EZ4">
        <f>IF(estado!181:181,"AAAAAGj3vZs=",0)</f>
        <v>0</v>
      </c>
      <c r="FA4">
        <f>IF(estado!182:182,"AAAAAGj3vZw=",0)</f>
        <v>0</v>
      </c>
      <c r="FB4">
        <f>IF(estado!183:183,"AAAAAGj3vZ0=",0)</f>
        <v>0</v>
      </c>
      <c r="FC4">
        <f>IF(estado!184:184,"AAAAAGj3vZ4=",0)</f>
        <v>0</v>
      </c>
      <c r="FD4">
        <f>IF(estado!185:185,"AAAAAGj3vZ8=",0)</f>
        <v>0</v>
      </c>
      <c r="FE4">
        <f>IF(estado!186:186,"AAAAAGj3vaA=",0)</f>
        <v>0</v>
      </c>
      <c r="FF4">
        <f>IF(estado!187:187,"AAAAAGj3vaE=",0)</f>
        <v>0</v>
      </c>
      <c r="FG4">
        <f>IF(estado!188:188,"AAAAAGj3vaI=",0)</f>
        <v>0</v>
      </c>
      <c r="FH4">
        <f>IF(estado!189:189,"AAAAAGj3vaM=",0)</f>
        <v>0</v>
      </c>
      <c r="FI4">
        <f>IF(estado!190:190,"AAAAAGj3vaQ=",0)</f>
        <v>0</v>
      </c>
      <c r="FJ4">
        <f>IF(estado!191:191,"AAAAAGj3vaU=",0)</f>
        <v>0</v>
      </c>
      <c r="FK4">
        <f>IF(estado!192:192,"AAAAAGj3vaY=",0)</f>
        <v>0</v>
      </c>
      <c r="FL4">
        <f>IF(estado!193:193,"AAAAAGj3vac=",0)</f>
        <v>0</v>
      </c>
      <c r="FM4">
        <f>IF(estado!194:194,"AAAAAGj3vag=",0)</f>
        <v>0</v>
      </c>
      <c r="FN4">
        <f>IF(estado!195:195,"AAAAAGj3vak=",0)</f>
        <v>0</v>
      </c>
      <c r="FO4">
        <f>IF(estado!196:196,"AAAAAGj3vao=",0)</f>
        <v>0</v>
      </c>
      <c r="FP4">
        <f>IF(estado!197:197,"AAAAAGj3vas=",0)</f>
        <v>0</v>
      </c>
      <c r="FQ4">
        <f>IF(estado!198:198,"AAAAAGj3vaw=",0)</f>
        <v>0</v>
      </c>
      <c r="FR4">
        <f>IF(estado!199:199,"AAAAAGj3va0=",0)</f>
        <v>0</v>
      </c>
      <c r="FS4">
        <f>IF(estado!200:200,"AAAAAGj3va4=",0)</f>
        <v>0</v>
      </c>
      <c r="FT4">
        <f>IF(estado!201:201,"AAAAAGj3va8=",0)</f>
        <v>0</v>
      </c>
      <c r="FU4">
        <f>IF(estado!202:202,"AAAAAGj3vbA=",0)</f>
        <v>0</v>
      </c>
      <c r="FV4">
        <f>IF(estado!203:203,"AAAAAGj3vbE=",0)</f>
        <v>0</v>
      </c>
      <c r="FW4">
        <f>IF(estado!204:204,"AAAAAGj3vbI=",0)</f>
        <v>0</v>
      </c>
      <c r="FX4">
        <f>IF(estado!205:205,"AAAAAGj3vbM=",0)</f>
        <v>0</v>
      </c>
      <c r="FY4">
        <f>IF(estado!206:206,"AAAAAGj3vbQ=",0)</f>
        <v>0</v>
      </c>
      <c r="FZ4">
        <f>IF(estado!207:207,"AAAAAGj3vbU=",0)</f>
        <v>0</v>
      </c>
      <c r="GA4">
        <f>IF(estado!208:208,"AAAAAGj3vbY=",0)</f>
        <v>0</v>
      </c>
      <c r="GB4">
        <f>IF(estado!209:209,"AAAAAGj3vbc=",0)</f>
        <v>0</v>
      </c>
      <c r="GC4">
        <f>IF(estado!210:210,"AAAAAGj3vbg=",0)</f>
        <v>0</v>
      </c>
      <c r="GD4">
        <f>IF(estado!211:211,"AAAAAGj3vbk=",0)</f>
        <v>0</v>
      </c>
      <c r="GE4">
        <f>IF(estado!212:212,"AAAAAGj3vbo=",0)</f>
        <v>0</v>
      </c>
      <c r="GF4">
        <f>IF(estado!213:213,"AAAAAGj3vbs=",0)</f>
        <v>0</v>
      </c>
      <c r="GG4">
        <f>IF(estado!214:214,"AAAAAGj3vbw=",0)</f>
        <v>0</v>
      </c>
      <c r="GH4">
        <f>IF(estado!215:215,"AAAAAGj3vb0=",0)</f>
        <v>0</v>
      </c>
      <c r="GI4">
        <f>IF(estado!216:216,"AAAAAGj3vb4=",0)</f>
        <v>0</v>
      </c>
      <c r="GJ4">
        <f>IF(estado!217:217,"AAAAAGj3vb8=",0)</f>
        <v>0</v>
      </c>
      <c r="GK4">
        <f>IF(estado!218:218,"AAAAAGj3vcA=",0)</f>
        <v>0</v>
      </c>
      <c r="GL4">
        <f>IF(estado!219:219,"AAAAAGj3vcE=",0)</f>
        <v>0</v>
      </c>
      <c r="GM4">
        <f>IF(estado!220:220,"AAAAAGj3vcI=",0)</f>
        <v>0</v>
      </c>
      <c r="GN4">
        <f>IF(estado!221:221,"AAAAAGj3vcM=",0)</f>
        <v>0</v>
      </c>
      <c r="GO4">
        <f>IF(estado!222:222,"AAAAAGj3vcQ=",0)</f>
        <v>0</v>
      </c>
      <c r="GP4">
        <f>IF(estado!223:223,"AAAAAGj3vcU=",0)</f>
        <v>0</v>
      </c>
      <c r="GQ4">
        <f>IF(estado!224:224,"AAAAAGj3vcY=",0)</f>
        <v>0</v>
      </c>
      <c r="GR4">
        <f>IF(estado!225:225,"AAAAAGj3vcc=",0)</f>
        <v>0</v>
      </c>
      <c r="GS4">
        <f>IF(estado!226:226,"AAAAAGj3vcg=",0)</f>
        <v>0</v>
      </c>
      <c r="GT4">
        <f>IF(estado!227:227,"AAAAAGj3vck=",0)</f>
        <v>0</v>
      </c>
      <c r="GU4">
        <f>IF(estado!228:228,"AAAAAGj3vco=",0)</f>
        <v>0</v>
      </c>
      <c r="GV4">
        <f>IF(estado!229:229,"AAAAAGj3vcs=",0)</f>
        <v>0</v>
      </c>
      <c r="GW4">
        <f>IF(estado!230:230,"AAAAAGj3vcw=",0)</f>
        <v>0</v>
      </c>
      <c r="GX4">
        <f>IF(estado!231:231,"AAAAAGj3vc0=",0)</f>
        <v>0</v>
      </c>
      <c r="GY4">
        <f>IF(estado!232:232,"AAAAAGj3vc4=",0)</f>
        <v>0</v>
      </c>
      <c r="GZ4">
        <f>IF(estado!233:233,"AAAAAGj3vc8=",0)</f>
        <v>0</v>
      </c>
      <c r="HA4">
        <f>IF(estado!234:234,"AAAAAGj3vdA=",0)</f>
        <v>0</v>
      </c>
      <c r="HB4">
        <f>IF(estado!235:235,"AAAAAGj3vdE=",0)</f>
        <v>0</v>
      </c>
      <c r="HC4">
        <f>IF(estado!236:236,"AAAAAGj3vdI=",0)</f>
        <v>0</v>
      </c>
      <c r="HD4">
        <f>IF(estado!237:237,"AAAAAGj3vdM=",0)</f>
        <v>0</v>
      </c>
      <c r="HE4">
        <f>IF(estado!238:238,"AAAAAGj3vdQ=",0)</f>
        <v>0</v>
      </c>
      <c r="HF4">
        <f>IF(estado!239:239,"AAAAAGj3vdU=",0)</f>
        <v>0</v>
      </c>
      <c r="HG4">
        <f>IF(estado!240:240,"AAAAAGj3vdY=",0)</f>
        <v>0</v>
      </c>
      <c r="HH4">
        <f>IF(estado!241:241,"AAAAAGj3vdc=",0)</f>
        <v>0</v>
      </c>
      <c r="HI4">
        <f>IF(estado!242:242,"AAAAAGj3vdg=",0)</f>
        <v>0</v>
      </c>
      <c r="HJ4">
        <f>IF(estado!243:243,"AAAAAGj3vdk=",0)</f>
        <v>0</v>
      </c>
      <c r="HK4">
        <f>IF(estado!244:244,"AAAAAGj3vdo=",0)</f>
        <v>0</v>
      </c>
      <c r="HL4">
        <f>IF(estado!245:245,"AAAAAGj3vds=",0)</f>
        <v>0</v>
      </c>
      <c r="HM4">
        <f>IF(estado!246:246,"AAAAAGj3vdw=",0)</f>
        <v>0</v>
      </c>
      <c r="HN4">
        <f>IF(estado!247:247,"AAAAAGj3vd0=",0)</f>
        <v>0</v>
      </c>
      <c r="HO4">
        <f>IF(estado!248:248,"AAAAAGj3vd4=",0)</f>
        <v>0</v>
      </c>
      <c r="HP4">
        <f>IF(estado!249:249,"AAAAAGj3vd8=",0)</f>
        <v>0</v>
      </c>
      <c r="HQ4">
        <f>IF(estado!250:250,"AAAAAGj3veA=",0)</f>
        <v>0</v>
      </c>
      <c r="HR4">
        <f>IF(estado!251:251,"AAAAAGj3veE=",0)</f>
        <v>0</v>
      </c>
      <c r="HS4">
        <f>IF(estado!252:252,"AAAAAGj3veI=",0)</f>
        <v>0</v>
      </c>
      <c r="HT4">
        <f>IF(estado!253:253,"AAAAAGj3veM=",0)</f>
        <v>0</v>
      </c>
      <c r="HU4">
        <f>IF(estado!254:254,"AAAAAGj3veQ=",0)</f>
        <v>0</v>
      </c>
      <c r="HV4">
        <f>IF(estado!255:255,"AAAAAGj3veU=",0)</f>
        <v>0</v>
      </c>
      <c r="HW4">
        <f>IF(estado!256:256,"AAAAAGj3veY=",0)</f>
        <v>0</v>
      </c>
      <c r="HX4">
        <f>IF(estado!257:257,"AAAAAGj3vec=",0)</f>
        <v>0</v>
      </c>
      <c r="HY4">
        <f>IF(estado!258:258,"AAAAAGj3veg=",0)</f>
        <v>0</v>
      </c>
      <c r="HZ4">
        <f>IF(estado!259:259,"AAAAAGj3vek=",0)</f>
        <v>0</v>
      </c>
      <c r="IA4">
        <f>IF(estado!260:260,"AAAAAGj3veo=",0)</f>
        <v>0</v>
      </c>
      <c r="IB4">
        <f>IF(estado!261:261,"AAAAAGj3ves=",0)</f>
        <v>0</v>
      </c>
      <c r="IC4">
        <f>IF(estado!262:262,"AAAAAGj3vew=",0)</f>
        <v>0</v>
      </c>
      <c r="ID4">
        <f>IF(estado!263:263,"AAAAAGj3ve0=",0)</f>
        <v>0</v>
      </c>
      <c r="IE4">
        <f>IF(estado!264:264,"AAAAAGj3ve4=",0)</f>
        <v>0</v>
      </c>
      <c r="IF4">
        <f>IF(estado!265:265,"AAAAAGj3ve8=",0)</f>
        <v>0</v>
      </c>
      <c r="IG4">
        <f>IF(estado!266:266,"AAAAAGj3vfA=",0)</f>
        <v>0</v>
      </c>
      <c r="IH4">
        <f>IF(estado!267:267,"AAAAAGj3vfE=",0)</f>
        <v>0</v>
      </c>
      <c r="II4">
        <f>IF(estado!B:B,"AAAAAGj3vfI=",0)</f>
        <v>0</v>
      </c>
      <c r="IJ4">
        <f>IF(estado!C:C,"AAAAAGj3vfM=",0)</f>
        <v>0</v>
      </c>
      <c r="IK4">
        <f>IF(estado!D:D,"AAAAAGj3vfQ=",0)</f>
        <v>0</v>
      </c>
      <c r="IL4">
        <f>IF(estado!E:E,"AAAAAGj3vfU=",0)</f>
        <v>0</v>
      </c>
      <c r="IM4">
        <f>IF(estado!F:F,"AAAAAGj3vfY=",0)</f>
        <v>0</v>
      </c>
      <c r="IN4">
        <f>IF(estado!G:G,"AAAAAGj3vfc=",0)</f>
        <v>0</v>
      </c>
      <c r="IO4">
        <f>IF(estado!H:H,"AAAAAGj3vfg=",0)</f>
        <v>0</v>
      </c>
      <c r="IP4">
        <f>IF(estado!I:I,"AAAAAGj3vfk=",0)</f>
        <v>0</v>
      </c>
      <c r="IQ4">
        <f>IF(estado!J:J,"AAAAAGj3vfo=",0)</f>
        <v>0</v>
      </c>
      <c r="IR4">
        <f>IF(estado!K:K,"AAAAAGj3vfs=",0)</f>
        <v>0</v>
      </c>
      <c r="IS4">
        <f>IF(estado!L:L,"AAAAAGj3vfw=",0)</f>
        <v>0</v>
      </c>
      <c r="IT4">
        <f>IF(estado!M:M,"AAAAAGj3vf0=",0)</f>
        <v>0</v>
      </c>
      <c r="IU4">
        <f>IF(estado!N:N,"AAAAAGj3vf4=",0)</f>
        <v>0</v>
      </c>
      <c r="IV4">
        <f>IF(estado!O:O,"AAAAAGj3vf8=",0)</f>
        <v>0</v>
      </c>
    </row>
    <row r="5" spans="1:256" x14ac:dyDescent="0.2">
      <c r="A5">
        <f>IF(estado!P:P,"AAAAAH8evwA=",0)</f>
        <v>0</v>
      </c>
      <c r="B5">
        <f>IF(estado!Q:Q,"AAAAAH8evwE=",0)</f>
        <v>0</v>
      </c>
      <c r="C5">
        <f>IF(estado!R:R,"AAAAAH8evwI=",0)</f>
        <v>0</v>
      </c>
      <c r="D5">
        <f>IF(estado!S:S,"AAAAAH8evwM=",0)</f>
        <v>0</v>
      </c>
      <c r="E5">
        <f>IF(estado!T:T,"AAAAAH8evwQ=",0)</f>
        <v>0</v>
      </c>
      <c r="F5">
        <f>IF(estado!U:U,"AAAAAH8evwU=",0)</f>
        <v>0</v>
      </c>
      <c r="G5">
        <f>IF(estado!V:V,"AAAAAH8evwY=",0)</f>
        <v>0</v>
      </c>
      <c r="H5">
        <f>IF(estado!W:W,"AAAAAH8evwc=",0)</f>
        <v>0</v>
      </c>
      <c r="I5">
        <f>IF(estado!X:X,"AAAAAH8evwg=",0)</f>
        <v>0</v>
      </c>
      <c r="J5">
        <f>IF(estado!Y:Y,"AAAAAH8evwk=",0)</f>
        <v>0</v>
      </c>
      <c r="K5">
        <f>IF(estado!Z:Z,"AAAAAH8evwo=",0)</f>
        <v>0</v>
      </c>
      <c r="L5">
        <f>IF(estado!AA:AA,"AAAAAH8evws=",0)</f>
        <v>0</v>
      </c>
      <c r="M5">
        <f>IF(estado!AB:AB,"AAAAAH8evww=",0)</f>
        <v>0</v>
      </c>
      <c r="N5">
        <f>IF(compre!1:1,"AAAAAH8evw0=",0)</f>
        <v>0</v>
      </c>
      <c r="O5">
        <f>IF(compre!2:2,"AAAAAH8evw4=",0)</f>
        <v>0</v>
      </c>
      <c r="P5">
        <f>IF(compre!3:3,"AAAAAH8evw8=",0)</f>
        <v>0</v>
      </c>
      <c r="Q5">
        <f>IF(compre!4:4,"AAAAAH8evxA=",0)</f>
        <v>0</v>
      </c>
      <c r="R5">
        <f>IF(compre!5:5,"AAAAAH8evxE=",0)</f>
        <v>0</v>
      </c>
      <c r="S5">
        <f>IF(compre!6:6,"AAAAAH8evxI=",0)</f>
        <v>0</v>
      </c>
      <c r="T5">
        <f>IF(compre!7:7,"AAAAAH8evxM=",0)</f>
        <v>0</v>
      </c>
      <c r="U5">
        <f>IF(compre!8:8,"AAAAAH8evxQ=",0)</f>
        <v>0</v>
      </c>
      <c r="V5">
        <f>IF(compre!9:9,"AAAAAH8evxU=",0)</f>
        <v>0</v>
      </c>
      <c r="W5">
        <f>IF(compre!10:10,"AAAAAH8evxY=",0)</f>
        <v>0</v>
      </c>
      <c r="X5">
        <f>IF(compre!11:11,"AAAAAH8evxc=",0)</f>
        <v>0</v>
      </c>
      <c r="Y5">
        <f>IF(compre!12:12,"AAAAAH8evxg=",0)</f>
        <v>0</v>
      </c>
      <c r="Z5">
        <f>IF(compre!13:13,"AAAAAH8evxk=",0)</f>
        <v>0</v>
      </c>
      <c r="AA5">
        <f>IF(compre!14:14,"AAAAAH8evxo=",0)</f>
        <v>0</v>
      </c>
      <c r="AB5">
        <f>IF(compre!15:15,"AAAAAH8evxs=",0)</f>
        <v>0</v>
      </c>
      <c r="AC5">
        <f>IF(compre!16:16,"AAAAAH8evxw=",0)</f>
        <v>0</v>
      </c>
      <c r="AD5">
        <f>IF(compre!17:17,"AAAAAH8evx0=",0)</f>
        <v>0</v>
      </c>
      <c r="AE5">
        <f>IF(compre!18:18,"AAAAAH8evx4=",0)</f>
        <v>0</v>
      </c>
      <c r="AF5">
        <f>IF(compre!19:19,"AAAAAH8evx8=",0)</f>
        <v>0</v>
      </c>
      <c r="AG5">
        <f>IF(compre!20:20,"AAAAAH8evyA=",0)</f>
        <v>0</v>
      </c>
      <c r="AH5">
        <f>IF(compre!21:21,"AAAAAH8evyE=",0)</f>
        <v>0</v>
      </c>
      <c r="AI5">
        <f>IF(compre!22:22,"AAAAAH8evyI=",0)</f>
        <v>0</v>
      </c>
      <c r="AJ5">
        <f>IF(compre!23:23,"AAAAAH8evyM=",0)</f>
        <v>0</v>
      </c>
      <c r="AK5">
        <f>IF(compre!24:24,"AAAAAH8evyQ=",0)</f>
        <v>0</v>
      </c>
      <c r="AL5">
        <f>IF(compre!25:25,"AAAAAH8evyU=",0)</f>
        <v>0</v>
      </c>
      <c r="AM5">
        <f>IF(compre!26:26,"AAAAAH8evyY=",0)</f>
        <v>0</v>
      </c>
      <c r="AN5">
        <f>IF(compre!27:27,"AAAAAH8evyc=",0)</f>
        <v>0</v>
      </c>
      <c r="AO5">
        <f>IF(compre!28:28,"AAAAAH8evyg=",0)</f>
        <v>0</v>
      </c>
      <c r="AP5">
        <f>IF(compre!29:29,"AAAAAH8evyk=",0)</f>
        <v>0</v>
      </c>
      <c r="AQ5">
        <f>IF(compre!30:30,"AAAAAH8evyo=",0)</f>
        <v>0</v>
      </c>
      <c r="AR5">
        <f>IF(compre!31:31,"AAAAAH8evys=",0)</f>
        <v>0</v>
      </c>
      <c r="AS5">
        <f>IF(compre!32:32,"AAAAAH8evyw=",0)</f>
        <v>0</v>
      </c>
      <c r="AT5">
        <f>IF(compre!33:33,"AAAAAH8evy0=",0)</f>
        <v>0</v>
      </c>
      <c r="AU5">
        <f>IF(compre!34:34,"AAAAAH8evy4=",0)</f>
        <v>0</v>
      </c>
      <c r="AV5">
        <f>IF(compre!35:35,"AAAAAH8evy8=",0)</f>
        <v>0</v>
      </c>
      <c r="AW5">
        <f>IF(compre!36:36,"AAAAAH8evzA=",0)</f>
        <v>0</v>
      </c>
      <c r="AX5">
        <f>IF(compre!37:37,"AAAAAH8evzE=",0)</f>
        <v>0</v>
      </c>
      <c r="AY5">
        <f>IF(compre!38:38,"AAAAAH8evzI=",0)</f>
        <v>0</v>
      </c>
      <c r="AZ5">
        <f>IF(compre!39:39,"AAAAAH8evzM=",0)</f>
        <v>0</v>
      </c>
      <c r="BA5">
        <f>IF(compre!40:40,"AAAAAH8evzQ=",0)</f>
        <v>0</v>
      </c>
      <c r="BB5">
        <f>IF(compre!41:41,"AAAAAH8evzU=",0)</f>
        <v>0</v>
      </c>
      <c r="BC5">
        <f>IF(compre!42:42,"AAAAAH8evzY=",0)</f>
        <v>0</v>
      </c>
      <c r="BD5">
        <f>IF(compre!43:43,"AAAAAH8evzc=",0)</f>
        <v>0</v>
      </c>
      <c r="BE5">
        <f>IF(compre!44:44,"AAAAAH8evzg=",0)</f>
        <v>0</v>
      </c>
      <c r="BF5">
        <f>IF(compre!45:45,"AAAAAH8evzk=",0)</f>
        <v>0</v>
      </c>
      <c r="BG5">
        <f>IF(compre!46:46,"AAAAAH8evzo=",0)</f>
        <v>0</v>
      </c>
      <c r="BH5">
        <f>IF(compre!47:47,"AAAAAH8evzs=",0)</f>
        <v>0</v>
      </c>
      <c r="BI5">
        <f>IF(compre!48:48,"AAAAAH8evzw=",0)</f>
        <v>0</v>
      </c>
      <c r="BJ5">
        <f>IF(compre!49:49,"AAAAAH8evz0=",0)</f>
        <v>0</v>
      </c>
      <c r="BK5">
        <f>IF(compre!50:50,"AAAAAH8evz4=",0)</f>
        <v>0</v>
      </c>
      <c r="BL5">
        <f>IF(compre!51:51,"AAAAAH8evz8=",0)</f>
        <v>0</v>
      </c>
      <c r="BM5">
        <f>IF(compre!52:52,"AAAAAH8ev0A=",0)</f>
        <v>0</v>
      </c>
      <c r="BN5">
        <f>IF(compre!53:53,"AAAAAH8ev0E=",0)</f>
        <v>0</v>
      </c>
      <c r="BO5">
        <f>IF(compre!54:54,"AAAAAH8ev0I=",0)</f>
        <v>0</v>
      </c>
      <c r="BP5">
        <f>IF(compre!55:55,"AAAAAH8ev0M=",0)</f>
        <v>0</v>
      </c>
      <c r="BQ5">
        <f>IF(compre!56:56,"AAAAAH8ev0Q=",0)</f>
        <v>0</v>
      </c>
      <c r="BR5">
        <f>IF(compre!57:57,"AAAAAH8ev0U=",0)</f>
        <v>0</v>
      </c>
      <c r="BS5">
        <f>IF(compre!58:58,"AAAAAH8ev0Y=",0)</f>
        <v>0</v>
      </c>
      <c r="BT5">
        <f>IF(compre!59:59,"AAAAAH8ev0c=",0)</f>
        <v>0</v>
      </c>
      <c r="BU5">
        <f>IF(compre!60:60,"AAAAAH8ev0g=",0)</f>
        <v>0</v>
      </c>
      <c r="BV5">
        <f>IF(compre!61:61,"AAAAAH8ev0k=",0)</f>
        <v>0</v>
      </c>
      <c r="BW5">
        <f>IF(compre!62:62,"AAAAAH8ev0o=",0)</f>
        <v>0</v>
      </c>
      <c r="BX5">
        <f>IF(compre!63:63,"AAAAAH8ev0s=",0)</f>
        <v>0</v>
      </c>
      <c r="BY5">
        <f>IF(compre!64:64,"AAAAAH8ev0w=",0)</f>
        <v>0</v>
      </c>
      <c r="BZ5">
        <f>IF(compre!65:65,"AAAAAH8ev00=",0)</f>
        <v>0</v>
      </c>
      <c r="CA5">
        <f>IF(compre!66:66,"AAAAAH8ev04=",0)</f>
        <v>0</v>
      </c>
      <c r="CB5">
        <f>IF(compre!67:67,"AAAAAH8ev08=",0)</f>
        <v>0</v>
      </c>
      <c r="CC5">
        <f>IF(compre!68:68,"AAAAAH8ev1A=",0)</f>
        <v>0</v>
      </c>
      <c r="CD5">
        <f>IF(compre!69:69,"AAAAAH8ev1E=",0)</f>
        <v>0</v>
      </c>
      <c r="CE5">
        <f>IF(compre!70:70,"AAAAAH8ev1I=",0)</f>
        <v>0</v>
      </c>
      <c r="CF5">
        <f>IF(compre!71:71,"AAAAAH8ev1M=",0)</f>
        <v>0</v>
      </c>
      <c r="CG5">
        <f>IF(compre!72:72,"AAAAAH8ev1Q=",0)</f>
        <v>0</v>
      </c>
      <c r="CH5">
        <f>IF(compre!73:73,"AAAAAH8ev1U=",0)</f>
        <v>0</v>
      </c>
      <c r="CI5">
        <f>IF(compre!74:74,"AAAAAH8ev1Y=",0)</f>
        <v>0</v>
      </c>
      <c r="CJ5">
        <f>IF(compre!75:75,"AAAAAH8ev1c=",0)</f>
        <v>0</v>
      </c>
      <c r="CK5">
        <f>IF(compre!76:76,"AAAAAH8ev1g=",0)</f>
        <v>0</v>
      </c>
      <c r="CL5">
        <f>IF(compre!77:77,"AAAAAH8ev1k=",0)</f>
        <v>0</v>
      </c>
      <c r="CM5">
        <f>IF(compre!78:78,"AAAAAH8ev1o=",0)</f>
        <v>0</v>
      </c>
      <c r="CN5">
        <f>IF(compre!79:79,"AAAAAH8ev1s=",0)</f>
        <v>0</v>
      </c>
      <c r="CO5">
        <f>IF(compre!80:80,"AAAAAH8ev1w=",0)</f>
        <v>0</v>
      </c>
      <c r="CP5">
        <f>IF(compre!81:81,"AAAAAH8ev10=",0)</f>
        <v>0</v>
      </c>
      <c r="CQ5">
        <f>IF(compre!82:82,"AAAAAH8ev14=",0)</f>
        <v>0</v>
      </c>
      <c r="CR5">
        <f>IF(compre!83:83,"AAAAAH8ev18=",0)</f>
        <v>0</v>
      </c>
      <c r="CS5">
        <f>IF(compre!84:84,"AAAAAH8ev2A=",0)</f>
        <v>0</v>
      </c>
      <c r="CT5">
        <f>IF(compre!85:85,"AAAAAH8ev2E=",0)</f>
        <v>0</v>
      </c>
      <c r="CU5">
        <f>IF(compre!86:86,"AAAAAH8ev2I=",0)</f>
        <v>0</v>
      </c>
      <c r="CV5">
        <f>IF(compre!87:87,"AAAAAH8ev2M=",0)</f>
        <v>0</v>
      </c>
      <c r="CW5">
        <f>IF(compre!88:88,"AAAAAH8ev2Q=",0)</f>
        <v>0</v>
      </c>
      <c r="CX5">
        <f>IF(compre!89:89,"AAAAAH8ev2U=",0)</f>
        <v>0</v>
      </c>
      <c r="CY5">
        <f>IF(compre!90:90,"AAAAAH8ev2Y=",0)</f>
        <v>0</v>
      </c>
      <c r="CZ5">
        <f>IF(compre!91:91,"AAAAAH8ev2c=",0)</f>
        <v>0</v>
      </c>
      <c r="DA5">
        <f>IF(compre!92:92,"AAAAAH8ev2g=",0)</f>
        <v>0</v>
      </c>
      <c r="DB5">
        <f>IF(compre!93:93,"AAAAAH8ev2k=",0)</f>
        <v>0</v>
      </c>
      <c r="DC5">
        <f>IF(compre!94:94,"AAAAAH8ev2o=",0)</f>
        <v>0</v>
      </c>
      <c r="DD5">
        <f>IF(compre!95:95,"AAAAAH8ev2s=",0)</f>
        <v>0</v>
      </c>
      <c r="DE5">
        <f>IF(compre!96:96,"AAAAAH8ev2w=",0)</f>
        <v>0</v>
      </c>
      <c r="DF5">
        <f>IF(compre!97:97,"AAAAAH8ev20=",0)</f>
        <v>0</v>
      </c>
      <c r="DG5">
        <f>IF(compre!98:98,"AAAAAH8ev24=",0)</f>
        <v>0</v>
      </c>
      <c r="DH5">
        <f>IF(compre!99:99,"AAAAAH8ev28=",0)</f>
        <v>0</v>
      </c>
      <c r="DI5">
        <f>IF(compre!100:100,"AAAAAH8ev3A=",0)</f>
        <v>0</v>
      </c>
      <c r="DJ5">
        <f>IF(compre!101:101,"AAAAAH8ev3E=",0)</f>
        <v>0</v>
      </c>
      <c r="DK5">
        <f>IF(compre!102:102,"AAAAAH8ev3I=",0)</f>
        <v>0</v>
      </c>
      <c r="DL5">
        <f>IF(compre!103:103,"AAAAAH8ev3M=",0)</f>
        <v>0</v>
      </c>
      <c r="DM5">
        <f>IF(compre!104:104,"AAAAAH8ev3Q=",0)</f>
        <v>0</v>
      </c>
      <c r="DN5">
        <f>IF(compre!105:105,"AAAAAH8ev3U=",0)</f>
        <v>0</v>
      </c>
      <c r="DO5">
        <f>IF(compre!106:106,"AAAAAH8ev3Y=",0)</f>
        <v>0</v>
      </c>
      <c r="DP5">
        <f>IF(compre!107:107,"AAAAAH8ev3c=",0)</f>
        <v>0</v>
      </c>
      <c r="DQ5">
        <f>IF(compre!108:108,"AAAAAH8ev3g=",0)</f>
        <v>0</v>
      </c>
      <c r="DR5">
        <f>IF(compre!109:109,"AAAAAH8ev3k=",0)</f>
        <v>0</v>
      </c>
      <c r="DS5">
        <f>IF(compre!110:110,"AAAAAH8ev3o=",0)</f>
        <v>0</v>
      </c>
      <c r="DT5">
        <f>IF(compre!111:111,"AAAAAH8ev3s=",0)</f>
        <v>0</v>
      </c>
      <c r="DU5">
        <f>IF(compre!A:A,"AAAAAH8ev3w=",0)</f>
        <v>0</v>
      </c>
      <c r="DV5">
        <f>IF(compre!B:B,"AAAAAH8ev30=",0)</f>
        <v>0</v>
      </c>
      <c r="DW5">
        <f>IF(compre!C:C,"AAAAAH8ev34=",0)</f>
        <v>0</v>
      </c>
      <c r="DX5">
        <f>IF(compre!D:D,"AAAAAH8ev38=",0)</f>
        <v>0</v>
      </c>
      <c r="DY5">
        <f>IF(compre!E:E,"AAAAAH8ev4A=",0)</f>
        <v>0</v>
      </c>
      <c r="DZ5">
        <f>IF(compre!F:F,"AAAAAH8ev4E=",0)</f>
        <v>0</v>
      </c>
      <c r="EA5">
        <f>IF(compre!G:G,"AAAAAH8ev4I=",0)</f>
        <v>0</v>
      </c>
      <c r="EB5">
        <f>IF(compre!H:H,"AAAAAH8ev4M=",0)</f>
        <v>0</v>
      </c>
      <c r="EC5">
        <f>IF(compre!I:I,"AAAAAH8ev4Q=",0)</f>
        <v>0</v>
      </c>
      <c r="ED5">
        <f>IF(compre!J:J,"AAAAAH8ev4U=",0)</f>
        <v>0</v>
      </c>
      <c r="EE5">
        <f>IF(compre!K:K,"AAAAAH8ev4Y=",0)</f>
        <v>0</v>
      </c>
      <c r="EF5">
        <f>IF(compre!L:L,"AAAAAH8ev4c=",0)</f>
        <v>0</v>
      </c>
      <c r="EG5">
        <f>IF(compre!M:M,"AAAAAH8ev4g=",0)</f>
        <v>0</v>
      </c>
      <c r="EH5">
        <f>IF(compre!N:N,"AAAAAH8ev4k=",0)</f>
        <v>0</v>
      </c>
      <c r="EI5">
        <f>IF(compre!O:O,"AAAAAH8ev4o=",0)</f>
        <v>0</v>
      </c>
      <c r="EJ5">
        <f>IF(compre!P:P,"AAAAAH8ev4s=",0)</f>
        <v>0</v>
      </c>
      <c r="EK5">
        <f>IF(compre!Q:Q,"AAAAAH8ev4w=",0)</f>
        <v>0</v>
      </c>
      <c r="EL5">
        <f>IF(compre!R:R,"AAAAAH8ev40=",0)</f>
        <v>0</v>
      </c>
      <c r="EM5">
        <f>IF(compre!S:S,"AAAAAH8ev44=",0)</f>
        <v>0</v>
      </c>
      <c r="EN5">
        <f>IF(compre!T:T,"AAAAAH8ev48=",0)</f>
        <v>0</v>
      </c>
      <c r="EO5">
        <f>IF(calcu!1:1,"AAAAAH8ev5A=",0)</f>
        <v>0</v>
      </c>
      <c r="EP5">
        <f>IF(calcu!2:2,"AAAAAH8ev5E=",0)</f>
        <v>0</v>
      </c>
      <c r="EQ5">
        <f>IF(calcu!3:3,"AAAAAH8ev5I=",0)</f>
        <v>0</v>
      </c>
      <c r="ER5">
        <f>IF(calcu!4:4,"AAAAAH8ev5M=",0)</f>
        <v>0</v>
      </c>
      <c r="ES5">
        <f>IF(calcu!5:5,"AAAAAH8ev5Q=",0)</f>
        <v>0</v>
      </c>
      <c r="ET5">
        <f>IF(calcu!6:6,"AAAAAH8ev5U=",0)</f>
        <v>0</v>
      </c>
      <c r="EU5">
        <f>IF(calcu!7:7,"AAAAAH8ev5Y=",0)</f>
        <v>0</v>
      </c>
      <c r="EV5">
        <f>IF(calcu!8:8,"AAAAAH8ev5c=",0)</f>
        <v>0</v>
      </c>
      <c r="EW5">
        <f>IF(calcu!9:9,"AAAAAH8ev5g=",0)</f>
        <v>0</v>
      </c>
      <c r="EX5">
        <f>IF(calcu!10:10,"AAAAAH8ev5k=",0)</f>
        <v>0</v>
      </c>
      <c r="EY5">
        <f>IF(calcu!11:11,"AAAAAH8ev5o=",0)</f>
        <v>0</v>
      </c>
      <c r="EZ5">
        <f>IF(calcu!12:12,"AAAAAH8ev5s=",0)</f>
        <v>0</v>
      </c>
      <c r="FA5">
        <f>IF(calcu!13:13,"AAAAAH8ev5w=",0)</f>
        <v>0</v>
      </c>
      <c r="FB5">
        <f>IF(calcu!14:14,"AAAAAH8ev50=",0)</f>
        <v>0</v>
      </c>
      <c r="FC5">
        <f>IF(calcu!15:15,"AAAAAH8ev54=",0)</f>
        <v>0</v>
      </c>
      <c r="FD5">
        <f>IF(calcu!16:16,"AAAAAH8ev58=",0)</f>
        <v>0</v>
      </c>
      <c r="FE5">
        <f>IF(calcu!17:17,"AAAAAH8ev6A=",0)</f>
        <v>0</v>
      </c>
      <c r="FF5">
        <f>IF(calcu!18:18,"AAAAAH8ev6E=",0)</f>
        <v>0</v>
      </c>
      <c r="FG5">
        <f>IF(calcu!19:19,"AAAAAH8ev6I=",0)</f>
        <v>0</v>
      </c>
      <c r="FH5">
        <f>IF(calcu!20:20,"AAAAAH8ev6M=",0)</f>
        <v>0</v>
      </c>
      <c r="FI5">
        <f>IF(calcu!21:21,"AAAAAH8ev6Q=",0)</f>
        <v>0</v>
      </c>
      <c r="FJ5">
        <f>IF(calcu!22:22,"AAAAAH8ev6U=",0)</f>
        <v>0</v>
      </c>
      <c r="FK5">
        <f>IF(calcu!23:23,"AAAAAH8ev6Y=",0)</f>
        <v>0</v>
      </c>
      <c r="FL5">
        <f>IF(calcu!24:24,"AAAAAH8ev6c=",0)</f>
        <v>0</v>
      </c>
      <c r="FM5">
        <f>IF(calcu!25:25,"AAAAAH8ev6g=",0)</f>
        <v>0</v>
      </c>
      <c r="FN5">
        <f>IF(calcu!26:26,"AAAAAH8ev6k=",0)</f>
        <v>0</v>
      </c>
      <c r="FO5">
        <f>IF(calcu!27:27,"AAAAAH8ev6o=",0)</f>
        <v>0</v>
      </c>
      <c r="FP5">
        <f>IF(calcu!28:28,"AAAAAH8ev6s=",0)</f>
        <v>0</v>
      </c>
      <c r="FQ5">
        <f>IF(calcu!29:29,"AAAAAH8ev6w=",0)</f>
        <v>0</v>
      </c>
      <c r="FR5">
        <f>IF(calcu!30:30,"AAAAAH8ev60=",0)</f>
        <v>0</v>
      </c>
      <c r="FS5">
        <f>IF(calcu!31:31,"AAAAAH8ev64=",0)</f>
        <v>0</v>
      </c>
      <c r="FT5">
        <f>IF(calcu!32:32,"AAAAAH8ev68=",0)</f>
        <v>0</v>
      </c>
      <c r="FU5">
        <f>IF(calcu!33:33,"AAAAAH8ev7A=",0)</f>
        <v>0</v>
      </c>
      <c r="FV5">
        <f>IF(calcu!34:34,"AAAAAH8ev7E=",0)</f>
        <v>0</v>
      </c>
      <c r="FW5">
        <f>IF(calcu!35:35,"AAAAAH8ev7I=",0)</f>
        <v>0</v>
      </c>
      <c r="FX5">
        <f>IF(calcu!36:36,"AAAAAH8ev7M=",0)</f>
        <v>0</v>
      </c>
      <c r="FY5">
        <f>IF(calcu!37:37,"AAAAAH8ev7Q=",0)</f>
        <v>0</v>
      </c>
      <c r="FZ5">
        <f>IF(calcu!38:38,"AAAAAH8ev7U=",0)</f>
        <v>0</v>
      </c>
      <c r="GA5">
        <f>IF(calcu!39:39,"AAAAAH8ev7Y=",0)</f>
        <v>0</v>
      </c>
      <c r="GB5">
        <f>IF(calcu!40:40,"AAAAAH8ev7c=",0)</f>
        <v>0</v>
      </c>
      <c r="GC5">
        <f>IF(calcu!41:41,"AAAAAH8ev7g=",0)</f>
        <v>0</v>
      </c>
      <c r="GD5">
        <f>IF(calcu!42:42,"AAAAAH8ev7k=",0)</f>
        <v>0</v>
      </c>
      <c r="GE5">
        <f>IF(calcu!43:43,"AAAAAH8ev7o=",0)</f>
        <v>0</v>
      </c>
      <c r="GF5">
        <f>IF(calcu!44:44,"AAAAAH8ev7s=",0)</f>
        <v>0</v>
      </c>
      <c r="GG5">
        <f>IF(calcu!45:45,"AAAAAH8ev7w=",0)</f>
        <v>0</v>
      </c>
      <c r="GH5">
        <f>IF(calcu!46:46,"AAAAAH8ev70=",0)</f>
        <v>0</v>
      </c>
      <c r="GI5">
        <f>IF(calcu!47:47,"AAAAAH8ev74=",0)</f>
        <v>0</v>
      </c>
      <c r="GJ5">
        <f>IF(calcu!48:48,"AAAAAH8ev78=",0)</f>
        <v>0</v>
      </c>
      <c r="GK5">
        <f>IF(calcu!49:49,"AAAAAH8ev8A=",0)</f>
        <v>0</v>
      </c>
      <c r="GL5">
        <f>IF(calcu!50:50,"AAAAAH8ev8E=",0)</f>
        <v>0</v>
      </c>
      <c r="GM5">
        <f>IF(calcu!51:51,"AAAAAH8ev8I=",0)</f>
        <v>0</v>
      </c>
      <c r="GN5">
        <f>IF(calcu!52:52,"AAAAAH8ev8M=",0)</f>
        <v>0</v>
      </c>
      <c r="GO5">
        <f>IF(calcu!53:53,"AAAAAH8ev8Q=",0)</f>
        <v>0</v>
      </c>
      <c r="GP5">
        <f>IF(calcu!54:54,"AAAAAH8ev8U=",0)</f>
        <v>0</v>
      </c>
      <c r="GQ5">
        <f>IF(calcu!55:55,"AAAAAH8ev8Y=",0)</f>
        <v>0</v>
      </c>
      <c r="GR5">
        <f>IF(calcu!56:56,"AAAAAH8ev8c=",0)</f>
        <v>0</v>
      </c>
      <c r="GS5">
        <f>IF(calcu!57:57,"AAAAAH8ev8g=",0)</f>
        <v>0</v>
      </c>
      <c r="GT5">
        <f>IF(calcu!58:58,"AAAAAH8ev8k=",0)</f>
        <v>0</v>
      </c>
      <c r="GU5">
        <f>IF(calcu!59:59,"AAAAAH8ev8o=",0)</f>
        <v>0</v>
      </c>
      <c r="GV5">
        <f>IF(calcu!60:60,"AAAAAH8ev8s=",0)</f>
        <v>0</v>
      </c>
      <c r="GW5">
        <f>IF(calcu!61:61,"AAAAAH8ev8w=",0)</f>
        <v>0</v>
      </c>
      <c r="GX5">
        <f>IF(calcu!62:62,"AAAAAH8ev80=",0)</f>
        <v>0</v>
      </c>
      <c r="GY5">
        <f>IF(calcu!63:63,"AAAAAH8ev84=",0)</f>
        <v>0</v>
      </c>
      <c r="GZ5">
        <f>IF(calcu!64:64,"AAAAAH8ev88=",0)</f>
        <v>0</v>
      </c>
      <c r="HA5">
        <f>IF(calcu!65:65,"AAAAAH8ev9A=",0)</f>
        <v>0</v>
      </c>
      <c r="HB5">
        <f>IF(calcu!66:66,"AAAAAH8ev9E=",0)</f>
        <v>0</v>
      </c>
      <c r="HC5">
        <f>IF(calcu!67:67,"AAAAAH8ev9I=",0)</f>
        <v>0</v>
      </c>
      <c r="HD5">
        <f>IF(calcu!68:68,"AAAAAH8ev9M=",0)</f>
        <v>0</v>
      </c>
      <c r="HE5">
        <f>IF(calcu!69:69,"AAAAAH8ev9Q=",0)</f>
        <v>0</v>
      </c>
      <c r="HF5">
        <f>IF(calcu!70:70,"AAAAAH8ev9U=",0)</f>
        <v>0</v>
      </c>
      <c r="HG5">
        <f>IF(calcu!71:71,"AAAAAH8ev9Y=",0)</f>
        <v>0</v>
      </c>
      <c r="HH5">
        <f>IF(calcu!72:72,"AAAAAH8ev9c=",0)</f>
        <v>0</v>
      </c>
      <c r="HI5">
        <f>IF(calcu!73:73,"AAAAAH8ev9g=",0)</f>
        <v>0</v>
      </c>
      <c r="HJ5">
        <f>IF(calcu!74:74,"AAAAAH8ev9k=",0)</f>
        <v>0</v>
      </c>
      <c r="HK5">
        <f>IF(calcu!75:75,"AAAAAH8ev9o=",0)</f>
        <v>0</v>
      </c>
      <c r="HL5">
        <f>IF(calcu!76:76,"AAAAAH8ev9s=",0)</f>
        <v>0</v>
      </c>
      <c r="HM5">
        <f>IF(calcu!77:77,"AAAAAH8ev9w=",0)</f>
        <v>0</v>
      </c>
      <c r="HN5">
        <f>IF(calcu!78:78,"AAAAAH8ev90=",0)</f>
        <v>0</v>
      </c>
      <c r="HO5">
        <f>IF(calcu!79:79,"AAAAAH8ev94=",0)</f>
        <v>0</v>
      </c>
      <c r="HP5">
        <f>IF(calcu!80:80,"AAAAAH8ev98=",0)</f>
        <v>0</v>
      </c>
      <c r="HQ5">
        <f>IF(calcu!81:81,"AAAAAH8ev+A=",0)</f>
        <v>0</v>
      </c>
      <c r="HR5">
        <f>IF(calcu!82:82,"AAAAAH8ev+E=",0)</f>
        <v>0</v>
      </c>
      <c r="HS5">
        <f>IF(calcu!83:83,"AAAAAH8ev+I=",0)</f>
        <v>0</v>
      </c>
      <c r="HT5">
        <f>IF(calcu!84:84,"AAAAAH8ev+M=",0)</f>
        <v>0</v>
      </c>
      <c r="HU5">
        <f>IF(calcu!85:85,"AAAAAH8ev+Q=",0)</f>
        <v>0</v>
      </c>
      <c r="HV5">
        <f>IF(calcu!86:86,"AAAAAH8ev+U=",0)</f>
        <v>0</v>
      </c>
      <c r="HW5">
        <f>IF(calcu!87:87,"AAAAAH8ev+Y=",0)</f>
        <v>0</v>
      </c>
      <c r="HX5">
        <f>IF(calcu!88:88,"AAAAAH8ev+c=",0)</f>
        <v>0</v>
      </c>
      <c r="HY5">
        <f>IF(calcu!89:89,"AAAAAH8ev+g=",0)</f>
        <v>0</v>
      </c>
      <c r="HZ5">
        <f>IF(calcu!90:90,"AAAAAH8ev+k=",0)</f>
        <v>0</v>
      </c>
      <c r="IA5">
        <f>IF(calcu!91:91,"AAAAAH8ev+o=",0)</f>
        <v>0</v>
      </c>
      <c r="IB5">
        <f>IF(calcu!92:92,"AAAAAH8ev+s=",0)</f>
        <v>0</v>
      </c>
      <c r="IC5">
        <f>IF(calcu!93:93,"AAAAAH8ev+w=",0)</f>
        <v>0</v>
      </c>
      <c r="ID5">
        <f>IF(calcu!94:94,"AAAAAH8ev+0=",0)</f>
        <v>0</v>
      </c>
      <c r="IE5">
        <f>IF(calcu!95:95,"AAAAAH8ev+4=",0)</f>
        <v>0</v>
      </c>
      <c r="IF5">
        <f>IF(calcu!96:96,"AAAAAH8ev+8=",0)</f>
        <v>0</v>
      </c>
      <c r="IG5">
        <f>IF(calcu!97:97,"AAAAAH8ev/A=",0)</f>
        <v>0</v>
      </c>
      <c r="IH5">
        <f>IF(calcu!98:98,"AAAAAH8ev/E=",0)</f>
        <v>0</v>
      </c>
      <c r="II5">
        <f>IF(calcu!99:99,"AAAAAH8ev/I=",0)</f>
        <v>0</v>
      </c>
      <c r="IJ5">
        <f>IF(calcu!100:100,"AAAAAH8ev/M=",0)</f>
        <v>0</v>
      </c>
      <c r="IK5">
        <f>IF(calcu!101:101,"AAAAAH8ev/Q=",0)</f>
        <v>0</v>
      </c>
      <c r="IL5">
        <f>IF(calcu!102:102,"AAAAAH8ev/U=",0)</f>
        <v>0</v>
      </c>
      <c r="IM5">
        <f>IF(calcu!103:103,"AAAAAH8ev/Y=",0)</f>
        <v>0</v>
      </c>
      <c r="IN5">
        <f>IF(calcu!104:104,"AAAAAH8ev/c=",0)</f>
        <v>0</v>
      </c>
      <c r="IO5">
        <f>IF(calcu!105:105,"AAAAAH8ev/g=",0)</f>
        <v>0</v>
      </c>
      <c r="IP5">
        <f>IF(calcu!106:106,"AAAAAH8ev/k=",0)</f>
        <v>0</v>
      </c>
      <c r="IQ5">
        <f>IF(calcu!107:107,"AAAAAH8ev/o=",0)</f>
        <v>0</v>
      </c>
      <c r="IR5">
        <f>IF(calcu!108:108,"AAAAAH8ev/s=",0)</f>
        <v>0</v>
      </c>
      <c r="IS5">
        <f>IF(calcu!109:109,"AAAAAH8ev/w=",0)</f>
        <v>0</v>
      </c>
      <c r="IT5">
        <f>IF(calcu!110:110,"AAAAAH8ev/0=",0)</f>
        <v>0</v>
      </c>
      <c r="IU5">
        <f>IF(calcu!111:111,"AAAAAH8ev/4=",0)</f>
        <v>0</v>
      </c>
      <c r="IV5">
        <f>IF(calcu!112:112,"AAAAAH8ev/8=",0)</f>
        <v>0</v>
      </c>
    </row>
    <row r="6" spans="1:256" x14ac:dyDescent="0.2">
      <c r="A6">
        <f>IF(calcu!113:113,"AAAAAGqj7QA=",0)</f>
        <v>0</v>
      </c>
      <c r="B6">
        <f>IF(calcu!114:114,"AAAAAGqj7QE=",0)</f>
        <v>0</v>
      </c>
      <c r="C6">
        <f>IF(calcu!115:115,"AAAAAGqj7QI=",0)</f>
        <v>0</v>
      </c>
      <c r="D6">
        <f>IF(calcu!116:116,"AAAAAGqj7QM=",0)</f>
        <v>0</v>
      </c>
      <c r="E6">
        <f>IF(calcu!117:117,"AAAAAGqj7QQ=",0)</f>
        <v>0</v>
      </c>
      <c r="F6">
        <f>IF(calcu!118:118,"AAAAAGqj7QU=",0)</f>
        <v>0</v>
      </c>
      <c r="G6">
        <f>IF(calcu!119:119,"AAAAAGqj7QY=",0)</f>
        <v>0</v>
      </c>
      <c r="H6">
        <f>IF(calcu!120:120,"AAAAAGqj7Qc=",0)</f>
        <v>0</v>
      </c>
      <c r="I6">
        <f>IF(calcu!121:121,"AAAAAGqj7Qg=",0)</f>
        <v>0</v>
      </c>
      <c r="J6">
        <f>IF(calcu!122:122,"AAAAAGqj7Qk=",0)</f>
        <v>0</v>
      </c>
      <c r="K6">
        <f>IF(calcu!123:123,"AAAAAGqj7Qo=",0)</f>
        <v>0</v>
      </c>
      <c r="L6">
        <f>IF(calcu!124:124,"AAAAAGqj7Qs=",0)</f>
        <v>0</v>
      </c>
      <c r="M6">
        <f>IF(calcu!125:125,"AAAAAGqj7Qw=",0)</f>
        <v>0</v>
      </c>
      <c r="N6">
        <f>IF(calcu!126:126,"AAAAAGqj7Q0=",0)</f>
        <v>0</v>
      </c>
      <c r="O6">
        <f>IF(calcu!127:127,"AAAAAGqj7Q4=",0)</f>
        <v>0</v>
      </c>
      <c r="P6">
        <f>IF(calcu!128:128,"AAAAAGqj7Q8=",0)</f>
        <v>0</v>
      </c>
      <c r="Q6">
        <f>IF(calcu!129:129,"AAAAAGqj7RA=",0)</f>
        <v>0</v>
      </c>
      <c r="R6">
        <f>IF(calcu!130:130,"AAAAAGqj7RE=",0)</f>
        <v>0</v>
      </c>
      <c r="S6">
        <f>IF(calcu!131:131,"AAAAAGqj7RI=",0)</f>
        <v>0</v>
      </c>
      <c r="T6">
        <f>IF(calcu!132:132,"AAAAAGqj7RM=",0)</f>
        <v>0</v>
      </c>
      <c r="U6">
        <f>IF(calcu!133:133,"AAAAAGqj7RQ=",0)</f>
        <v>0</v>
      </c>
      <c r="V6">
        <f>IF(calcu!134:134,"AAAAAGqj7RU=",0)</f>
        <v>0</v>
      </c>
      <c r="W6">
        <f>IF(calcu!135:135,"AAAAAGqj7RY=",0)</f>
        <v>0</v>
      </c>
      <c r="X6">
        <f>IF(calcu!136:136,"AAAAAGqj7Rc=",0)</f>
        <v>0</v>
      </c>
      <c r="Y6">
        <f>IF(calcu!137:137,"AAAAAGqj7Rg=",0)</f>
        <v>0</v>
      </c>
      <c r="Z6">
        <f>IF(calcu!138:138,"AAAAAGqj7Rk=",0)</f>
        <v>0</v>
      </c>
      <c r="AA6">
        <f>IF(calcu!139:139,"AAAAAGqj7Ro=",0)</f>
        <v>0</v>
      </c>
      <c r="AB6">
        <f>IF(calcu!140:140,"AAAAAGqj7Rs=",0)</f>
        <v>0</v>
      </c>
      <c r="AC6">
        <f>IF(calcu!141:141,"AAAAAGqj7Rw=",0)</f>
        <v>0</v>
      </c>
      <c r="AD6">
        <f>IF(calcu!142:142,"AAAAAGqj7R0=",0)</f>
        <v>0</v>
      </c>
      <c r="AE6">
        <f>IF(calcu!143:143,"AAAAAGqj7R4=",0)</f>
        <v>0</v>
      </c>
      <c r="AF6">
        <f>IF(calcu!144:144,"AAAAAGqj7R8=",0)</f>
        <v>0</v>
      </c>
      <c r="AG6">
        <f>IF(calcu!145:145,"AAAAAGqj7SA=",0)</f>
        <v>0</v>
      </c>
      <c r="AH6">
        <f>IF(calcu!146:146,"AAAAAGqj7SE=",0)</f>
        <v>0</v>
      </c>
      <c r="AI6">
        <f>IF(calcu!147:147,"AAAAAGqj7SI=",0)</f>
        <v>0</v>
      </c>
      <c r="AJ6">
        <f>IF(calcu!148:148,"AAAAAGqj7SM=",0)</f>
        <v>0</v>
      </c>
      <c r="AK6">
        <f>IF(calcu!149:149,"AAAAAGqj7SQ=",0)</f>
        <v>0</v>
      </c>
      <c r="AL6">
        <f>IF(calcu!150:150,"AAAAAGqj7SU=",0)</f>
        <v>0</v>
      </c>
      <c r="AM6">
        <f>IF(calcu!151:151,"AAAAAGqj7SY=",0)</f>
        <v>0</v>
      </c>
      <c r="AN6">
        <f>IF(calcu!152:152,"AAAAAGqj7Sc=",0)</f>
        <v>0</v>
      </c>
      <c r="AO6">
        <f>IF(calcu!153:153,"AAAAAGqj7Sg=",0)</f>
        <v>0</v>
      </c>
      <c r="AP6">
        <f>IF(calcu!154:154,"AAAAAGqj7Sk=",0)</f>
        <v>0</v>
      </c>
      <c r="AQ6">
        <f>IF(calcu!155:155,"AAAAAGqj7So=",0)</f>
        <v>0</v>
      </c>
      <c r="AR6">
        <f>IF(calcu!156:156,"AAAAAGqj7Ss=",0)</f>
        <v>0</v>
      </c>
      <c r="AS6">
        <f>IF(calcu!157:157,"AAAAAGqj7Sw=",0)</f>
        <v>0</v>
      </c>
      <c r="AT6">
        <f>IF(calcu!158:158,"AAAAAGqj7S0=",0)</f>
        <v>0</v>
      </c>
      <c r="AU6">
        <f>IF(calcu!159:159,"AAAAAGqj7S4=",0)</f>
        <v>0</v>
      </c>
      <c r="AV6">
        <f>IF(calcu!160:160,"AAAAAGqj7S8=",0)</f>
        <v>0</v>
      </c>
      <c r="AW6">
        <f>IF(calcu!161:161,"AAAAAGqj7TA=",0)</f>
        <v>0</v>
      </c>
      <c r="AX6">
        <f>IF(calcu!162:162,"AAAAAGqj7TE=",0)</f>
        <v>0</v>
      </c>
      <c r="AY6">
        <f>IF(calcu!163:163,"AAAAAGqj7TI=",0)</f>
        <v>0</v>
      </c>
      <c r="AZ6">
        <f>IF(calcu!164:164,"AAAAAGqj7TM=",0)</f>
        <v>0</v>
      </c>
      <c r="BA6">
        <f>IF(calcu!165:165,"AAAAAGqj7TQ=",0)</f>
        <v>0</v>
      </c>
      <c r="BB6">
        <f>IF(calcu!166:166,"AAAAAGqj7TU=",0)</f>
        <v>0</v>
      </c>
      <c r="BC6">
        <f>IF(calcu!167:167,"AAAAAGqj7TY=",0)</f>
        <v>0</v>
      </c>
      <c r="BD6">
        <f>IF(calcu!168:168,"AAAAAGqj7Tc=",0)</f>
        <v>0</v>
      </c>
      <c r="BE6">
        <f>IF(calcu!169:169,"AAAAAGqj7Tg=",0)</f>
        <v>0</v>
      </c>
      <c r="BF6">
        <f>IF(calcu!170:170,"AAAAAGqj7Tk=",0)</f>
        <v>0</v>
      </c>
      <c r="BG6">
        <f>IF(calcu!171:171,"AAAAAGqj7To=",0)</f>
        <v>0</v>
      </c>
      <c r="BH6">
        <f>IF(calcu!172:172,"AAAAAGqj7Ts=",0)</f>
        <v>0</v>
      </c>
      <c r="BI6">
        <f>IF(calcu!173:173,"AAAAAGqj7Tw=",0)</f>
        <v>0</v>
      </c>
      <c r="BJ6">
        <f>IF(calcu!174:174,"AAAAAGqj7T0=",0)</f>
        <v>0</v>
      </c>
      <c r="BK6">
        <f>IF(calcu!175:175,"AAAAAGqj7T4=",0)</f>
        <v>0</v>
      </c>
      <c r="BL6">
        <f>IF(calcu!176:176,"AAAAAGqj7T8=",0)</f>
        <v>0</v>
      </c>
      <c r="BM6">
        <f>IF(calcu!177:177,"AAAAAGqj7UA=",0)</f>
        <v>0</v>
      </c>
      <c r="BN6">
        <f>IF(calcu!178:178,"AAAAAGqj7UE=",0)</f>
        <v>0</v>
      </c>
      <c r="BO6">
        <f>IF(calcu!179:179,"AAAAAGqj7UI=",0)</f>
        <v>0</v>
      </c>
      <c r="BP6">
        <f>IF(calcu!180:180,"AAAAAGqj7UM=",0)</f>
        <v>0</v>
      </c>
      <c r="BQ6">
        <f>IF(calcu!181:181,"AAAAAGqj7UQ=",0)</f>
        <v>0</v>
      </c>
      <c r="BR6">
        <f>IF(calcu!182:182,"AAAAAGqj7UU=",0)</f>
        <v>0</v>
      </c>
      <c r="BS6">
        <f>IF(calcu!183:183,"AAAAAGqj7UY=",0)</f>
        <v>0</v>
      </c>
      <c r="BT6">
        <f>IF(calcu!184:184,"AAAAAGqj7Uc=",0)</f>
        <v>0</v>
      </c>
      <c r="BU6">
        <f>IF(calcu!185:185,"AAAAAGqj7Ug=",0)</f>
        <v>0</v>
      </c>
      <c r="BV6">
        <f>IF(calcu!186:186,"AAAAAGqj7Uk=",0)</f>
        <v>0</v>
      </c>
      <c r="BW6">
        <f>IF(calcu!187:187,"AAAAAGqj7Uo=",0)</f>
        <v>0</v>
      </c>
      <c r="BX6">
        <f>IF(calcu!188:188,"AAAAAGqj7Us=",0)</f>
        <v>0</v>
      </c>
      <c r="BY6">
        <f>IF(calcu!189:189,"AAAAAGqj7Uw=",0)</f>
        <v>0</v>
      </c>
      <c r="BZ6">
        <f>IF(calcu!190:190,"AAAAAGqj7U0=",0)</f>
        <v>0</v>
      </c>
      <c r="CA6">
        <f>IF(calcu!191:191,"AAAAAGqj7U4=",0)</f>
        <v>0</v>
      </c>
      <c r="CB6">
        <f>IF(calcu!192:192,"AAAAAGqj7U8=",0)</f>
        <v>0</v>
      </c>
      <c r="CC6">
        <f>IF(calcu!193:193,"AAAAAGqj7VA=",0)</f>
        <v>0</v>
      </c>
      <c r="CD6">
        <f>IF(calcu!194:194,"AAAAAGqj7VE=",0)</f>
        <v>0</v>
      </c>
      <c r="CE6">
        <f>IF(calcu!195:195,"AAAAAGqj7VI=",0)</f>
        <v>0</v>
      </c>
      <c r="CF6">
        <f>IF(calcu!196:196,"AAAAAGqj7VM=",0)</f>
        <v>0</v>
      </c>
      <c r="CG6">
        <f>IF(calcu!197:197,"AAAAAGqj7VQ=",0)</f>
        <v>0</v>
      </c>
      <c r="CH6">
        <f>IF(calcu!198:198,"AAAAAGqj7VU=",0)</f>
        <v>0</v>
      </c>
      <c r="CI6">
        <f>IF(calcu!199:199,"AAAAAGqj7VY=",0)</f>
        <v>0</v>
      </c>
      <c r="CJ6">
        <f>IF(calcu!200:200,"AAAAAGqj7Vc=",0)</f>
        <v>0</v>
      </c>
      <c r="CK6">
        <f>IF(calcu!201:201,"AAAAAGqj7Vg=",0)</f>
        <v>0</v>
      </c>
      <c r="CL6">
        <f>IF(calcu!202:202,"AAAAAGqj7Vk=",0)</f>
        <v>0</v>
      </c>
      <c r="CM6">
        <f>IF(calcu!203:203,"AAAAAGqj7Vo=",0)</f>
        <v>0</v>
      </c>
      <c r="CN6">
        <f>IF(calcu!204:204,"AAAAAGqj7Vs=",0)</f>
        <v>0</v>
      </c>
      <c r="CO6">
        <f>IF(calcu!205:205,"AAAAAGqj7Vw=",0)</f>
        <v>0</v>
      </c>
      <c r="CP6">
        <f>IF(calcu!206:206,"AAAAAGqj7V0=",0)</f>
        <v>0</v>
      </c>
      <c r="CQ6">
        <f>IF(calcu!207:207,"AAAAAGqj7V4=",0)</f>
        <v>0</v>
      </c>
      <c r="CR6">
        <f>IF(calcu!208:208,"AAAAAGqj7V8=",0)</f>
        <v>0</v>
      </c>
      <c r="CS6">
        <f>IF(calcu!209:209,"AAAAAGqj7WA=",0)</f>
        <v>0</v>
      </c>
      <c r="CT6">
        <f>IF(calcu!210:210,"AAAAAGqj7WE=",0)</f>
        <v>0</v>
      </c>
      <c r="CU6">
        <f>IF(calcu!211:211,"AAAAAGqj7WI=",0)</f>
        <v>0</v>
      </c>
      <c r="CV6">
        <f>IF(calcu!212:212,"AAAAAGqj7WM=",0)</f>
        <v>0</v>
      </c>
      <c r="CW6">
        <f>IF(calcu!213:213,"AAAAAGqj7WQ=",0)</f>
        <v>0</v>
      </c>
      <c r="CX6">
        <f>IF(calcu!214:214,"AAAAAGqj7WU=",0)</f>
        <v>0</v>
      </c>
      <c r="CY6">
        <f>IF(calcu!215:215,"AAAAAGqj7WY=",0)</f>
        <v>0</v>
      </c>
      <c r="CZ6">
        <f>IF(calcu!216:216,"AAAAAGqj7Wc=",0)</f>
        <v>0</v>
      </c>
      <c r="DA6">
        <f>IF(calcu!217:217,"AAAAAGqj7Wg=",0)</f>
        <v>0</v>
      </c>
      <c r="DB6">
        <f>IF(calcu!218:218,"AAAAAGqj7Wk=",0)</f>
        <v>0</v>
      </c>
      <c r="DC6">
        <f>IF(calcu!219:219,"AAAAAGqj7Wo=",0)</f>
        <v>0</v>
      </c>
      <c r="DD6">
        <f>IF(calcu!220:220,"AAAAAGqj7Ws=",0)</f>
        <v>0</v>
      </c>
      <c r="DE6">
        <f>IF(calcu!221:221,"AAAAAGqj7Ww=",0)</f>
        <v>0</v>
      </c>
      <c r="DF6">
        <f>IF(calcu!A:A,"AAAAAGqj7W0=",0)</f>
        <v>0</v>
      </c>
      <c r="DG6">
        <f>IF(calcu!B:B,"AAAAAGqj7W4=",0)</f>
        <v>0</v>
      </c>
      <c r="DH6">
        <f>IF(calcu!C:C,"AAAAAGqj7W8=",0)</f>
        <v>0</v>
      </c>
      <c r="DI6">
        <f>IF(calcu!D:D,"AAAAAGqj7XA=",0)</f>
        <v>0</v>
      </c>
      <c r="DJ6">
        <f>IF(calcu!E:E,"AAAAAGqj7XE=",0)</f>
        <v>0</v>
      </c>
      <c r="DK6">
        <f>IF(calcu!F:F,"AAAAAGqj7XI=",0)</f>
        <v>0</v>
      </c>
      <c r="DL6">
        <f>IF(calcu!G:G,"AAAAAGqj7XM=",0)</f>
        <v>0</v>
      </c>
      <c r="DM6">
        <f>IF(calcu!H:H,"AAAAAGqj7XQ=",0)</f>
        <v>0</v>
      </c>
      <c r="DN6">
        <f>IF(calcu!I:I,"AAAAAGqj7XU=",0)</f>
        <v>0</v>
      </c>
      <c r="DO6">
        <f>IF(calcu!J:J,"AAAAAGqj7XY=",0)</f>
        <v>0</v>
      </c>
      <c r="DP6">
        <f>IF(calcu!K:K,"AAAAAGqj7Xc=",0)</f>
        <v>0</v>
      </c>
      <c r="DQ6">
        <f>IF(calcu!L:L,"AAAAAGqj7Xg=",0)</f>
        <v>0</v>
      </c>
      <c r="DR6">
        <f>IF(calcu!M:M,"AAAAAGqj7Xk=",0)</f>
        <v>0</v>
      </c>
      <c r="DS6">
        <f>IF(calcu!N:N,"AAAAAGqj7Xo=",0)</f>
        <v>0</v>
      </c>
      <c r="DT6">
        <f>IF(calcu!O:O,"AAAAAGqj7Xs=",0)</f>
        <v>0</v>
      </c>
      <c r="DU6">
        <f>IF(calcu!P:P,"AAAAAGqj7Xw=",0)</f>
        <v>0</v>
      </c>
      <c r="DV6">
        <f>IF(calcu!Q:Q,"AAAAAGqj7X0=",0)</f>
        <v>0</v>
      </c>
      <c r="DW6">
        <f>IF(calcu!R:R,"AAAAAGqj7X4=",0)</f>
        <v>0</v>
      </c>
      <c r="DX6">
        <f>IF(calcu!S:S,"AAAAAGqj7X8=",0)</f>
        <v>0</v>
      </c>
      <c r="DY6">
        <f>IF(calcu!T:T,"AAAAAGqj7YA=",0)</f>
        <v>0</v>
      </c>
      <c r="DZ6">
        <f>IF(calcu!U:U,"AAAAAGqj7YE=",0)</f>
        <v>0</v>
      </c>
      <c r="EA6">
        <f>IF(class!1:1,"AAAAAGqj7YI=",0)</f>
        <v>0</v>
      </c>
      <c r="EB6" t="e">
        <f>AND(class!A1,"AAAAAGqj7YM=")</f>
        <v>#VALUE!</v>
      </c>
      <c r="EC6" t="e">
        <f>AND(class!B1,"AAAAAGqj7YQ=")</f>
        <v>#VALUE!</v>
      </c>
      <c r="ED6" t="e">
        <f>AND(class!C1,"AAAAAGqj7YU=")</f>
        <v>#VALUE!</v>
      </c>
      <c r="EE6" t="e">
        <f>AND(class!D1,"AAAAAGqj7YY=")</f>
        <v>#VALUE!</v>
      </c>
      <c r="EF6" t="e">
        <f>AND(class!E1,"AAAAAGqj7Yc=")</f>
        <v>#VALUE!</v>
      </c>
      <c r="EG6" t="e">
        <f>AND(class!F1,"AAAAAGqj7Yg=")</f>
        <v>#VALUE!</v>
      </c>
      <c r="EH6" t="e">
        <f>AND(class!G1,"AAAAAGqj7Yk=")</f>
        <v>#VALUE!</v>
      </c>
      <c r="EI6" t="e">
        <f>AND(class!H1,"AAAAAGqj7Yo=")</f>
        <v>#VALUE!</v>
      </c>
      <c r="EJ6" t="e">
        <f>AND(class!I1,"AAAAAGqj7Ys=")</f>
        <v>#VALUE!</v>
      </c>
      <c r="EK6" t="e">
        <f>AND(class!J1,"AAAAAGqj7Yw=")</f>
        <v>#VALUE!</v>
      </c>
      <c r="EL6" t="e">
        <f>AND(class!K1,"AAAAAGqj7Y0=")</f>
        <v>#VALUE!</v>
      </c>
      <c r="EM6" t="e">
        <f>AND(class!L1,"AAAAAGqj7Y4=")</f>
        <v>#VALUE!</v>
      </c>
      <c r="EN6" t="e">
        <f>AND(class!M1,"AAAAAGqj7Y8=")</f>
        <v>#VALUE!</v>
      </c>
      <c r="EO6" t="e">
        <f>AND(class!N1,"AAAAAGqj7ZA=")</f>
        <v>#VALUE!</v>
      </c>
      <c r="EP6" t="e">
        <f>AND(class!O1,"AAAAAGqj7ZE=")</f>
        <v>#VALUE!</v>
      </c>
      <c r="EQ6" t="e">
        <f>AND(class!P1,"AAAAAGqj7ZI=")</f>
        <v>#VALUE!</v>
      </c>
      <c r="ER6" t="e">
        <f>AND(class!Q1,"AAAAAGqj7ZM=")</f>
        <v>#VALUE!</v>
      </c>
      <c r="ES6" t="e">
        <f>AND(class!R1,"AAAAAGqj7ZQ=")</f>
        <v>#VALUE!</v>
      </c>
      <c r="ET6" t="e">
        <f>AND(class!S1,"AAAAAGqj7ZU=")</f>
        <v>#VALUE!</v>
      </c>
      <c r="EU6" t="e">
        <f>AND(class!T1,"AAAAAGqj7ZY=")</f>
        <v>#VALUE!</v>
      </c>
      <c r="EV6" t="e">
        <f>AND(class!U1,"AAAAAGqj7Zc=")</f>
        <v>#VALUE!</v>
      </c>
      <c r="EW6" t="e">
        <f>AND(class!V1,"AAAAAGqj7Zg=")</f>
        <v>#VALUE!</v>
      </c>
      <c r="EX6" t="e">
        <f>AND(class!W1,"AAAAAGqj7Zk=")</f>
        <v>#VALUE!</v>
      </c>
      <c r="EY6" t="e">
        <f>AND(class!X1,"AAAAAGqj7Zo=")</f>
        <v>#VALUE!</v>
      </c>
      <c r="EZ6" t="e">
        <f>AND(class!Y1,"AAAAAGqj7Zs=")</f>
        <v>#VALUE!</v>
      </c>
      <c r="FA6" t="e">
        <f>AND(class!Z1,"AAAAAGqj7Zw=")</f>
        <v>#VALUE!</v>
      </c>
      <c r="FB6" t="e">
        <f>AND(class!AA1,"AAAAAGqj7Z0=")</f>
        <v>#VALUE!</v>
      </c>
      <c r="FC6" t="e">
        <f>AND(class!AB1,"AAAAAGqj7Z4=")</f>
        <v>#VALUE!</v>
      </c>
      <c r="FD6" t="e">
        <f>AND(class!AC1,"AAAAAGqj7Z8=")</f>
        <v>#VALUE!</v>
      </c>
      <c r="FE6">
        <f>IF(class!2:2,"AAAAAGqj7aA=",0)</f>
        <v>0</v>
      </c>
      <c r="FF6" t="e">
        <f>AND(class!A2,"AAAAAGqj7aE=")</f>
        <v>#VALUE!</v>
      </c>
      <c r="FG6" t="e">
        <f>AND(class!B2,"AAAAAGqj7aI=")</f>
        <v>#VALUE!</v>
      </c>
      <c r="FH6" t="e">
        <f>AND(class!C2,"AAAAAGqj7aM=")</f>
        <v>#VALUE!</v>
      </c>
      <c r="FI6" t="e">
        <f>AND(class!D2,"AAAAAGqj7aQ=")</f>
        <v>#VALUE!</v>
      </c>
      <c r="FJ6" t="e">
        <f>AND(class!E2,"AAAAAGqj7aU=")</f>
        <v>#VALUE!</v>
      </c>
      <c r="FK6" t="e">
        <f>AND(class!F2,"AAAAAGqj7aY=")</f>
        <v>#VALUE!</v>
      </c>
      <c r="FL6" t="e">
        <f>AND(class!G2,"AAAAAGqj7ac=")</f>
        <v>#VALUE!</v>
      </c>
      <c r="FM6" t="e">
        <f>AND(class!H2,"AAAAAGqj7ag=")</f>
        <v>#VALUE!</v>
      </c>
      <c r="FN6" t="e">
        <f>AND(class!I2,"AAAAAGqj7ak=")</f>
        <v>#VALUE!</v>
      </c>
      <c r="FO6" t="e">
        <f>AND(class!J2,"AAAAAGqj7ao=")</f>
        <v>#VALUE!</v>
      </c>
      <c r="FP6" t="e">
        <f>AND(class!K2,"AAAAAGqj7as=")</f>
        <v>#VALUE!</v>
      </c>
      <c r="FQ6" t="e">
        <f>AND(class!L2,"AAAAAGqj7aw=")</f>
        <v>#VALUE!</v>
      </c>
      <c r="FR6" t="e">
        <f>AND(class!M2,"AAAAAGqj7a0=")</f>
        <v>#VALUE!</v>
      </c>
      <c r="FS6" t="e">
        <f>AND(class!N2,"AAAAAGqj7a4=")</f>
        <v>#VALUE!</v>
      </c>
      <c r="FT6" t="e">
        <f>AND(class!O2,"AAAAAGqj7a8=")</f>
        <v>#VALUE!</v>
      </c>
      <c r="FU6" t="e">
        <f>AND(class!P2,"AAAAAGqj7bA=")</f>
        <v>#VALUE!</v>
      </c>
      <c r="FV6" t="e">
        <f>AND(class!Q2,"AAAAAGqj7bE=")</f>
        <v>#VALUE!</v>
      </c>
      <c r="FW6" t="e">
        <f>AND(class!R2,"AAAAAGqj7bI=")</f>
        <v>#VALUE!</v>
      </c>
      <c r="FX6" t="e">
        <f>AND(class!S2,"AAAAAGqj7bM=")</f>
        <v>#VALUE!</v>
      </c>
      <c r="FY6" t="e">
        <f>AND(class!T2,"AAAAAGqj7bQ=")</f>
        <v>#VALUE!</v>
      </c>
      <c r="FZ6" t="e">
        <f>AND(class!U2,"AAAAAGqj7bU=")</f>
        <v>#VALUE!</v>
      </c>
      <c r="GA6" t="e">
        <f>AND(class!V2,"AAAAAGqj7bY=")</f>
        <v>#VALUE!</v>
      </c>
      <c r="GB6" t="e">
        <f>AND(class!W2,"AAAAAGqj7bc=")</f>
        <v>#VALUE!</v>
      </c>
      <c r="GC6" t="e">
        <f>AND(class!X2,"AAAAAGqj7bg=")</f>
        <v>#VALUE!</v>
      </c>
      <c r="GD6" t="e">
        <f>AND(class!Y2,"AAAAAGqj7bk=")</f>
        <v>#VALUE!</v>
      </c>
      <c r="GE6" t="e">
        <f>AND(class!Z2,"AAAAAGqj7bo=")</f>
        <v>#VALUE!</v>
      </c>
      <c r="GF6" t="e">
        <f>AND(class!AA2,"AAAAAGqj7bs=")</f>
        <v>#VALUE!</v>
      </c>
      <c r="GG6" t="e">
        <f>AND(class!AB2,"AAAAAGqj7bw=")</f>
        <v>#VALUE!</v>
      </c>
      <c r="GH6" t="e">
        <f>AND(class!AC2,"AAAAAGqj7b0=")</f>
        <v>#VALUE!</v>
      </c>
      <c r="GI6">
        <f>IF(class!3:3,"AAAAAGqj7b4=",0)</f>
        <v>0</v>
      </c>
      <c r="GJ6" t="e">
        <f>AND(class!A3,"AAAAAGqj7b8=")</f>
        <v>#VALUE!</v>
      </c>
      <c r="GK6" t="e">
        <f>AND(class!B3,"AAAAAGqj7cA=")</f>
        <v>#VALUE!</v>
      </c>
      <c r="GL6" t="e">
        <f>AND(class!C3,"AAAAAGqj7cE=")</f>
        <v>#VALUE!</v>
      </c>
      <c r="GM6" t="e">
        <f>AND(class!D3,"AAAAAGqj7cI=")</f>
        <v>#VALUE!</v>
      </c>
      <c r="GN6" t="e">
        <f>AND(class!E3,"AAAAAGqj7cM=")</f>
        <v>#VALUE!</v>
      </c>
      <c r="GO6" t="e">
        <f>AND(class!F3,"AAAAAGqj7cQ=")</f>
        <v>#VALUE!</v>
      </c>
      <c r="GP6" t="e">
        <f>AND(class!G3,"AAAAAGqj7cU=")</f>
        <v>#VALUE!</v>
      </c>
      <c r="GQ6" t="e">
        <f>AND(class!H3,"AAAAAGqj7cY=")</f>
        <v>#VALUE!</v>
      </c>
      <c r="GR6" t="e">
        <f>AND(class!I3,"AAAAAGqj7cc=")</f>
        <v>#VALUE!</v>
      </c>
      <c r="GS6" t="e">
        <f>AND(class!J3,"AAAAAGqj7cg=")</f>
        <v>#VALUE!</v>
      </c>
      <c r="GT6" t="e">
        <f>AND(class!K3,"AAAAAGqj7ck=")</f>
        <v>#VALUE!</v>
      </c>
      <c r="GU6" t="e">
        <f>AND(class!L3,"AAAAAGqj7co=")</f>
        <v>#VALUE!</v>
      </c>
      <c r="GV6" t="e">
        <f>AND(class!M3,"AAAAAGqj7cs=")</f>
        <v>#VALUE!</v>
      </c>
      <c r="GW6" t="e">
        <f>AND(class!N3,"AAAAAGqj7cw=")</f>
        <v>#VALUE!</v>
      </c>
      <c r="GX6" t="e">
        <f>AND(class!O3,"AAAAAGqj7c0=")</f>
        <v>#VALUE!</v>
      </c>
      <c r="GY6" t="e">
        <f>AND(class!P3,"AAAAAGqj7c4=")</f>
        <v>#VALUE!</v>
      </c>
      <c r="GZ6" t="e">
        <f>AND(class!Q3,"AAAAAGqj7c8=")</f>
        <v>#VALUE!</v>
      </c>
      <c r="HA6" t="e">
        <f>AND(class!R3,"AAAAAGqj7dA=")</f>
        <v>#VALUE!</v>
      </c>
      <c r="HB6" t="e">
        <f>AND(class!S3,"AAAAAGqj7dE=")</f>
        <v>#VALUE!</v>
      </c>
      <c r="HC6" t="e">
        <f>AND(class!T3,"AAAAAGqj7dI=")</f>
        <v>#VALUE!</v>
      </c>
      <c r="HD6" t="e">
        <f>AND(class!U3,"AAAAAGqj7dM=")</f>
        <v>#VALUE!</v>
      </c>
      <c r="HE6" t="e">
        <f>AND(class!V3,"AAAAAGqj7dQ=")</f>
        <v>#VALUE!</v>
      </c>
      <c r="HF6" t="e">
        <f>AND(class!W3,"AAAAAGqj7dU=")</f>
        <v>#VALUE!</v>
      </c>
      <c r="HG6" t="e">
        <f>AND(class!X3,"AAAAAGqj7dY=")</f>
        <v>#VALUE!</v>
      </c>
      <c r="HH6" t="e">
        <f>AND(class!Y3,"AAAAAGqj7dc=")</f>
        <v>#VALUE!</v>
      </c>
      <c r="HI6" t="e">
        <f>AND(class!Z3,"AAAAAGqj7dg=")</f>
        <v>#VALUE!</v>
      </c>
      <c r="HJ6" t="e">
        <f>AND(class!AA3,"AAAAAGqj7dk=")</f>
        <v>#VALUE!</v>
      </c>
      <c r="HK6" t="e">
        <f>AND(class!AB3,"AAAAAGqj7do=")</f>
        <v>#VALUE!</v>
      </c>
      <c r="HL6" t="e">
        <f>AND(class!AC3,"AAAAAGqj7ds=")</f>
        <v>#VALUE!</v>
      </c>
      <c r="HM6">
        <f>IF(class!4:4,"AAAAAGqj7dw=",0)</f>
        <v>0</v>
      </c>
      <c r="HN6" t="e">
        <f>AND(class!A4,"AAAAAGqj7d0=")</f>
        <v>#VALUE!</v>
      </c>
      <c r="HO6" t="e">
        <f>AND(class!B4,"AAAAAGqj7d4=")</f>
        <v>#VALUE!</v>
      </c>
      <c r="HP6" t="e">
        <f>AND(class!C4,"AAAAAGqj7d8=")</f>
        <v>#VALUE!</v>
      </c>
      <c r="HQ6" t="e">
        <f>AND(class!D4,"AAAAAGqj7eA=")</f>
        <v>#VALUE!</v>
      </c>
      <c r="HR6" t="e">
        <f>AND(class!E4,"AAAAAGqj7eE=")</f>
        <v>#VALUE!</v>
      </c>
      <c r="HS6" t="e">
        <f>AND(class!F4,"AAAAAGqj7eI=")</f>
        <v>#VALUE!</v>
      </c>
      <c r="HT6" t="e">
        <f>AND(class!G4,"AAAAAGqj7eM=")</f>
        <v>#VALUE!</v>
      </c>
      <c r="HU6" t="e">
        <f>AND(class!H4,"AAAAAGqj7eQ=")</f>
        <v>#VALUE!</v>
      </c>
      <c r="HV6" t="e">
        <f>AND(class!I4,"AAAAAGqj7eU=")</f>
        <v>#VALUE!</v>
      </c>
      <c r="HW6" t="e">
        <f>AND(class!J4,"AAAAAGqj7eY=")</f>
        <v>#VALUE!</v>
      </c>
      <c r="HX6" t="e">
        <f>AND(class!K4,"AAAAAGqj7ec=")</f>
        <v>#VALUE!</v>
      </c>
      <c r="HY6" t="e">
        <f>AND(class!L4,"AAAAAGqj7eg=")</f>
        <v>#VALUE!</v>
      </c>
      <c r="HZ6" t="e">
        <f>AND(class!M4,"AAAAAGqj7ek=")</f>
        <v>#VALUE!</v>
      </c>
      <c r="IA6" t="e">
        <f>AND(class!N4,"AAAAAGqj7eo=")</f>
        <v>#VALUE!</v>
      </c>
      <c r="IB6" t="e">
        <f>AND(class!O4,"AAAAAGqj7es=")</f>
        <v>#VALUE!</v>
      </c>
      <c r="IC6" t="e">
        <f>AND(class!P4,"AAAAAGqj7ew=")</f>
        <v>#VALUE!</v>
      </c>
      <c r="ID6" t="e">
        <f>AND(class!Q4,"AAAAAGqj7e0=")</f>
        <v>#VALUE!</v>
      </c>
      <c r="IE6" t="e">
        <f>AND(class!R4,"AAAAAGqj7e4=")</f>
        <v>#VALUE!</v>
      </c>
      <c r="IF6" t="e">
        <f>AND(class!S4,"AAAAAGqj7e8=")</f>
        <v>#VALUE!</v>
      </c>
      <c r="IG6" t="e">
        <f>AND(class!T4,"AAAAAGqj7fA=")</f>
        <v>#VALUE!</v>
      </c>
      <c r="IH6" t="e">
        <f>AND(class!U4,"AAAAAGqj7fE=")</f>
        <v>#VALUE!</v>
      </c>
      <c r="II6" t="e">
        <f>AND(class!V4,"AAAAAGqj7fI=")</f>
        <v>#VALUE!</v>
      </c>
      <c r="IJ6" t="e">
        <f>AND(class!W4,"AAAAAGqj7fM=")</f>
        <v>#VALUE!</v>
      </c>
      <c r="IK6" t="e">
        <f>AND(class!X4,"AAAAAGqj7fQ=")</f>
        <v>#VALUE!</v>
      </c>
      <c r="IL6" t="e">
        <f>AND(class!Y4,"AAAAAGqj7fU=")</f>
        <v>#VALUE!</v>
      </c>
      <c r="IM6" t="e">
        <f>AND(class!Z4,"AAAAAGqj7fY=")</f>
        <v>#VALUE!</v>
      </c>
      <c r="IN6" t="e">
        <f>AND(class!AA4,"AAAAAGqj7fc=")</f>
        <v>#VALUE!</v>
      </c>
      <c r="IO6" t="e">
        <f>AND(class!AB4,"AAAAAGqj7fg=")</f>
        <v>#VALUE!</v>
      </c>
      <c r="IP6" t="e">
        <f>AND(class!AC4,"AAAAAGqj7fk=")</f>
        <v>#VALUE!</v>
      </c>
      <c r="IQ6">
        <f>IF(class!5:5,"AAAAAGqj7fo=",0)</f>
        <v>0</v>
      </c>
      <c r="IR6" t="e">
        <f>AND(class!A5,"AAAAAGqj7fs=")</f>
        <v>#VALUE!</v>
      </c>
      <c r="IS6" t="e">
        <f>AND(class!B5,"AAAAAGqj7fw=")</f>
        <v>#VALUE!</v>
      </c>
      <c r="IT6" t="e">
        <f>AND(class!C5,"AAAAAGqj7f0=")</f>
        <v>#VALUE!</v>
      </c>
      <c r="IU6" t="e">
        <f>AND(class!D5,"AAAAAGqj7f4=")</f>
        <v>#VALUE!</v>
      </c>
      <c r="IV6" t="e">
        <f>AND(class!E5,"AAAAAGqj7f8=")</f>
        <v>#VALUE!</v>
      </c>
    </row>
    <row r="7" spans="1:256" x14ac:dyDescent="0.2">
      <c r="A7" t="e">
        <f>AND(class!F5,"AAAAACuXrwA=")</f>
        <v>#VALUE!</v>
      </c>
      <c r="B7" t="e">
        <f>AND(class!G5,"AAAAACuXrwE=")</f>
        <v>#VALUE!</v>
      </c>
      <c r="C7" t="e">
        <f>AND(class!H5,"AAAAACuXrwI=")</f>
        <v>#VALUE!</v>
      </c>
      <c r="D7" t="e">
        <f>AND(class!I5,"AAAAACuXrwM=")</f>
        <v>#VALUE!</v>
      </c>
      <c r="E7" t="e">
        <f>AND(class!J5,"AAAAACuXrwQ=")</f>
        <v>#VALUE!</v>
      </c>
      <c r="F7" t="e">
        <f>AND(class!K5,"AAAAACuXrwU=")</f>
        <v>#VALUE!</v>
      </c>
      <c r="G7" t="e">
        <f>AND(class!L5,"AAAAACuXrwY=")</f>
        <v>#VALUE!</v>
      </c>
      <c r="H7" t="e">
        <f>AND(class!M5,"AAAAACuXrwc=")</f>
        <v>#VALUE!</v>
      </c>
      <c r="I7" t="e">
        <f>AND(class!N5,"AAAAACuXrwg=")</f>
        <v>#VALUE!</v>
      </c>
      <c r="J7" t="e">
        <f>AND(class!O5,"AAAAACuXrwk=")</f>
        <v>#VALUE!</v>
      </c>
      <c r="K7" t="e">
        <f>AND(class!P5,"AAAAACuXrwo=")</f>
        <v>#VALUE!</v>
      </c>
      <c r="L7" t="e">
        <f>AND(class!Q5,"AAAAACuXrws=")</f>
        <v>#VALUE!</v>
      </c>
      <c r="M7" t="e">
        <f>AND(class!R5,"AAAAACuXrww=")</f>
        <v>#VALUE!</v>
      </c>
      <c r="N7" t="e">
        <f>AND(class!S5,"AAAAACuXrw0=")</f>
        <v>#VALUE!</v>
      </c>
      <c r="O7" t="e">
        <f>AND(class!T5,"AAAAACuXrw4=")</f>
        <v>#VALUE!</v>
      </c>
      <c r="P7" t="e">
        <f>AND(class!U5,"AAAAACuXrw8=")</f>
        <v>#VALUE!</v>
      </c>
      <c r="Q7" t="e">
        <f>AND(class!V5,"AAAAACuXrxA=")</f>
        <v>#VALUE!</v>
      </c>
      <c r="R7" t="e">
        <f>AND(class!W5,"AAAAACuXrxE=")</f>
        <v>#VALUE!</v>
      </c>
      <c r="S7" t="e">
        <f>AND(class!X5,"AAAAACuXrxI=")</f>
        <v>#VALUE!</v>
      </c>
      <c r="T7" t="e">
        <f>AND(class!Y5,"AAAAACuXrxM=")</f>
        <v>#VALUE!</v>
      </c>
      <c r="U7" t="e">
        <f>AND(class!Z5,"AAAAACuXrxQ=")</f>
        <v>#VALUE!</v>
      </c>
      <c r="V7" t="e">
        <f>AND(class!AA5,"AAAAACuXrxU=")</f>
        <v>#VALUE!</v>
      </c>
      <c r="W7" t="e">
        <f>AND(class!AB5,"AAAAACuXrxY=")</f>
        <v>#VALUE!</v>
      </c>
      <c r="X7" t="e">
        <f>AND(class!AC5,"AAAAACuXrxc=")</f>
        <v>#VALUE!</v>
      </c>
      <c r="Y7">
        <f>IF(class!6:6,"AAAAACuXrxg=",0)</f>
        <v>0</v>
      </c>
      <c r="Z7" t="e">
        <f>AND(class!A6,"AAAAACuXrxk=")</f>
        <v>#VALUE!</v>
      </c>
      <c r="AA7" t="e">
        <f>AND(class!B6,"AAAAACuXrxo=")</f>
        <v>#VALUE!</v>
      </c>
      <c r="AB7" t="e">
        <f>AND(class!C6,"AAAAACuXrxs=")</f>
        <v>#VALUE!</v>
      </c>
      <c r="AC7" t="e">
        <f>AND(class!D6,"AAAAACuXrxw=")</f>
        <v>#VALUE!</v>
      </c>
      <c r="AD7" t="e">
        <f>AND(class!E6,"AAAAACuXrx0=")</f>
        <v>#VALUE!</v>
      </c>
      <c r="AE7" t="e">
        <f>AND(class!F6,"AAAAACuXrx4=")</f>
        <v>#VALUE!</v>
      </c>
      <c r="AF7" t="e">
        <f>AND(class!G6,"AAAAACuXrx8=")</f>
        <v>#VALUE!</v>
      </c>
      <c r="AG7" t="e">
        <f>AND(class!H6,"AAAAACuXryA=")</f>
        <v>#VALUE!</v>
      </c>
      <c r="AH7" t="e">
        <f>AND(class!I6,"AAAAACuXryE=")</f>
        <v>#VALUE!</v>
      </c>
      <c r="AI7" t="e">
        <f>AND(class!J6,"AAAAACuXryI=")</f>
        <v>#VALUE!</v>
      </c>
      <c r="AJ7" t="e">
        <f>AND(class!K6,"AAAAACuXryM=")</f>
        <v>#VALUE!</v>
      </c>
      <c r="AK7" t="e">
        <f>AND(class!L6,"AAAAACuXryQ=")</f>
        <v>#VALUE!</v>
      </c>
      <c r="AL7" t="e">
        <f>AND(class!M6,"AAAAACuXryU=")</f>
        <v>#VALUE!</v>
      </c>
      <c r="AM7" t="e">
        <f>AND(class!N6,"AAAAACuXryY=")</f>
        <v>#VALUE!</v>
      </c>
      <c r="AN7" t="e">
        <f>AND(class!O6,"AAAAACuXryc=")</f>
        <v>#VALUE!</v>
      </c>
      <c r="AO7" t="e">
        <f>AND(class!P6,"AAAAACuXryg=")</f>
        <v>#VALUE!</v>
      </c>
      <c r="AP7" t="e">
        <f>AND(class!Q6,"AAAAACuXryk=")</f>
        <v>#VALUE!</v>
      </c>
      <c r="AQ7" t="e">
        <f>AND(class!R6,"AAAAACuXryo=")</f>
        <v>#VALUE!</v>
      </c>
      <c r="AR7" t="e">
        <f>AND(class!S6,"AAAAACuXrys=")</f>
        <v>#VALUE!</v>
      </c>
      <c r="AS7" t="e">
        <f>AND(class!T6,"AAAAACuXryw=")</f>
        <v>#VALUE!</v>
      </c>
      <c r="AT7" t="e">
        <f>AND(class!U6,"AAAAACuXry0=")</f>
        <v>#VALUE!</v>
      </c>
      <c r="AU7" t="e">
        <f>AND(class!V6,"AAAAACuXry4=")</f>
        <v>#VALUE!</v>
      </c>
      <c r="AV7" t="e">
        <f>AND(class!W6,"AAAAACuXry8=")</f>
        <v>#VALUE!</v>
      </c>
      <c r="AW7" t="e">
        <f>AND(class!X6,"AAAAACuXrzA=")</f>
        <v>#VALUE!</v>
      </c>
      <c r="AX7" t="e">
        <f>AND(class!Y6,"AAAAACuXrzE=")</f>
        <v>#VALUE!</v>
      </c>
      <c r="AY7" t="e">
        <f>AND(class!Z6,"AAAAACuXrzI=")</f>
        <v>#VALUE!</v>
      </c>
      <c r="AZ7" t="e">
        <f>AND(class!AA6,"AAAAACuXrzM=")</f>
        <v>#VALUE!</v>
      </c>
      <c r="BA7" t="e">
        <f>AND(class!AB6,"AAAAACuXrzQ=")</f>
        <v>#VALUE!</v>
      </c>
      <c r="BB7" t="e">
        <f>AND(class!AC6,"AAAAACuXrzU=")</f>
        <v>#VALUE!</v>
      </c>
      <c r="BC7">
        <f>IF(class!7:7,"AAAAACuXrzY=",0)</f>
        <v>0</v>
      </c>
      <c r="BD7" t="e">
        <f>AND(class!A7,"AAAAACuXrzc=")</f>
        <v>#VALUE!</v>
      </c>
      <c r="BE7" t="e">
        <f>AND(class!B7,"AAAAACuXrzg=")</f>
        <v>#VALUE!</v>
      </c>
      <c r="BF7" t="e">
        <f>AND(class!C7,"AAAAACuXrzk=")</f>
        <v>#VALUE!</v>
      </c>
      <c r="BG7" t="e">
        <f>AND(class!D7,"AAAAACuXrzo=")</f>
        <v>#VALUE!</v>
      </c>
      <c r="BH7" t="e">
        <f>AND(class!E7,"AAAAACuXrzs=")</f>
        <v>#VALUE!</v>
      </c>
      <c r="BI7" t="e">
        <f>AND(class!F7,"AAAAACuXrzw=")</f>
        <v>#VALUE!</v>
      </c>
      <c r="BJ7" t="e">
        <f>AND(class!G7,"AAAAACuXrz0=")</f>
        <v>#VALUE!</v>
      </c>
      <c r="BK7" t="e">
        <f>AND(class!H7,"AAAAACuXrz4=")</f>
        <v>#VALUE!</v>
      </c>
      <c r="BL7" t="e">
        <f>AND(class!I7,"AAAAACuXrz8=")</f>
        <v>#VALUE!</v>
      </c>
      <c r="BM7" t="e">
        <f>AND(class!J7,"AAAAACuXr0A=")</f>
        <v>#VALUE!</v>
      </c>
      <c r="BN7" t="e">
        <f>AND(class!K7,"AAAAACuXr0E=")</f>
        <v>#VALUE!</v>
      </c>
      <c r="BO7" t="e">
        <f>AND(class!L7,"AAAAACuXr0I=")</f>
        <v>#VALUE!</v>
      </c>
      <c r="BP7" t="e">
        <f>AND(class!M7,"AAAAACuXr0M=")</f>
        <v>#VALUE!</v>
      </c>
      <c r="BQ7" t="e">
        <f>AND(class!N7,"AAAAACuXr0Q=")</f>
        <v>#VALUE!</v>
      </c>
      <c r="BR7" t="e">
        <f>AND(class!O7,"AAAAACuXr0U=")</f>
        <v>#VALUE!</v>
      </c>
      <c r="BS7" t="e">
        <f>AND(class!P7,"AAAAACuXr0Y=")</f>
        <v>#VALUE!</v>
      </c>
      <c r="BT7" t="e">
        <f>AND(class!Q7,"AAAAACuXr0c=")</f>
        <v>#VALUE!</v>
      </c>
      <c r="BU7" t="e">
        <f>AND(class!R7,"AAAAACuXr0g=")</f>
        <v>#VALUE!</v>
      </c>
      <c r="BV7" t="e">
        <f>AND(class!S7,"AAAAACuXr0k=")</f>
        <v>#VALUE!</v>
      </c>
      <c r="BW7" t="e">
        <f>AND(class!T7,"AAAAACuXr0o=")</f>
        <v>#VALUE!</v>
      </c>
      <c r="BX7" t="e">
        <f>AND(class!U7,"AAAAACuXr0s=")</f>
        <v>#VALUE!</v>
      </c>
      <c r="BY7" t="e">
        <f>AND(class!V7,"AAAAACuXr0w=")</f>
        <v>#VALUE!</v>
      </c>
      <c r="BZ7" t="e">
        <f>AND(class!W7,"AAAAACuXr00=")</f>
        <v>#VALUE!</v>
      </c>
      <c r="CA7" t="e">
        <f>AND(class!X7,"AAAAACuXr04=")</f>
        <v>#VALUE!</v>
      </c>
      <c r="CB7" t="e">
        <f>AND(class!Y7,"AAAAACuXr08=")</f>
        <v>#VALUE!</v>
      </c>
      <c r="CC7" t="e">
        <f>AND(class!Z7,"AAAAACuXr1A=")</f>
        <v>#VALUE!</v>
      </c>
      <c r="CD7" t="e">
        <f>AND(class!AA7,"AAAAACuXr1E=")</f>
        <v>#VALUE!</v>
      </c>
      <c r="CE7" t="e">
        <f>AND(class!AB7,"AAAAACuXr1I=")</f>
        <v>#VALUE!</v>
      </c>
      <c r="CF7" t="e">
        <f>AND(class!AC7,"AAAAACuXr1M=")</f>
        <v>#VALUE!</v>
      </c>
      <c r="CG7">
        <f>IF(class!8:8,"AAAAACuXr1Q=",0)</f>
        <v>0</v>
      </c>
      <c r="CH7" t="e">
        <f>AND(class!A8,"AAAAACuXr1U=")</f>
        <v>#VALUE!</v>
      </c>
      <c r="CI7" t="e">
        <f>AND(class!B8,"AAAAACuXr1Y=")</f>
        <v>#VALUE!</v>
      </c>
      <c r="CJ7" t="e">
        <f>AND(class!C8,"AAAAACuXr1c=")</f>
        <v>#VALUE!</v>
      </c>
      <c r="CK7" t="e">
        <f>AND(class!D8,"AAAAACuXr1g=")</f>
        <v>#VALUE!</v>
      </c>
      <c r="CL7" t="e">
        <f>AND(class!E8,"AAAAACuXr1k=")</f>
        <v>#VALUE!</v>
      </c>
      <c r="CM7" t="e">
        <f>AND(class!F8,"AAAAACuXr1o=")</f>
        <v>#VALUE!</v>
      </c>
      <c r="CN7" t="e">
        <f>AND(class!G8,"AAAAACuXr1s=")</f>
        <v>#VALUE!</v>
      </c>
      <c r="CO7" t="e">
        <f>AND(class!H8,"AAAAACuXr1w=")</f>
        <v>#VALUE!</v>
      </c>
      <c r="CP7" t="e">
        <f>AND(class!I8,"AAAAACuXr10=")</f>
        <v>#VALUE!</v>
      </c>
      <c r="CQ7" t="e">
        <f>AND(class!J8,"AAAAACuXr14=")</f>
        <v>#VALUE!</v>
      </c>
      <c r="CR7" t="e">
        <f>AND(class!K8,"AAAAACuXr18=")</f>
        <v>#VALUE!</v>
      </c>
      <c r="CS7" t="e">
        <f>AND(class!L8,"AAAAACuXr2A=")</f>
        <v>#VALUE!</v>
      </c>
      <c r="CT7" t="e">
        <f>AND(class!M8,"AAAAACuXr2E=")</f>
        <v>#VALUE!</v>
      </c>
      <c r="CU7" t="e">
        <f>AND(class!N8,"AAAAACuXr2I=")</f>
        <v>#VALUE!</v>
      </c>
      <c r="CV7" t="e">
        <f>AND(class!O8,"AAAAACuXr2M=")</f>
        <v>#VALUE!</v>
      </c>
      <c r="CW7" t="e">
        <f>AND(class!P8,"AAAAACuXr2Q=")</f>
        <v>#VALUE!</v>
      </c>
      <c r="CX7" t="e">
        <f>AND(class!Q8,"AAAAACuXr2U=")</f>
        <v>#VALUE!</v>
      </c>
      <c r="CY7" t="e">
        <f>AND(class!R8,"AAAAACuXr2Y=")</f>
        <v>#VALUE!</v>
      </c>
      <c r="CZ7" t="e">
        <f>AND(class!S8,"AAAAACuXr2c=")</f>
        <v>#VALUE!</v>
      </c>
      <c r="DA7" t="e">
        <f>AND(class!T8,"AAAAACuXr2g=")</f>
        <v>#VALUE!</v>
      </c>
      <c r="DB7" t="e">
        <f>AND(class!U8,"AAAAACuXr2k=")</f>
        <v>#VALUE!</v>
      </c>
      <c r="DC7" t="e">
        <f>AND(class!V8,"AAAAACuXr2o=")</f>
        <v>#VALUE!</v>
      </c>
      <c r="DD7" t="e">
        <f>AND(class!W8,"AAAAACuXr2s=")</f>
        <v>#VALUE!</v>
      </c>
      <c r="DE7" t="e">
        <f>AND(class!X8,"AAAAACuXr2w=")</f>
        <v>#VALUE!</v>
      </c>
      <c r="DF7" t="e">
        <f>AND(class!Y8,"AAAAACuXr20=")</f>
        <v>#VALUE!</v>
      </c>
      <c r="DG7" t="e">
        <f>AND(class!Z8,"AAAAACuXr24=")</f>
        <v>#VALUE!</v>
      </c>
      <c r="DH7" t="e">
        <f>AND(class!AA8,"AAAAACuXr28=")</f>
        <v>#VALUE!</v>
      </c>
      <c r="DI7" t="e">
        <f>AND(class!AB8,"AAAAACuXr3A=")</f>
        <v>#VALUE!</v>
      </c>
      <c r="DJ7" t="e">
        <f>AND(class!AC8,"AAAAACuXr3E=")</f>
        <v>#VALUE!</v>
      </c>
      <c r="DK7">
        <f>IF(class!9:9,"AAAAACuXr3I=",0)</f>
        <v>0</v>
      </c>
      <c r="DL7" t="e">
        <f>AND(class!A9,"AAAAACuXr3M=")</f>
        <v>#VALUE!</v>
      </c>
      <c r="DM7" t="e">
        <f>AND(class!B9,"AAAAACuXr3Q=")</f>
        <v>#VALUE!</v>
      </c>
      <c r="DN7" t="e">
        <f>AND(class!C9,"AAAAACuXr3U=")</f>
        <v>#VALUE!</v>
      </c>
      <c r="DO7" t="e">
        <f>AND(class!D9,"AAAAACuXr3Y=")</f>
        <v>#VALUE!</v>
      </c>
      <c r="DP7" t="e">
        <f>AND(class!E9,"AAAAACuXr3c=")</f>
        <v>#VALUE!</v>
      </c>
      <c r="DQ7" t="e">
        <f>AND(class!F9,"AAAAACuXr3g=")</f>
        <v>#VALUE!</v>
      </c>
      <c r="DR7" t="e">
        <f>AND(class!G9,"AAAAACuXr3k=")</f>
        <v>#VALUE!</v>
      </c>
      <c r="DS7" t="e">
        <f>AND(class!H9,"AAAAACuXr3o=")</f>
        <v>#VALUE!</v>
      </c>
      <c r="DT7" t="e">
        <f>AND(class!I9,"AAAAACuXr3s=")</f>
        <v>#VALUE!</v>
      </c>
      <c r="DU7" t="e">
        <f>AND(class!J9,"AAAAACuXr3w=")</f>
        <v>#VALUE!</v>
      </c>
      <c r="DV7" t="e">
        <f>AND(class!K9,"AAAAACuXr30=")</f>
        <v>#VALUE!</v>
      </c>
      <c r="DW7" t="e">
        <f>AND(class!L9,"AAAAACuXr34=")</f>
        <v>#VALUE!</v>
      </c>
      <c r="DX7" t="e">
        <f>AND(class!M9,"AAAAACuXr38=")</f>
        <v>#VALUE!</v>
      </c>
      <c r="DY7" t="e">
        <f>AND(class!N9,"AAAAACuXr4A=")</f>
        <v>#VALUE!</v>
      </c>
      <c r="DZ7" t="e">
        <f>AND(class!O9,"AAAAACuXr4E=")</f>
        <v>#VALUE!</v>
      </c>
      <c r="EA7" t="e">
        <f>AND(class!P9,"AAAAACuXr4I=")</f>
        <v>#VALUE!</v>
      </c>
      <c r="EB7" t="e">
        <f>AND(class!Q9,"AAAAACuXr4M=")</f>
        <v>#VALUE!</v>
      </c>
      <c r="EC7" t="e">
        <f>AND(class!R9,"AAAAACuXr4Q=")</f>
        <v>#VALUE!</v>
      </c>
      <c r="ED7" t="e">
        <f>AND(class!S9,"AAAAACuXr4U=")</f>
        <v>#VALUE!</v>
      </c>
      <c r="EE7" t="e">
        <f>AND(class!T9,"AAAAACuXr4Y=")</f>
        <v>#VALUE!</v>
      </c>
      <c r="EF7" t="e">
        <f>AND(class!U9,"AAAAACuXr4c=")</f>
        <v>#VALUE!</v>
      </c>
      <c r="EG7" t="e">
        <f>AND(class!V9,"AAAAACuXr4g=")</f>
        <v>#VALUE!</v>
      </c>
      <c r="EH7" t="e">
        <f>AND(class!W9,"AAAAACuXr4k=")</f>
        <v>#VALUE!</v>
      </c>
      <c r="EI7" t="e">
        <f>AND(class!X9,"AAAAACuXr4o=")</f>
        <v>#VALUE!</v>
      </c>
      <c r="EJ7" t="e">
        <f>AND(class!Y9,"AAAAACuXr4s=")</f>
        <v>#VALUE!</v>
      </c>
      <c r="EK7" t="e">
        <f>AND(class!Z9,"AAAAACuXr4w=")</f>
        <v>#VALUE!</v>
      </c>
      <c r="EL7" t="e">
        <f>AND(class!AA9,"AAAAACuXr40=")</f>
        <v>#VALUE!</v>
      </c>
      <c r="EM7" t="e">
        <f>AND(class!AB9,"AAAAACuXr44=")</f>
        <v>#VALUE!</v>
      </c>
      <c r="EN7" t="e">
        <f>AND(class!AC9,"AAAAACuXr48=")</f>
        <v>#VALUE!</v>
      </c>
      <c r="EO7">
        <f>IF(class!10:10,"AAAAACuXr5A=",0)</f>
        <v>0</v>
      </c>
      <c r="EP7" t="e">
        <f>AND(class!A10,"AAAAACuXr5E=")</f>
        <v>#VALUE!</v>
      </c>
      <c r="EQ7" t="e">
        <f>AND(class!B10,"AAAAACuXr5I=")</f>
        <v>#VALUE!</v>
      </c>
      <c r="ER7" t="e">
        <f>AND(class!C10,"AAAAACuXr5M=")</f>
        <v>#VALUE!</v>
      </c>
      <c r="ES7" t="e">
        <f>AND(class!D10,"AAAAACuXr5Q=")</f>
        <v>#VALUE!</v>
      </c>
      <c r="ET7" t="e">
        <f>AND(class!E10,"AAAAACuXr5U=")</f>
        <v>#VALUE!</v>
      </c>
      <c r="EU7" t="e">
        <f>AND(class!F10,"AAAAACuXr5Y=")</f>
        <v>#VALUE!</v>
      </c>
      <c r="EV7" t="e">
        <f>AND(class!G10,"AAAAACuXr5c=")</f>
        <v>#VALUE!</v>
      </c>
      <c r="EW7" t="e">
        <f>AND(class!H10,"AAAAACuXr5g=")</f>
        <v>#VALUE!</v>
      </c>
      <c r="EX7" t="e">
        <f>AND(class!I10,"AAAAACuXr5k=")</f>
        <v>#VALUE!</v>
      </c>
      <c r="EY7" t="e">
        <f>AND(class!J10,"AAAAACuXr5o=")</f>
        <v>#VALUE!</v>
      </c>
      <c r="EZ7" t="e">
        <f>AND(class!K10,"AAAAACuXr5s=")</f>
        <v>#VALUE!</v>
      </c>
      <c r="FA7" t="e">
        <f>AND(class!L10,"AAAAACuXr5w=")</f>
        <v>#VALUE!</v>
      </c>
      <c r="FB7" t="e">
        <f>AND(class!M10,"AAAAACuXr50=")</f>
        <v>#VALUE!</v>
      </c>
      <c r="FC7" t="e">
        <f>AND(class!N10,"AAAAACuXr54=")</f>
        <v>#VALUE!</v>
      </c>
      <c r="FD7" t="e">
        <f>AND(class!O10,"AAAAACuXr58=")</f>
        <v>#VALUE!</v>
      </c>
      <c r="FE7" t="e">
        <f>AND(class!P10,"AAAAACuXr6A=")</f>
        <v>#VALUE!</v>
      </c>
      <c r="FF7" t="e">
        <f>AND(class!Q10,"AAAAACuXr6E=")</f>
        <v>#VALUE!</v>
      </c>
      <c r="FG7" t="e">
        <f>AND(class!R10,"AAAAACuXr6I=")</f>
        <v>#VALUE!</v>
      </c>
      <c r="FH7" t="e">
        <f>AND(class!S10,"AAAAACuXr6M=")</f>
        <v>#VALUE!</v>
      </c>
      <c r="FI7" t="e">
        <f>AND(class!T10,"AAAAACuXr6Q=")</f>
        <v>#VALUE!</v>
      </c>
      <c r="FJ7" t="e">
        <f>AND(class!U10,"AAAAACuXr6U=")</f>
        <v>#VALUE!</v>
      </c>
      <c r="FK7" t="e">
        <f>AND(class!V10,"AAAAACuXr6Y=")</f>
        <v>#VALUE!</v>
      </c>
      <c r="FL7" t="e">
        <f>AND(class!W10,"AAAAACuXr6c=")</f>
        <v>#VALUE!</v>
      </c>
      <c r="FM7" t="e">
        <f>AND(class!X10,"AAAAACuXr6g=")</f>
        <v>#VALUE!</v>
      </c>
      <c r="FN7" t="e">
        <f>AND(class!Y10,"AAAAACuXr6k=")</f>
        <v>#VALUE!</v>
      </c>
      <c r="FO7" t="e">
        <f>AND(class!Z10,"AAAAACuXr6o=")</f>
        <v>#VALUE!</v>
      </c>
      <c r="FP7" t="e">
        <f>AND(class!AA10,"AAAAACuXr6s=")</f>
        <v>#VALUE!</v>
      </c>
      <c r="FQ7" t="e">
        <f>AND(class!AB10,"AAAAACuXr6w=")</f>
        <v>#VALUE!</v>
      </c>
      <c r="FR7" t="e">
        <f>AND(class!AC10,"AAAAACuXr60=")</f>
        <v>#VALUE!</v>
      </c>
      <c r="FS7">
        <f>IF(class!11:11,"AAAAACuXr64=",0)</f>
        <v>0</v>
      </c>
      <c r="FT7" t="e">
        <f>AND(class!A11,"AAAAACuXr68=")</f>
        <v>#VALUE!</v>
      </c>
      <c r="FU7" t="e">
        <f>AND(class!B11,"AAAAACuXr7A=")</f>
        <v>#VALUE!</v>
      </c>
      <c r="FV7" t="e">
        <f>AND(class!C11,"AAAAACuXr7E=")</f>
        <v>#VALUE!</v>
      </c>
      <c r="FW7" t="e">
        <f>AND(class!D11,"AAAAACuXr7I=")</f>
        <v>#VALUE!</v>
      </c>
      <c r="FX7" t="e">
        <f>AND(class!E11,"AAAAACuXr7M=")</f>
        <v>#VALUE!</v>
      </c>
      <c r="FY7" t="e">
        <f>AND(class!F11,"AAAAACuXr7Q=")</f>
        <v>#VALUE!</v>
      </c>
      <c r="FZ7" t="e">
        <f>AND(class!G11,"AAAAACuXr7U=")</f>
        <v>#VALUE!</v>
      </c>
      <c r="GA7" t="e">
        <f>AND(class!H11,"AAAAACuXr7Y=")</f>
        <v>#VALUE!</v>
      </c>
      <c r="GB7" t="e">
        <f>AND(class!I11,"AAAAACuXr7c=")</f>
        <v>#VALUE!</v>
      </c>
      <c r="GC7" t="e">
        <f>AND(class!J11,"AAAAACuXr7g=")</f>
        <v>#VALUE!</v>
      </c>
      <c r="GD7" t="e">
        <f>AND(class!K11,"AAAAACuXr7k=")</f>
        <v>#VALUE!</v>
      </c>
      <c r="GE7" t="e">
        <f>AND(class!L11,"AAAAACuXr7o=")</f>
        <v>#VALUE!</v>
      </c>
      <c r="GF7" t="e">
        <f>AND(class!M11,"AAAAACuXr7s=")</f>
        <v>#VALUE!</v>
      </c>
      <c r="GG7" t="e">
        <f>AND(class!N11,"AAAAACuXr7w=")</f>
        <v>#VALUE!</v>
      </c>
      <c r="GH7" t="e">
        <f>AND(class!O11,"AAAAACuXr70=")</f>
        <v>#VALUE!</v>
      </c>
      <c r="GI7" t="e">
        <f>AND(class!P11,"AAAAACuXr74=")</f>
        <v>#VALUE!</v>
      </c>
      <c r="GJ7" t="e">
        <f>AND(class!Q11,"AAAAACuXr78=")</f>
        <v>#VALUE!</v>
      </c>
      <c r="GK7" t="e">
        <f>AND(class!R11,"AAAAACuXr8A=")</f>
        <v>#VALUE!</v>
      </c>
      <c r="GL7" t="e">
        <f>AND(class!S11,"AAAAACuXr8E=")</f>
        <v>#VALUE!</v>
      </c>
      <c r="GM7" t="e">
        <f>AND(class!T11,"AAAAACuXr8I=")</f>
        <v>#VALUE!</v>
      </c>
      <c r="GN7" t="e">
        <f>AND(class!U11,"AAAAACuXr8M=")</f>
        <v>#VALUE!</v>
      </c>
      <c r="GO7" t="e">
        <f>AND(class!V11,"AAAAACuXr8Q=")</f>
        <v>#VALUE!</v>
      </c>
      <c r="GP7" t="e">
        <f>AND(class!W11,"AAAAACuXr8U=")</f>
        <v>#VALUE!</v>
      </c>
      <c r="GQ7" t="e">
        <f>AND(class!X11,"AAAAACuXr8Y=")</f>
        <v>#VALUE!</v>
      </c>
      <c r="GR7" t="e">
        <f>AND(class!Y11,"AAAAACuXr8c=")</f>
        <v>#VALUE!</v>
      </c>
      <c r="GS7" t="e">
        <f>AND(class!Z11,"AAAAACuXr8g=")</f>
        <v>#VALUE!</v>
      </c>
      <c r="GT7" t="e">
        <f>AND(class!AA11,"AAAAACuXr8k=")</f>
        <v>#VALUE!</v>
      </c>
      <c r="GU7" t="e">
        <f>AND(class!AB11,"AAAAACuXr8o=")</f>
        <v>#VALUE!</v>
      </c>
      <c r="GV7" t="e">
        <f>AND(class!AC11,"AAAAACuXr8s=")</f>
        <v>#VALUE!</v>
      </c>
      <c r="GW7">
        <f>IF(class!12:12,"AAAAACuXr8w=",0)</f>
        <v>0</v>
      </c>
      <c r="GX7" t="e">
        <f>AND(class!A12,"AAAAACuXr80=")</f>
        <v>#VALUE!</v>
      </c>
      <c r="GY7" t="e">
        <f>AND(class!B12,"AAAAACuXr84=")</f>
        <v>#VALUE!</v>
      </c>
      <c r="GZ7" t="e">
        <f>AND(class!C12,"AAAAACuXr88=")</f>
        <v>#VALUE!</v>
      </c>
      <c r="HA7" t="e">
        <f>AND(class!D12,"AAAAACuXr9A=")</f>
        <v>#VALUE!</v>
      </c>
      <c r="HB7" t="e">
        <f>AND(class!E12,"AAAAACuXr9E=")</f>
        <v>#VALUE!</v>
      </c>
      <c r="HC7" t="e">
        <f>AND(class!F12,"AAAAACuXr9I=")</f>
        <v>#VALUE!</v>
      </c>
      <c r="HD7" t="e">
        <f>AND(class!G12,"AAAAACuXr9M=")</f>
        <v>#VALUE!</v>
      </c>
      <c r="HE7" t="e">
        <f>AND(class!H12,"AAAAACuXr9Q=")</f>
        <v>#VALUE!</v>
      </c>
      <c r="HF7" t="e">
        <f>AND(class!I12,"AAAAACuXr9U=")</f>
        <v>#VALUE!</v>
      </c>
      <c r="HG7" t="e">
        <f>AND(class!J12,"AAAAACuXr9Y=")</f>
        <v>#VALUE!</v>
      </c>
      <c r="HH7" t="e">
        <f>AND(class!K12,"AAAAACuXr9c=")</f>
        <v>#VALUE!</v>
      </c>
      <c r="HI7" t="e">
        <f>AND(class!L12,"AAAAACuXr9g=")</f>
        <v>#VALUE!</v>
      </c>
      <c r="HJ7" t="e">
        <f>AND(class!M12,"AAAAACuXr9k=")</f>
        <v>#VALUE!</v>
      </c>
      <c r="HK7" t="e">
        <f>AND(class!N12,"AAAAACuXr9o=")</f>
        <v>#VALUE!</v>
      </c>
      <c r="HL7" t="e">
        <f>AND(class!O12,"AAAAACuXr9s=")</f>
        <v>#VALUE!</v>
      </c>
      <c r="HM7" t="e">
        <f>AND(class!P12,"AAAAACuXr9w=")</f>
        <v>#VALUE!</v>
      </c>
      <c r="HN7" t="e">
        <f>AND(class!Q12,"AAAAACuXr90=")</f>
        <v>#VALUE!</v>
      </c>
      <c r="HO7" t="e">
        <f>AND(class!R12,"AAAAACuXr94=")</f>
        <v>#VALUE!</v>
      </c>
      <c r="HP7" t="e">
        <f>AND(class!S12,"AAAAACuXr98=")</f>
        <v>#VALUE!</v>
      </c>
      <c r="HQ7" t="e">
        <f>AND(class!T12,"AAAAACuXr+A=")</f>
        <v>#VALUE!</v>
      </c>
      <c r="HR7" t="e">
        <f>AND(class!U12,"AAAAACuXr+E=")</f>
        <v>#VALUE!</v>
      </c>
      <c r="HS7" t="e">
        <f>AND(class!V12,"AAAAACuXr+I=")</f>
        <v>#VALUE!</v>
      </c>
      <c r="HT7" t="e">
        <f>AND(class!W12,"AAAAACuXr+M=")</f>
        <v>#VALUE!</v>
      </c>
      <c r="HU7" t="e">
        <f>AND(class!X12,"AAAAACuXr+Q=")</f>
        <v>#VALUE!</v>
      </c>
      <c r="HV7" t="e">
        <f>AND(class!Y12,"AAAAACuXr+U=")</f>
        <v>#VALUE!</v>
      </c>
      <c r="HW7" t="e">
        <f>AND(class!Z12,"AAAAACuXr+Y=")</f>
        <v>#VALUE!</v>
      </c>
      <c r="HX7" t="e">
        <f>AND(class!AA12,"AAAAACuXr+c=")</f>
        <v>#VALUE!</v>
      </c>
      <c r="HY7" t="e">
        <f>AND(class!AB12,"AAAAACuXr+g=")</f>
        <v>#VALUE!</v>
      </c>
      <c r="HZ7" t="e">
        <f>AND(class!AC12,"AAAAACuXr+k=")</f>
        <v>#VALUE!</v>
      </c>
      <c r="IA7">
        <f>IF(class!13:13,"AAAAACuXr+o=",0)</f>
        <v>0</v>
      </c>
      <c r="IB7" t="e">
        <f>AND(class!A13,"AAAAACuXr+s=")</f>
        <v>#VALUE!</v>
      </c>
      <c r="IC7" t="e">
        <f>AND(class!B13,"AAAAACuXr+w=")</f>
        <v>#VALUE!</v>
      </c>
      <c r="ID7" t="e">
        <f>AND(class!C13,"AAAAACuXr+0=")</f>
        <v>#VALUE!</v>
      </c>
      <c r="IE7" t="e">
        <f>AND(class!D13,"AAAAACuXr+4=")</f>
        <v>#VALUE!</v>
      </c>
      <c r="IF7" t="e">
        <f>AND(class!E13,"AAAAACuXr+8=")</f>
        <v>#VALUE!</v>
      </c>
      <c r="IG7" t="e">
        <f>AND(class!F13,"AAAAACuXr/A=")</f>
        <v>#VALUE!</v>
      </c>
      <c r="IH7" t="e">
        <f>AND(class!G13,"AAAAACuXr/E=")</f>
        <v>#VALUE!</v>
      </c>
      <c r="II7" t="e">
        <f>AND(class!H13,"AAAAACuXr/I=")</f>
        <v>#VALUE!</v>
      </c>
      <c r="IJ7" t="e">
        <f>AND(class!I13,"AAAAACuXr/M=")</f>
        <v>#VALUE!</v>
      </c>
      <c r="IK7" t="e">
        <f>AND(class!J13,"AAAAACuXr/Q=")</f>
        <v>#VALUE!</v>
      </c>
      <c r="IL7" t="e">
        <f>AND(class!K13,"AAAAACuXr/U=")</f>
        <v>#VALUE!</v>
      </c>
      <c r="IM7" t="e">
        <f>AND(class!L13,"AAAAACuXr/Y=")</f>
        <v>#VALUE!</v>
      </c>
      <c r="IN7" t="e">
        <f>AND(class!M13,"AAAAACuXr/c=")</f>
        <v>#VALUE!</v>
      </c>
      <c r="IO7" t="e">
        <f>AND(class!N13,"AAAAACuXr/g=")</f>
        <v>#VALUE!</v>
      </c>
      <c r="IP7" t="e">
        <f>AND(class!O13,"AAAAACuXr/k=")</f>
        <v>#VALUE!</v>
      </c>
      <c r="IQ7" t="e">
        <f>AND(class!P13,"AAAAACuXr/o=")</f>
        <v>#VALUE!</v>
      </c>
      <c r="IR7" t="e">
        <f>AND(class!Q13,"AAAAACuXr/s=")</f>
        <v>#VALUE!</v>
      </c>
      <c r="IS7" t="e">
        <f>AND(class!R13,"AAAAACuXr/w=")</f>
        <v>#VALUE!</v>
      </c>
      <c r="IT7" t="e">
        <f>AND(class!S13,"AAAAACuXr/0=")</f>
        <v>#VALUE!</v>
      </c>
      <c r="IU7" t="e">
        <f>AND(class!T13,"AAAAACuXr/4=")</f>
        <v>#VALUE!</v>
      </c>
      <c r="IV7" t="e">
        <f>AND(class!U13,"AAAAACuXr/8=")</f>
        <v>#VALUE!</v>
      </c>
    </row>
    <row r="8" spans="1:256" x14ac:dyDescent="0.2">
      <c r="A8" t="e">
        <f>AND(class!V13,"AAAAAH9//wA=")</f>
        <v>#VALUE!</v>
      </c>
      <c r="B8" t="e">
        <f>AND(class!W13,"AAAAAH9//wE=")</f>
        <v>#VALUE!</v>
      </c>
      <c r="C8" t="e">
        <f>AND(class!X13,"AAAAAH9//wI=")</f>
        <v>#VALUE!</v>
      </c>
      <c r="D8" t="e">
        <f>AND(class!Y13,"AAAAAH9//wM=")</f>
        <v>#VALUE!</v>
      </c>
      <c r="E8" t="e">
        <f>AND(class!Z13,"AAAAAH9//wQ=")</f>
        <v>#VALUE!</v>
      </c>
      <c r="F8" t="e">
        <f>AND(class!AA13,"AAAAAH9//wU=")</f>
        <v>#VALUE!</v>
      </c>
      <c r="G8" t="e">
        <f>AND(class!AB13,"AAAAAH9//wY=")</f>
        <v>#VALUE!</v>
      </c>
      <c r="H8" t="e">
        <f>AND(class!AC13,"AAAAAH9//wc=")</f>
        <v>#VALUE!</v>
      </c>
      <c r="I8" t="e">
        <f>IF(class!14:14,"AAAAAH9//wg=",0)</f>
        <v>#VALUE!</v>
      </c>
      <c r="J8" t="e">
        <f>AND(class!A14,"AAAAAH9//wk=")</f>
        <v>#VALUE!</v>
      </c>
      <c r="K8" t="e">
        <f>AND(class!B14,"AAAAAH9//wo=")</f>
        <v>#VALUE!</v>
      </c>
      <c r="L8" t="e">
        <f>AND(class!C14,"AAAAAH9//ws=")</f>
        <v>#VALUE!</v>
      </c>
      <c r="M8" t="e">
        <f>AND(class!D14,"AAAAAH9//ww=")</f>
        <v>#VALUE!</v>
      </c>
      <c r="N8" t="e">
        <f>AND(class!E14,"AAAAAH9//w0=")</f>
        <v>#VALUE!</v>
      </c>
      <c r="O8" t="e">
        <f>AND(class!F14,"AAAAAH9//w4=")</f>
        <v>#VALUE!</v>
      </c>
      <c r="P8" t="e">
        <f>AND(class!G14,"AAAAAH9//w8=")</f>
        <v>#VALUE!</v>
      </c>
      <c r="Q8" t="e">
        <f>AND(class!H14,"AAAAAH9//xA=")</f>
        <v>#VALUE!</v>
      </c>
      <c r="R8" t="e">
        <f>AND(class!I14,"AAAAAH9//xE=")</f>
        <v>#VALUE!</v>
      </c>
      <c r="S8" t="e">
        <f>AND(class!J14,"AAAAAH9//xI=")</f>
        <v>#VALUE!</v>
      </c>
      <c r="T8" t="e">
        <f>AND(class!K14,"AAAAAH9//xM=")</f>
        <v>#VALUE!</v>
      </c>
      <c r="U8" t="e">
        <f>AND(class!L14,"AAAAAH9//xQ=")</f>
        <v>#VALUE!</v>
      </c>
      <c r="V8" t="e">
        <f>AND(class!M14,"AAAAAH9//xU=")</f>
        <v>#VALUE!</v>
      </c>
      <c r="W8" t="e">
        <f>AND(class!N14,"AAAAAH9//xY=")</f>
        <v>#VALUE!</v>
      </c>
      <c r="X8" t="e">
        <f>AND(class!O14,"AAAAAH9//xc=")</f>
        <v>#VALUE!</v>
      </c>
      <c r="Y8" t="e">
        <f>AND(class!P14,"AAAAAH9//xg=")</f>
        <v>#VALUE!</v>
      </c>
      <c r="Z8" t="e">
        <f>AND(class!Q14,"AAAAAH9//xk=")</f>
        <v>#VALUE!</v>
      </c>
      <c r="AA8" t="e">
        <f>AND(class!R14,"AAAAAH9//xo=")</f>
        <v>#VALUE!</v>
      </c>
      <c r="AB8" t="e">
        <f>AND(class!S14,"AAAAAH9//xs=")</f>
        <v>#VALUE!</v>
      </c>
      <c r="AC8" t="e">
        <f>AND(class!T14,"AAAAAH9//xw=")</f>
        <v>#VALUE!</v>
      </c>
      <c r="AD8" t="e">
        <f>AND(class!U14,"AAAAAH9//x0=")</f>
        <v>#VALUE!</v>
      </c>
      <c r="AE8" t="e">
        <f>AND(class!V14,"AAAAAH9//x4=")</f>
        <v>#VALUE!</v>
      </c>
      <c r="AF8" t="e">
        <f>AND(class!W14,"AAAAAH9//x8=")</f>
        <v>#VALUE!</v>
      </c>
      <c r="AG8" t="e">
        <f>AND(class!X14,"AAAAAH9//yA=")</f>
        <v>#VALUE!</v>
      </c>
      <c r="AH8" t="e">
        <f>AND(class!Y14,"AAAAAH9//yE=")</f>
        <v>#VALUE!</v>
      </c>
      <c r="AI8" t="e">
        <f>AND(class!Z14,"AAAAAH9//yI=")</f>
        <v>#VALUE!</v>
      </c>
      <c r="AJ8" t="e">
        <f>AND(class!AA14,"AAAAAH9//yM=")</f>
        <v>#VALUE!</v>
      </c>
      <c r="AK8" t="e">
        <f>AND(class!AB14,"AAAAAH9//yQ=")</f>
        <v>#VALUE!</v>
      </c>
      <c r="AL8" t="e">
        <f>AND(class!AC14,"AAAAAH9//yU=")</f>
        <v>#VALUE!</v>
      </c>
      <c r="AM8">
        <f>IF(class!15:15,"AAAAAH9//yY=",0)</f>
        <v>0</v>
      </c>
      <c r="AN8" t="e">
        <f>AND(class!A15,"AAAAAH9//yc=")</f>
        <v>#VALUE!</v>
      </c>
      <c r="AO8" t="e">
        <f>AND(class!B15,"AAAAAH9//yg=")</f>
        <v>#VALUE!</v>
      </c>
      <c r="AP8" t="e">
        <f>AND(class!C15,"AAAAAH9//yk=")</f>
        <v>#VALUE!</v>
      </c>
      <c r="AQ8" t="e">
        <f>AND(class!D15,"AAAAAH9//yo=")</f>
        <v>#VALUE!</v>
      </c>
      <c r="AR8" t="e">
        <f>AND(class!E15,"AAAAAH9//ys=")</f>
        <v>#VALUE!</v>
      </c>
      <c r="AS8" t="e">
        <f>AND(class!F15,"AAAAAH9//yw=")</f>
        <v>#VALUE!</v>
      </c>
      <c r="AT8" t="e">
        <f>AND(class!G15,"AAAAAH9//y0=")</f>
        <v>#VALUE!</v>
      </c>
      <c r="AU8" t="e">
        <f>AND(class!H15,"AAAAAH9//y4=")</f>
        <v>#VALUE!</v>
      </c>
      <c r="AV8" t="e">
        <f>AND(class!I15,"AAAAAH9//y8=")</f>
        <v>#VALUE!</v>
      </c>
      <c r="AW8" t="e">
        <f>AND(class!J15,"AAAAAH9//zA=")</f>
        <v>#VALUE!</v>
      </c>
      <c r="AX8" t="e">
        <f>AND(class!K15,"AAAAAH9//zE=")</f>
        <v>#VALUE!</v>
      </c>
      <c r="AY8" t="e">
        <f>AND(class!L15,"AAAAAH9//zI=")</f>
        <v>#VALUE!</v>
      </c>
      <c r="AZ8" t="e">
        <f>AND(class!M15,"AAAAAH9//zM=")</f>
        <v>#VALUE!</v>
      </c>
      <c r="BA8" t="e">
        <f>AND(class!N15,"AAAAAH9//zQ=")</f>
        <v>#VALUE!</v>
      </c>
      <c r="BB8" t="e">
        <f>AND(class!O15,"AAAAAH9//zU=")</f>
        <v>#VALUE!</v>
      </c>
      <c r="BC8" t="e">
        <f>AND(class!P15,"AAAAAH9//zY=")</f>
        <v>#VALUE!</v>
      </c>
      <c r="BD8" t="e">
        <f>AND(class!Q15,"AAAAAH9//zc=")</f>
        <v>#VALUE!</v>
      </c>
      <c r="BE8" t="e">
        <f>AND(class!R15,"AAAAAH9//zg=")</f>
        <v>#VALUE!</v>
      </c>
      <c r="BF8" t="e">
        <f>AND(class!S15,"AAAAAH9//zk=")</f>
        <v>#VALUE!</v>
      </c>
      <c r="BG8" t="e">
        <f>AND(class!T15,"AAAAAH9//zo=")</f>
        <v>#VALUE!</v>
      </c>
      <c r="BH8" t="e">
        <f>AND(class!U15,"AAAAAH9//zs=")</f>
        <v>#VALUE!</v>
      </c>
      <c r="BI8" t="e">
        <f>AND(class!V15,"AAAAAH9//zw=")</f>
        <v>#VALUE!</v>
      </c>
      <c r="BJ8" t="e">
        <f>AND(class!W15,"AAAAAH9//z0=")</f>
        <v>#VALUE!</v>
      </c>
      <c r="BK8" t="e">
        <f>AND(class!X15,"AAAAAH9//z4=")</f>
        <v>#VALUE!</v>
      </c>
      <c r="BL8" t="e">
        <f>AND(class!Y15,"AAAAAH9//z8=")</f>
        <v>#VALUE!</v>
      </c>
      <c r="BM8" t="e">
        <f>AND(class!Z15,"AAAAAH9//0A=")</f>
        <v>#VALUE!</v>
      </c>
      <c r="BN8" t="e">
        <f>AND(class!AA15,"AAAAAH9//0E=")</f>
        <v>#VALUE!</v>
      </c>
      <c r="BO8" t="e">
        <f>AND(class!AB15,"AAAAAH9//0I=")</f>
        <v>#VALUE!</v>
      </c>
      <c r="BP8" t="e">
        <f>AND(class!AC15,"AAAAAH9//0M=")</f>
        <v>#VALUE!</v>
      </c>
      <c r="BQ8">
        <f>IF(class!16:16,"AAAAAH9//0Q=",0)</f>
        <v>0</v>
      </c>
      <c r="BR8" t="e">
        <f>AND(class!A16,"AAAAAH9//0U=")</f>
        <v>#VALUE!</v>
      </c>
      <c r="BS8" t="e">
        <f>AND(class!B16,"AAAAAH9//0Y=")</f>
        <v>#VALUE!</v>
      </c>
      <c r="BT8" t="e">
        <f>AND(class!C16,"AAAAAH9//0c=")</f>
        <v>#VALUE!</v>
      </c>
      <c r="BU8" t="e">
        <f>AND(class!D16,"AAAAAH9//0g=")</f>
        <v>#VALUE!</v>
      </c>
      <c r="BV8" t="e">
        <f>AND(class!E16,"AAAAAH9//0k=")</f>
        <v>#VALUE!</v>
      </c>
      <c r="BW8" t="e">
        <f>AND(class!F16,"AAAAAH9//0o=")</f>
        <v>#VALUE!</v>
      </c>
      <c r="BX8" t="e">
        <f>AND(class!G16,"AAAAAH9//0s=")</f>
        <v>#VALUE!</v>
      </c>
      <c r="BY8" t="e">
        <f>AND(class!H16,"AAAAAH9//0w=")</f>
        <v>#VALUE!</v>
      </c>
      <c r="BZ8" t="e">
        <f>AND(class!I16,"AAAAAH9//00=")</f>
        <v>#VALUE!</v>
      </c>
      <c r="CA8" t="e">
        <f>AND(class!J16,"AAAAAH9//04=")</f>
        <v>#VALUE!</v>
      </c>
      <c r="CB8" t="e">
        <f>AND(class!K16,"AAAAAH9//08=")</f>
        <v>#VALUE!</v>
      </c>
      <c r="CC8" t="e">
        <f>AND(class!L16,"AAAAAH9//1A=")</f>
        <v>#VALUE!</v>
      </c>
      <c r="CD8" t="e">
        <f>AND(class!M16,"AAAAAH9//1E=")</f>
        <v>#VALUE!</v>
      </c>
      <c r="CE8" t="e">
        <f>AND(class!N16,"AAAAAH9//1I=")</f>
        <v>#VALUE!</v>
      </c>
      <c r="CF8" t="e">
        <f>AND(class!O16,"AAAAAH9//1M=")</f>
        <v>#VALUE!</v>
      </c>
      <c r="CG8" t="e">
        <f>AND(class!P16,"AAAAAH9//1Q=")</f>
        <v>#VALUE!</v>
      </c>
      <c r="CH8" t="e">
        <f>AND(class!Q16,"AAAAAH9//1U=")</f>
        <v>#VALUE!</v>
      </c>
      <c r="CI8" t="e">
        <f>AND(class!R16,"AAAAAH9//1Y=")</f>
        <v>#VALUE!</v>
      </c>
      <c r="CJ8" t="e">
        <f>AND(class!S16,"AAAAAH9//1c=")</f>
        <v>#VALUE!</v>
      </c>
      <c r="CK8" t="e">
        <f>AND(class!T16,"AAAAAH9//1g=")</f>
        <v>#VALUE!</v>
      </c>
      <c r="CL8" t="e">
        <f>AND(class!U16,"AAAAAH9//1k=")</f>
        <v>#VALUE!</v>
      </c>
      <c r="CM8" t="e">
        <f>AND(class!V16,"AAAAAH9//1o=")</f>
        <v>#VALUE!</v>
      </c>
      <c r="CN8" t="e">
        <f>AND(class!W16,"AAAAAH9//1s=")</f>
        <v>#VALUE!</v>
      </c>
      <c r="CO8" t="e">
        <f>AND(class!X16,"AAAAAH9//1w=")</f>
        <v>#VALUE!</v>
      </c>
      <c r="CP8" t="e">
        <f>AND(class!Y16,"AAAAAH9//10=")</f>
        <v>#VALUE!</v>
      </c>
      <c r="CQ8" t="e">
        <f>AND(class!Z16,"AAAAAH9//14=")</f>
        <v>#VALUE!</v>
      </c>
      <c r="CR8" t="e">
        <f>AND(class!AA16,"AAAAAH9//18=")</f>
        <v>#VALUE!</v>
      </c>
      <c r="CS8" t="e">
        <f>AND(class!AB16,"AAAAAH9//2A=")</f>
        <v>#VALUE!</v>
      </c>
      <c r="CT8" t="e">
        <f>AND(class!AC16,"AAAAAH9//2E=")</f>
        <v>#VALUE!</v>
      </c>
      <c r="CU8">
        <f>IF(class!17:17,"AAAAAH9//2I=",0)</f>
        <v>0</v>
      </c>
      <c r="CV8" t="e">
        <f>AND(class!A17,"AAAAAH9//2M=")</f>
        <v>#VALUE!</v>
      </c>
      <c r="CW8" t="e">
        <f>AND(class!B17,"AAAAAH9//2Q=")</f>
        <v>#VALUE!</v>
      </c>
      <c r="CX8" t="e">
        <f>AND(class!C17,"AAAAAH9//2U=")</f>
        <v>#VALUE!</v>
      </c>
      <c r="CY8" t="e">
        <f>AND(class!D17,"AAAAAH9//2Y=")</f>
        <v>#VALUE!</v>
      </c>
      <c r="CZ8" t="e">
        <f>AND(class!E17,"AAAAAH9//2c=")</f>
        <v>#VALUE!</v>
      </c>
      <c r="DA8" t="e">
        <f>AND(class!F17,"AAAAAH9//2g=")</f>
        <v>#VALUE!</v>
      </c>
      <c r="DB8" t="e">
        <f>AND(class!G17,"AAAAAH9//2k=")</f>
        <v>#VALUE!</v>
      </c>
      <c r="DC8" t="e">
        <f>AND(class!H17,"AAAAAH9//2o=")</f>
        <v>#VALUE!</v>
      </c>
      <c r="DD8" t="e">
        <f>AND(class!I17,"AAAAAH9//2s=")</f>
        <v>#VALUE!</v>
      </c>
      <c r="DE8" t="e">
        <f>AND(class!J17,"AAAAAH9//2w=")</f>
        <v>#VALUE!</v>
      </c>
      <c r="DF8" t="e">
        <f>AND(class!K17,"AAAAAH9//20=")</f>
        <v>#VALUE!</v>
      </c>
      <c r="DG8" t="e">
        <f>AND(class!L17,"AAAAAH9//24=")</f>
        <v>#VALUE!</v>
      </c>
      <c r="DH8" t="e">
        <f>AND(class!M17,"AAAAAH9//28=")</f>
        <v>#VALUE!</v>
      </c>
      <c r="DI8" t="e">
        <f>AND(class!N17,"AAAAAH9//3A=")</f>
        <v>#VALUE!</v>
      </c>
      <c r="DJ8" t="e">
        <f>AND(class!O17,"AAAAAH9//3E=")</f>
        <v>#VALUE!</v>
      </c>
      <c r="DK8" t="e">
        <f>AND(class!P17,"AAAAAH9//3I=")</f>
        <v>#VALUE!</v>
      </c>
      <c r="DL8" t="e">
        <f>AND(class!Q17,"AAAAAH9//3M=")</f>
        <v>#VALUE!</v>
      </c>
      <c r="DM8" t="e">
        <f>AND(class!R17,"AAAAAH9//3Q=")</f>
        <v>#VALUE!</v>
      </c>
      <c r="DN8" t="e">
        <f>AND(class!S17,"AAAAAH9//3U=")</f>
        <v>#VALUE!</v>
      </c>
      <c r="DO8" t="e">
        <f>AND(class!T17,"AAAAAH9//3Y=")</f>
        <v>#VALUE!</v>
      </c>
      <c r="DP8" t="e">
        <f>AND(class!U17,"AAAAAH9//3c=")</f>
        <v>#VALUE!</v>
      </c>
      <c r="DQ8" t="e">
        <f>AND(class!V17,"AAAAAH9//3g=")</f>
        <v>#VALUE!</v>
      </c>
      <c r="DR8" t="e">
        <f>AND(class!W17,"AAAAAH9//3k=")</f>
        <v>#VALUE!</v>
      </c>
      <c r="DS8" t="e">
        <f>AND(class!X17,"AAAAAH9//3o=")</f>
        <v>#VALUE!</v>
      </c>
      <c r="DT8" t="e">
        <f>AND(class!Y17,"AAAAAH9//3s=")</f>
        <v>#VALUE!</v>
      </c>
      <c r="DU8" t="e">
        <f>AND(class!Z17,"AAAAAH9//3w=")</f>
        <v>#VALUE!</v>
      </c>
      <c r="DV8" t="e">
        <f>AND(class!AA17,"AAAAAH9//30=")</f>
        <v>#VALUE!</v>
      </c>
      <c r="DW8" t="e">
        <f>AND(class!AB17,"AAAAAH9//34=")</f>
        <v>#VALUE!</v>
      </c>
      <c r="DX8" t="e">
        <f>AND(class!AC17,"AAAAAH9//38=")</f>
        <v>#VALUE!</v>
      </c>
      <c r="DY8">
        <f>IF(class!18:18,"AAAAAH9//4A=",0)</f>
        <v>0</v>
      </c>
      <c r="DZ8" t="e">
        <f>AND(class!A18,"AAAAAH9//4E=")</f>
        <v>#VALUE!</v>
      </c>
      <c r="EA8" t="e">
        <f>AND(class!B18,"AAAAAH9//4I=")</f>
        <v>#VALUE!</v>
      </c>
      <c r="EB8" t="e">
        <f>AND(class!C18,"AAAAAH9//4M=")</f>
        <v>#VALUE!</v>
      </c>
      <c r="EC8" t="e">
        <f>AND(class!D18,"AAAAAH9//4Q=")</f>
        <v>#VALUE!</v>
      </c>
      <c r="ED8" t="e">
        <f>AND(class!E18,"AAAAAH9//4U=")</f>
        <v>#VALUE!</v>
      </c>
      <c r="EE8" t="e">
        <f>AND(class!F18,"AAAAAH9//4Y=")</f>
        <v>#VALUE!</v>
      </c>
      <c r="EF8" t="e">
        <f>AND(class!G18,"AAAAAH9//4c=")</f>
        <v>#VALUE!</v>
      </c>
      <c r="EG8" t="e">
        <f>AND(class!H18,"AAAAAH9//4g=")</f>
        <v>#VALUE!</v>
      </c>
      <c r="EH8" t="e">
        <f>AND(class!I18,"AAAAAH9//4k=")</f>
        <v>#VALUE!</v>
      </c>
      <c r="EI8" t="e">
        <f>AND(class!J18,"AAAAAH9//4o=")</f>
        <v>#VALUE!</v>
      </c>
      <c r="EJ8" t="e">
        <f>AND(class!K18,"AAAAAH9//4s=")</f>
        <v>#VALUE!</v>
      </c>
      <c r="EK8" t="e">
        <f>AND(class!L18,"AAAAAH9//4w=")</f>
        <v>#VALUE!</v>
      </c>
      <c r="EL8" t="e">
        <f>AND(class!M18,"AAAAAH9//40=")</f>
        <v>#VALUE!</v>
      </c>
      <c r="EM8" t="e">
        <f>AND(class!N18,"AAAAAH9//44=")</f>
        <v>#VALUE!</v>
      </c>
      <c r="EN8" t="e">
        <f>AND(class!O18,"AAAAAH9//48=")</f>
        <v>#VALUE!</v>
      </c>
      <c r="EO8" t="e">
        <f>AND(class!P18,"AAAAAH9//5A=")</f>
        <v>#VALUE!</v>
      </c>
      <c r="EP8" t="e">
        <f>AND(class!Q18,"AAAAAH9//5E=")</f>
        <v>#VALUE!</v>
      </c>
      <c r="EQ8" t="e">
        <f>AND(class!R18,"AAAAAH9//5I=")</f>
        <v>#VALUE!</v>
      </c>
      <c r="ER8" t="e">
        <f>AND(class!S18,"AAAAAH9//5M=")</f>
        <v>#VALUE!</v>
      </c>
      <c r="ES8" t="e">
        <f>AND(class!T18,"AAAAAH9//5Q=")</f>
        <v>#VALUE!</v>
      </c>
      <c r="ET8" t="e">
        <f>AND(class!U18,"AAAAAH9//5U=")</f>
        <v>#VALUE!</v>
      </c>
      <c r="EU8" t="e">
        <f>AND(class!V18,"AAAAAH9//5Y=")</f>
        <v>#VALUE!</v>
      </c>
      <c r="EV8" t="e">
        <f>AND(class!W18,"AAAAAH9//5c=")</f>
        <v>#VALUE!</v>
      </c>
      <c r="EW8" t="e">
        <f>AND(class!X18,"AAAAAH9//5g=")</f>
        <v>#VALUE!</v>
      </c>
      <c r="EX8" t="e">
        <f>AND(class!Y18,"AAAAAH9//5k=")</f>
        <v>#VALUE!</v>
      </c>
      <c r="EY8" t="e">
        <f>AND(class!Z18,"AAAAAH9//5o=")</f>
        <v>#VALUE!</v>
      </c>
      <c r="EZ8" t="e">
        <f>AND(class!AA18,"AAAAAH9//5s=")</f>
        <v>#VALUE!</v>
      </c>
      <c r="FA8" t="e">
        <f>AND(class!AB18,"AAAAAH9//5w=")</f>
        <v>#VALUE!</v>
      </c>
      <c r="FB8" t="e">
        <f>AND(class!AC18,"AAAAAH9//50=")</f>
        <v>#VALUE!</v>
      </c>
      <c r="FC8">
        <f>IF(class!19:19,"AAAAAH9//54=",0)</f>
        <v>0</v>
      </c>
      <c r="FD8" t="e">
        <f>AND(class!A19,"AAAAAH9//58=")</f>
        <v>#VALUE!</v>
      </c>
      <c r="FE8" t="e">
        <f>AND(class!B19,"AAAAAH9//6A=")</f>
        <v>#VALUE!</v>
      </c>
      <c r="FF8" t="e">
        <f>AND(class!C19,"AAAAAH9//6E=")</f>
        <v>#VALUE!</v>
      </c>
      <c r="FG8" t="e">
        <f>AND(class!D19,"AAAAAH9//6I=")</f>
        <v>#VALUE!</v>
      </c>
      <c r="FH8" t="e">
        <f>AND(class!E19,"AAAAAH9//6M=")</f>
        <v>#VALUE!</v>
      </c>
      <c r="FI8" t="e">
        <f>AND(class!F19,"AAAAAH9//6Q=")</f>
        <v>#VALUE!</v>
      </c>
      <c r="FJ8" t="e">
        <f>AND(class!G19,"AAAAAH9//6U=")</f>
        <v>#VALUE!</v>
      </c>
      <c r="FK8" t="e">
        <f>AND(class!H19,"AAAAAH9//6Y=")</f>
        <v>#VALUE!</v>
      </c>
      <c r="FL8" t="e">
        <f>AND(class!I19,"AAAAAH9//6c=")</f>
        <v>#VALUE!</v>
      </c>
      <c r="FM8" t="e">
        <f>AND(class!J19,"AAAAAH9//6g=")</f>
        <v>#VALUE!</v>
      </c>
      <c r="FN8" t="e">
        <f>AND(class!K19,"AAAAAH9//6k=")</f>
        <v>#VALUE!</v>
      </c>
      <c r="FO8" t="e">
        <f>AND(class!L19,"AAAAAH9//6o=")</f>
        <v>#VALUE!</v>
      </c>
      <c r="FP8" t="e">
        <f>AND(class!M19,"AAAAAH9//6s=")</f>
        <v>#VALUE!</v>
      </c>
      <c r="FQ8" t="e">
        <f>AND(class!N19,"AAAAAH9//6w=")</f>
        <v>#VALUE!</v>
      </c>
      <c r="FR8" t="e">
        <f>AND(class!O19,"AAAAAH9//60=")</f>
        <v>#VALUE!</v>
      </c>
      <c r="FS8" t="e">
        <f>AND(class!P19,"AAAAAH9//64=")</f>
        <v>#VALUE!</v>
      </c>
      <c r="FT8" t="e">
        <f>AND(class!Q19,"AAAAAH9//68=")</f>
        <v>#VALUE!</v>
      </c>
      <c r="FU8" t="e">
        <f>AND(class!R19,"AAAAAH9//7A=")</f>
        <v>#VALUE!</v>
      </c>
      <c r="FV8" t="e">
        <f>AND(class!S19,"AAAAAH9//7E=")</f>
        <v>#VALUE!</v>
      </c>
      <c r="FW8" t="e">
        <f>AND(class!T19,"AAAAAH9//7I=")</f>
        <v>#VALUE!</v>
      </c>
      <c r="FX8" t="e">
        <f>AND(class!U19,"AAAAAH9//7M=")</f>
        <v>#VALUE!</v>
      </c>
      <c r="FY8" t="e">
        <f>AND(class!V19,"AAAAAH9//7Q=")</f>
        <v>#VALUE!</v>
      </c>
      <c r="FZ8" t="e">
        <f>AND(class!W19,"AAAAAH9//7U=")</f>
        <v>#VALUE!</v>
      </c>
      <c r="GA8" t="e">
        <f>AND(class!X19,"AAAAAH9//7Y=")</f>
        <v>#VALUE!</v>
      </c>
      <c r="GB8" t="e">
        <f>AND(class!Y19,"AAAAAH9//7c=")</f>
        <v>#VALUE!</v>
      </c>
      <c r="GC8" t="e">
        <f>AND(class!Z19,"AAAAAH9//7g=")</f>
        <v>#VALUE!</v>
      </c>
      <c r="GD8" t="e">
        <f>AND(class!AA19,"AAAAAH9//7k=")</f>
        <v>#VALUE!</v>
      </c>
      <c r="GE8" t="e">
        <f>AND(class!AB19,"AAAAAH9//7o=")</f>
        <v>#VALUE!</v>
      </c>
      <c r="GF8" t="e">
        <f>AND(class!AC19,"AAAAAH9//7s=")</f>
        <v>#VALUE!</v>
      </c>
      <c r="GG8">
        <f>IF(class!20:20,"AAAAAH9//7w=",0)</f>
        <v>0</v>
      </c>
      <c r="GH8" t="e">
        <f>AND(class!A20,"AAAAAH9//70=")</f>
        <v>#VALUE!</v>
      </c>
      <c r="GI8" t="e">
        <f>AND(class!B20,"AAAAAH9//74=")</f>
        <v>#VALUE!</v>
      </c>
      <c r="GJ8" t="e">
        <f>AND(class!C20,"AAAAAH9//78=")</f>
        <v>#VALUE!</v>
      </c>
      <c r="GK8" t="e">
        <f>AND(class!D20,"AAAAAH9//8A=")</f>
        <v>#VALUE!</v>
      </c>
      <c r="GL8" t="e">
        <f>AND(class!E20,"AAAAAH9//8E=")</f>
        <v>#VALUE!</v>
      </c>
      <c r="GM8" t="e">
        <f>AND(class!F20,"AAAAAH9//8I=")</f>
        <v>#VALUE!</v>
      </c>
      <c r="GN8" t="e">
        <f>AND(class!G20,"AAAAAH9//8M=")</f>
        <v>#VALUE!</v>
      </c>
      <c r="GO8" t="e">
        <f>AND(class!H20,"AAAAAH9//8Q=")</f>
        <v>#VALUE!</v>
      </c>
      <c r="GP8" t="e">
        <f>AND(class!I20,"AAAAAH9//8U=")</f>
        <v>#VALUE!</v>
      </c>
      <c r="GQ8" t="e">
        <f>AND(class!J20,"AAAAAH9//8Y=")</f>
        <v>#VALUE!</v>
      </c>
      <c r="GR8" t="e">
        <f>AND(class!K20,"AAAAAH9//8c=")</f>
        <v>#VALUE!</v>
      </c>
      <c r="GS8" t="e">
        <f>AND(class!L20,"AAAAAH9//8g=")</f>
        <v>#VALUE!</v>
      </c>
      <c r="GT8" t="e">
        <f>AND(class!M20,"AAAAAH9//8k=")</f>
        <v>#VALUE!</v>
      </c>
      <c r="GU8" t="e">
        <f>AND(class!N20,"AAAAAH9//8o=")</f>
        <v>#VALUE!</v>
      </c>
      <c r="GV8" t="e">
        <f>AND(class!O20,"AAAAAH9//8s=")</f>
        <v>#VALUE!</v>
      </c>
      <c r="GW8" t="e">
        <f>AND(class!P20,"AAAAAH9//8w=")</f>
        <v>#VALUE!</v>
      </c>
      <c r="GX8" t="e">
        <f>AND(class!Q20,"AAAAAH9//80=")</f>
        <v>#VALUE!</v>
      </c>
      <c r="GY8" t="e">
        <f>AND(class!R20,"AAAAAH9//84=")</f>
        <v>#VALUE!</v>
      </c>
      <c r="GZ8" t="e">
        <f>AND(class!S20,"AAAAAH9//88=")</f>
        <v>#VALUE!</v>
      </c>
      <c r="HA8" t="e">
        <f>AND(class!T20,"AAAAAH9//9A=")</f>
        <v>#VALUE!</v>
      </c>
      <c r="HB8" t="e">
        <f>AND(class!U20,"AAAAAH9//9E=")</f>
        <v>#VALUE!</v>
      </c>
      <c r="HC8" t="e">
        <f>AND(class!V20,"AAAAAH9//9I=")</f>
        <v>#VALUE!</v>
      </c>
      <c r="HD8" t="e">
        <f>AND(class!W20,"AAAAAH9//9M=")</f>
        <v>#VALUE!</v>
      </c>
      <c r="HE8" t="e">
        <f>AND(class!X20,"AAAAAH9//9Q=")</f>
        <v>#VALUE!</v>
      </c>
      <c r="HF8" t="e">
        <f>AND(class!Y20,"AAAAAH9//9U=")</f>
        <v>#VALUE!</v>
      </c>
      <c r="HG8" t="e">
        <f>AND(class!Z20,"AAAAAH9//9Y=")</f>
        <v>#VALUE!</v>
      </c>
      <c r="HH8" t="e">
        <f>AND(class!AA20,"AAAAAH9//9c=")</f>
        <v>#VALUE!</v>
      </c>
      <c r="HI8" t="e">
        <f>AND(class!AB20,"AAAAAH9//9g=")</f>
        <v>#VALUE!</v>
      </c>
      <c r="HJ8" t="e">
        <f>AND(class!AC20,"AAAAAH9//9k=")</f>
        <v>#VALUE!</v>
      </c>
      <c r="HK8">
        <f>IF(class!21:21,"AAAAAH9//9o=",0)</f>
        <v>0</v>
      </c>
      <c r="HL8" t="e">
        <f>AND(class!A21,"AAAAAH9//9s=")</f>
        <v>#VALUE!</v>
      </c>
      <c r="HM8" t="e">
        <f>AND(class!B21,"AAAAAH9//9w=")</f>
        <v>#VALUE!</v>
      </c>
      <c r="HN8" t="e">
        <f>AND(class!C21,"AAAAAH9//90=")</f>
        <v>#VALUE!</v>
      </c>
      <c r="HO8" t="e">
        <f>AND(class!D21,"AAAAAH9//94=")</f>
        <v>#VALUE!</v>
      </c>
      <c r="HP8" t="e">
        <f>AND(class!E21,"AAAAAH9//98=")</f>
        <v>#VALUE!</v>
      </c>
      <c r="HQ8" t="e">
        <f>AND(class!F21,"AAAAAH9//+A=")</f>
        <v>#VALUE!</v>
      </c>
      <c r="HR8" t="e">
        <f>AND(class!G21,"AAAAAH9//+E=")</f>
        <v>#VALUE!</v>
      </c>
      <c r="HS8" t="e">
        <f>AND(class!H21,"AAAAAH9//+I=")</f>
        <v>#VALUE!</v>
      </c>
      <c r="HT8" t="e">
        <f>AND(class!I21,"AAAAAH9//+M=")</f>
        <v>#VALUE!</v>
      </c>
      <c r="HU8" t="e">
        <f>AND(class!J21,"AAAAAH9//+Q=")</f>
        <v>#VALUE!</v>
      </c>
      <c r="HV8" t="e">
        <f>AND(class!K21,"AAAAAH9//+U=")</f>
        <v>#VALUE!</v>
      </c>
      <c r="HW8" t="e">
        <f>AND(class!L21,"AAAAAH9//+Y=")</f>
        <v>#VALUE!</v>
      </c>
      <c r="HX8" t="e">
        <f>AND(class!M21,"AAAAAH9//+c=")</f>
        <v>#VALUE!</v>
      </c>
      <c r="HY8" t="e">
        <f>AND(class!N21,"AAAAAH9//+g=")</f>
        <v>#VALUE!</v>
      </c>
      <c r="HZ8" t="e">
        <f>AND(class!O21,"AAAAAH9//+k=")</f>
        <v>#VALUE!</v>
      </c>
      <c r="IA8" t="e">
        <f>AND(class!P21,"AAAAAH9//+o=")</f>
        <v>#VALUE!</v>
      </c>
      <c r="IB8" t="e">
        <f>AND(class!Q21,"AAAAAH9//+s=")</f>
        <v>#VALUE!</v>
      </c>
      <c r="IC8" t="e">
        <f>AND(class!R21,"AAAAAH9//+w=")</f>
        <v>#VALUE!</v>
      </c>
      <c r="ID8" t="e">
        <f>AND(class!S21,"AAAAAH9//+0=")</f>
        <v>#VALUE!</v>
      </c>
      <c r="IE8" t="e">
        <f>AND(class!T21,"AAAAAH9//+4=")</f>
        <v>#VALUE!</v>
      </c>
      <c r="IF8" t="e">
        <f>AND(class!U21,"AAAAAH9//+8=")</f>
        <v>#VALUE!</v>
      </c>
      <c r="IG8" t="e">
        <f>AND(class!V21,"AAAAAH9///A=")</f>
        <v>#VALUE!</v>
      </c>
      <c r="IH8" t="e">
        <f>AND(class!W21,"AAAAAH9///E=")</f>
        <v>#VALUE!</v>
      </c>
      <c r="II8" t="e">
        <f>AND(class!X21,"AAAAAH9///I=")</f>
        <v>#VALUE!</v>
      </c>
      <c r="IJ8" t="e">
        <f>AND(class!Y21,"AAAAAH9///M=")</f>
        <v>#VALUE!</v>
      </c>
      <c r="IK8" t="e">
        <f>AND(class!Z21,"AAAAAH9///Q=")</f>
        <v>#VALUE!</v>
      </c>
      <c r="IL8" t="e">
        <f>AND(class!AA21,"AAAAAH9///U=")</f>
        <v>#VALUE!</v>
      </c>
      <c r="IM8" t="e">
        <f>AND(class!AB21,"AAAAAH9///Y=")</f>
        <v>#VALUE!</v>
      </c>
      <c r="IN8" t="e">
        <f>AND(class!AC21,"AAAAAH9///c=")</f>
        <v>#VALUE!</v>
      </c>
      <c r="IO8">
        <f>IF(class!22:22,"AAAAAH9///g=",0)</f>
        <v>0</v>
      </c>
      <c r="IP8" t="e">
        <f>AND(class!A22,"AAAAAH9///k=")</f>
        <v>#VALUE!</v>
      </c>
      <c r="IQ8" t="e">
        <f>AND(class!B22,"AAAAAH9///o=")</f>
        <v>#VALUE!</v>
      </c>
      <c r="IR8" t="e">
        <f>AND(class!C22,"AAAAAH9///s=")</f>
        <v>#VALUE!</v>
      </c>
      <c r="IS8" t="e">
        <f>AND(class!D22,"AAAAAH9///w=")</f>
        <v>#VALUE!</v>
      </c>
      <c r="IT8" t="e">
        <f>AND(class!E22,"AAAAAH9///0=")</f>
        <v>#VALUE!</v>
      </c>
      <c r="IU8" t="e">
        <f>AND(class!F22,"AAAAAH9///4=")</f>
        <v>#VALUE!</v>
      </c>
      <c r="IV8" t="e">
        <f>AND(class!G22,"AAAAAH9///8=")</f>
        <v>#VALUE!</v>
      </c>
    </row>
    <row r="9" spans="1:256" x14ac:dyDescent="0.2">
      <c r="A9" t="e">
        <f>AND(class!H22,"AAAAAAf/vwA=")</f>
        <v>#VALUE!</v>
      </c>
      <c r="B9" t="e">
        <f>AND(class!I22,"AAAAAAf/vwE=")</f>
        <v>#VALUE!</v>
      </c>
      <c r="C9" t="e">
        <f>AND(class!J22,"AAAAAAf/vwI=")</f>
        <v>#VALUE!</v>
      </c>
      <c r="D9" t="e">
        <f>AND(class!K22,"AAAAAAf/vwM=")</f>
        <v>#VALUE!</v>
      </c>
      <c r="E9" t="e">
        <f>AND(class!L22,"AAAAAAf/vwQ=")</f>
        <v>#VALUE!</v>
      </c>
      <c r="F9" t="e">
        <f>AND(class!M22,"AAAAAAf/vwU=")</f>
        <v>#VALUE!</v>
      </c>
      <c r="G9" t="e">
        <f>AND(class!N22,"AAAAAAf/vwY=")</f>
        <v>#VALUE!</v>
      </c>
      <c r="H9" t="e">
        <f>AND(class!O22,"AAAAAAf/vwc=")</f>
        <v>#VALUE!</v>
      </c>
      <c r="I9" t="e">
        <f>AND(class!P22,"AAAAAAf/vwg=")</f>
        <v>#VALUE!</v>
      </c>
      <c r="J9" t="e">
        <f>AND(class!Q22,"AAAAAAf/vwk=")</f>
        <v>#VALUE!</v>
      </c>
      <c r="K9" t="e">
        <f>AND(class!R22,"AAAAAAf/vwo=")</f>
        <v>#VALUE!</v>
      </c>
      <c r="L9" t="e">
        <f>AND(class!S22,"AAAAAAf/vws=")</f>
        <v>#VALUE!</v>
      </c>
      <c r="M9" t="e">
        <f>AND(class!T22,"AAAAAAf/vww=")</f>
        <v>#VALUE!</v>
      </c>
      <c r="N9" t="e">
        <f>AND(class!U22,"AAAAAAf/vw0=")</f>
        <v>#VALUE!</v>
      </c>
      <c r="O9" t="e">
        <f>AND(class!V22,"AAAAAAf/vw4=")</f>
        <v>#VALUE!</v>
      </c>
      <c r="P9" t="e">
        <f>AND(class!W22,"AAAAAAf/vw8=")</f>
        <v>#VALUE!</v>
      </c>
      <c r="Q9" t="e">
        <f>AND(class!X22,"AAAAAAf/vxA=")</f>
        <v>#VALUE!</v>
      </c>
      <c r="R9" t="e">
        <f>AND(class!Y22,"AAAAAAf/vxE=")</f>
        <v>#VALUE!</v>
      </c>
      <c r="S9" t="e">
        <f>AND(class!Z22,"AAAAAAf/vxI=")</f>
        <v>#VALUE!</v>
      </c>
      <c r="T9" t="e">
        <f>AND(class!AA22,"AAAAAAf/vxM=")</f>
        <v>#VALUE!</v>
      </c>
      <c r="U9" t="e">
        <f>AND(class!AB22,"AAAAAAf/vxQ=")</f>
        <v>#VALUE!</v>
      </c>
      <c r="V9" t="e">
        <f>AND(class!AC22,"AAAAAAf/vxU=")</f>
        <v>#VALUE!</v>
      </c>
      <c r="W9">
        <f>IF(class!23:23,"AAAAAAf/vxY=",0)</f>
        <v>0</v>
      </c>
      <c r="X9" t="e">
        <f>AND(class!A23,"AAAAAAf/vxc=")</f>
        <v>#VALUE!</v>
      </c>
      <c r="Y9" t="e">
        <f>AND(class!B23,"AAAAAAf/vxg=")</f>
        <v>#VALUE!</v>
      </c>
      <c r="Z9" t="e">
        <f>AND(class!C23,"AAAAAAf/vxk=")</f>
        <v>#VALUE!</v>
      </c>
      <c r="AA9" t="e">
        <f>AND(class!D23,"AAAAAAf/vxo=")</f>
        <v>#VALUE!</v>
      </c>
      <c r="AB9" t="e">
        <f>AND(class!E23,"AAAAAAf/vxs=")</f>
        <v>#VALUE!</v>
      </c>
      <c r="AC9" t="e">
        <f>AND(class!F23,"AAAAAAf/vxw=")</f>
        <v>#VALUE!</v>
      </c>
      <c r="AD9" t="e">
        <f>AND(class!G23,"AAAAAAf/vx0=")</f>
        <v>#VALUE!</v>
      </c>
      <c r="AE9" t="e">
        <f>AND(class!H23,"AAAAAAf/vx4=")</f>
        <v>#VALUE!</v>
      </c>
      <c r="AF9" t="e">
        <f>AND(class!I23,"AAAAAAf/vx8=")</f>
        <v>#VALUE!</v>
      </c>
      <c r="AG9" t="e">
        <f>AND(class!J23,"AAAAAAf/vyA=")</f>
        <v>#VALUE!</v>
      </c>
      <c r="AH9" t="e">
        <f>AND(class!K23,"AAAAAAf/vyE=")</f>
        <v>#VALUE!</v>
      </c>
      <c r="AI9" t="e">
        <f>AND(class!L23,"AAAAAAf/vyI=")</f>
        <v>#VALUE!</v>
      </c>
      <c r="AJ9" t="e">
        <f>AND(class!M23,"AAAAAAf/vyM=")</f>
        <v>#VALUE!</v>
      </c>
      <c r="AK9" t="e">
        <f>AND(class!N23,"AAAAAAf/vyQ=")</f>
        <v>#VALUE!</v>
      </c>
      <c r="AL9" t="e">
        <f>AND(class!O23,"AAAAAAf/vyU=")</f>
        <v>#VALUE!</v>
      </c>
      <c r="AM9" t="e">
        <f>AND(class!P23,"AAAAAAf/vyY=")</f>
        <v>#VALUE!</v>
      </c>
      <c r="AN9" t="e">
        <f>AND(class!Q23,"AAAAAAf/vyc=")</f>
        <v>#VALUE!</v>
      </c>
      <c r="AO9" t="e">
        <f>AND(class!R23,"AAAAAAf/vyg=")</f>
        <v>#VALUE!</v>
      </c>
      <c r="AP9" t="e">
        <f>AND(class!S23,"AAAAAAf/vyk=")</f>
        <v>#VALUE!</v>
      </c>
      <c r="AQ9" t="e">
        <f>AND(class!T23,"AAAAAAf/vyo=")</f>
        <v>#VALUE!</v>
      </c>
      <c r="AR9" t="e">
        <f>AND(class!U23,"AAAAAAf/vys=")</f>
        <v>#VALUE!</v>
      </c>
      <c r="AS9" t="e">
        <f>AND(class!V23,"AAAAAAf/vyw=")</f>
        <v>#VALUE!</v>
      </c>
      <c r="AT9" t="e">
        <f>AND(class!W23,"AAAAAAf/vy0=")</f>
        <v>#VALUE!</v>
      </c>
      <c r="AU9" t="e">
        <f>AND(class!X23,"AAAAAAf/vy4=")</f>
        <v>#VALUE!</v>
      </c>
      <c r="AV9" t="e">
        <f>AND(class!Y23,"AAAAAAf/vy8=")</f>
        <v>#VALUE!</v>
      </c>
      <c r="AW9" t="e">
        <f>AND(class!Z23,"AAAAAAf/vzA=")</f>
        <v>#VALUE!</v>
      </c>
      <c r="AX9" t="e">
        <f>AND(class!AA23,"AAAAAAf/vzE=")</f>
        <v>#VALUE!</v>
      </c>
      <c r="AY9" t="e">
        <f>AND(class!AB23,"AAAAAAf/vzI=")</f>
        <v>#VALUE!</v>
      </c>
      <c r="AZ9" t="e">
        <f>AND(class!AC23,"AAAAAAf/vzM=")</f>
        <v>#VALUE!</v>
      </c>
      <c r="BA9">
        <f>IF(class!24:24,"AAAAAAf/vzQ=",0)</f>
        <v>0</v>
      </c>
      <c r="BB9" t="e">
        <f>AND(class!A24,"AAAAAAf/vzU=")</f>
        <v>#VALUE!</v>
      </c>
      <c r="BC9" t="e">
        <f>AND(class!B24,"AAAAAAf/vzY=")</f>
        <v>#VALUE!</v>
      </c>
      <c r="BD9" t="e">
        <f>AND(class!C24,"AAAAAAf/vzc=")</f>
        <v>#VALUE!</v>
      </c>
      <c r="BE9" t="e">
        <f>AND(class!D24,"AAAAAAf/vzg=")</f>
        <v>#VALUE!</v>
      </c>
      <c r="BF9" t="e">
        <f>AND(class!E24,"AAAAAAf/vzk=")</f>
        <v>#VALUE!</v>
      </c>
      <c r="BG9" t="e">
        <f>AND(class!F24,"AAAAAAf/vzo=")</f>
        <v>#VALUE!</v>
      </c>
      <c r="BH9" t="e">
        <f>AND(class!G24,"AAAAAAf/vzs=")</f>
        <v>#VALUE!</v>
      </c>
      <c r="BI9" t="e">
        <f>AND(class!H24,"AAAAAAf/vzw=")</f>
        <v>#VALUE!</v>
      </c>
      <c r="BJ9" t="e">
        <f>AND(class!I24,"AAAAAAf/vz0=")</f>
        <v>#VALUE!</v>
      </c>
      <c r="BK9" t="e">
        <f>AND(class!J24,"AAAAAAf/vz4=")</f>
        <v>#VALUE!</v>
      </c>
      <c r="BL9" t="e">
        <f>AND(class!K24,"AAAAAAf/vz8=")</f>
        <v>#VALUE!</v>
      </c>
      <c r="BM9" t="e">
        <f>AND(class!L24,"AAAAAAf/v0A=")</f>
        <v>#VALUE!</v>
      </c>
      <c r="BN9" t="e">
        <f>AND(class!M24,"AAAAAAf/v0E=")</f>
        <v>#VALUE!</v>
      </c>
      <c r="BO9" t="e">
        <f>AND(class!N24,"AAAAAAf/v0I=")</f>
        <v>#VALUE!</v>
      </c>
      <c r="BP9" t="e">
        <f>AND(class!O24,"AAAAAAf/v0M=")</f>
        <v>#VALUE!</v>
      </c>
      <c r="BQ9" t="e">
        <f>AND(class!P24,"AAAAAAf/v0Q=")</f>
        <v>#VALUE!</v>
      </c>
      <c r="BR9" t="e">
        <f>AND(class!Q24,"AAAAAAf/v0U=")</f>
        <v>#VALUE!</v>
      </c>
      <c r="BS9" t="e">
        <f>AND(class!R24,"AAAAAAf/v0Y=")</f>
        <v>#VALUE!</v>
      </c>
      <c r="BT9" t="e">
        <f>AND(class!S24,"AAAAAAf/v0c=")</f>
        <v>#VALUE!</v>
      </c>
      <c r="BU9" t="e">
        <f>AND(class!T24,"AAAAAAf/v0g=")</f>
        <v>#VALUE!</v>
      </c>
      <c r="BV9" t="e">
        <f>AND(class!U24,"AAAAAAf/v0k=")</f>
        <v>#VALUE!</v>
      </c>
      <c r="BW9" t="e">
        <f>AND(class!V24,"AAAAAAf/v0o=")</f>
        <v>#VALUE!</v>
      </c>
      <c r="BX9" t="e">
        <f>AND(class!W24,"AAAAAAf/v0s=")</f>
        <v>#VALUE!</v>
      </c>
      <c r="BY9" t="e">
        <f>AND(class!X24,"AAAAAAf/v0w=")</f>
        <v>#VALUE!</v>
      </c>
      <c r="BZ9" t="e">
        <f>AND(class!Y24,"AAAAAAf/v00=")</f>
        <v>#VALUE!</v>
      </c>
      <c r="CA9" t="e">
        <f>AND(class!Z24,"AAAAAAf/v04=")</f>
        <v>#VALUE!</v>
      </c>
      <c r="CB9" t="e">
        <f>AND(class!AA24,"AAAAAAf/v08=")</f>
        <v>#VALUE!</v>
      </c>
      <c r="CC9" t="e">
        <f>AND(class!AB24,"AAAAAAf/v1A=")</f>
        <v>#VALUE!</v>
      </c>
      <c r="CD9" t="e">
        <f>AND(class!AC24,"AAAAAAf/v1E=")</f>
        <v>#VALUE!</v>
      </c>
      <c r="CE9">
        <f>IF(class!25:25,"AAAAAAf/v1I=",0)</f>
        <v>0</v>
      </c>
      <c r="CF9" t="e">
        <f>AND(class!A25,"AAAAAAf/v1M=")</f>
        <v>#VALUE!</v>
      </c>
      <c r="CG9" t="e">
        <f>AND(class!B25,"AAAAAAf/v1Q=")</f>
        <v>#VALUE!</v>
      </c>
      <c r="CH9" t="e">
        <f>AND(class!C25,"AAAAAAf/v1U=")</f>
        <v>#VALUE!</v>
      </c>
      <c r="CI9" t="e">
        <f>AND(class!D25,"AAAAAAf/v1Y=")</f>
        <v>#VALUE!</v>
      </c>
      <c r="CJ9" t="e">
        <f>AND(class!E25,"AAAAAAf/v1c=")</f>
        <v>#VALUE!</v>
      </c>
      <c r="CK9" t="e">
        <f>AND(class!F25,"AAAAAAf/v1g=")</f>
        <v>#VALUE!</v>
      </c>
      <c r="CL9" t="e">
        <f>AND(class!G25,"AAAAAAf/v1k=")</f>
        <v>#VALUE!</v>
      </c>
      <c r="CM9" t="e">
        <f>AND(class!H25,"AAAAAAf/v1o=")</f>
        <v>#VALUE!</v>
      </c>
      <c r="CN9" t="e">
        <f>AND(class!I25,"AAAAAAf/v1s=")</f>
        <v>#VALUE!</v>
      </c>
      <c r="CO9" t="e">
        <f>AND(class!J25,"AAAAAAf/v1w=")</f>
        <v>#VALUE!</v>
      </c>
      <c r="CP9" t="e">
        <f>AND(class!K25,"AAAAAAf/v10=")</f>
        <v>#VALUE!</v>
      </c>
      <c r="CQ9" t="e">
        <f>AND(class!L25,"AAAAAAf/v14=")</f>
        <v>#VALUE!</v>
      </c>
      <c r="CR9" t="e">
        <f>AND(class!M25,"AAAAAAf/v18=")</f>
        <v>#VALUE!</v>
      </c>
      <c r="CS9" t="e">
        <f>AND(class!N25,"AAAAAAf/v2A=")</f>
        <v>#VALUE!</v>
      </c>
      <c r="CT9" t="e">
        <f>AND(class!O25,"AAAAAAf/v2E=")</f>
        <v>#VALUE!</v>
      </c>
      <c r="CU9" t="e">
        <f>AND(class!P25,"AAAAAAf/v2I=")</f>
        <v>#VALUE!</v>
      </c>
      <c r="CV9" t="e">
        <f>AND(class!Q25,"AAAAAAf/v2M=")</f>
        <v>#VALUE!</v>
      </c>
      <c r="CW9" t="e">
        <f>AND(class!R25,"AAAAAAf/v2Q=")</f>
        <v>#VALUE!</v>
      </c>
      <c r="CX9" t="e">
        <f>AND(class!S25,"AAAAAAf/v2U=")</f>
        <v>#VALUE!</v>
      </c>
      <c r="CY9" t="e">
        <f>AND(class!T25,"AAAAAAf/v2Y=")</f>
        <v>#VALUE!</v>
      </c>
      <c r="CZ9" t="e">
        <f>AND(class!U25,"AAAAAAf/v2c=")</f>
        <v>#VALUE!</v>
      </c>
      <c r="DA9" t="e">
        <f>AND(class!V25,"AAAAAAf/v2g=")</f>
        <v>#VALUE!</v>
      </c>
      <c r="DB9" t="e">
        <f>AND(class!W25,"AAAAAAf/v2k=")</f>
        <v>#VALUE!</v>
      </c>
      <c r="DC9" t="e">
        <f>AND(class!X25,"AAAAAAf/v2o=")</f>
        <v>#VALUE!</v>
      </c>
      <c r="DD9" t="e">
        <f>AND(class!Y25,"AAAAAAf/v2s=")</f>
        <v>#VALUE!</v>
      </c>
      <c r="DE9" t="e">
        <f>AND(class!Z25,"AAAAAAf/v2w=")</f>
        <v>#VALUE!</v>
      </c>
      <c r="DF9" t="e">
        <f>AND(class!AA25,"AAAAAAf/v20=")</f>
        <v>#VALUE!</v>
      </c>
      <c r="DG9" t="e">
        <f>AND(class!AB25,"AAAAAAf/v24=")</f>
        <v>#VALUE!</v>
      </c>
      <c r="DH9" t="e">
        <f>AND(class!AC25,"AAAAAAf/v28=")</f>
        <v>#VALUE!</v>
      </c>
      <c r="DI9">
        <f>IF(class!26:26,"AAAAAAf/v3A=",0)</f>
        <v>0</v>
      </c>
      <c r="DJ9" t="e">
        <f>AND(class!A26,"AAAAAAf/v3E=")</f>
        <v>#VALUE!</v>
      </c>
      <c r="DK9" t="e">
        <f>AND(class!B26,"AAAAAAf/v3I=")</f>
        <v>#VALUE!</v>
      </c>
      <c r="DL9" t="e">
        <f>AND(class!C26,"AAAAAAf/v3M=")</f>
        <v>#VALUE!</v>
      </c>
      <c r="DM9" t="e">
        <f>AND(class!D26,"AAAAAAf/v3Q=")</f>
        <v>#VALUE!</v>
      </c>
      <c r="DN9" t="e">
        <f>AND(class!E26,"AAAAAAf/v3U=")</f>
        <v>#VALUE!</v>
      </c>
      <c r="DO9" t="e">
        <f>AND(class!F26,"AAAAAAf/v3Y=")</f>
        <v>#VALUE!</v>
      </c>
      <c r="DP9" t="e">
        <f>AND(class!G26,"AAAAAAf/v3c=")</f>
        <v>#VALUE!</v>
      </c>
      <c r="DQ9" t="e">
        <f>AND(class!H26,"AAAAAAf/v3g=")</f>
        <v>#VALUE!</v>
      </c>
      <c r="DR9" t="e">
        <f>AND(class!I26,"AAAAAAf/v3k=")</f>
        <v>#VALUE!</v>
      </c>
      <c r="DS9" t="e">
        <f>AND(class!J26,"AAAAAAf/v3o=")</f>
        <v>#VALUE!</v>
      </c>
      <c r="DT9" t="e">
        <f>AND(class!K26,"AAAAAAf/v3s=")</f>
        <v>#VALUE!</v>
      </c>
      <c r="DU9" t="e">
        <f>AND(class!L26,"AAAAAAf/v3w=")</f>
        <v>#VALUE!</v>
      </c>
      <c r="DV9" t="e">
        <f>AND(class!M26,"AAAAAAf/v30=")</f>
        <v>#VALUE!</v>
      </c>
      <c r="DW9" t="e">
        <f>AND(class!N26,"AAAAAAf/v34=")</f>
        <v>#VALUE!</v>
      </c>
      <c r="DX9" t="e">
        <f>AND(class!O26,"AAAAAAf/v38=")</f>
        <v>#VALUE!</v>
      </c>
      <c r="DY9" t="e">
        <f>AND(class!P26,"AAAAAAf/v4A=")</f>
        <v>#VALUE!</v>
      </c>
      <c r="DZ9" t="e">
        <f>AND(class!Q26,"AAAAAAf/v4E=")</f>
        <v>#VALUE!</v>
      </c>
      <c r="EA9" t="e">
        <f>AND(class!R26,"AAAAAAf/v4I=")</f>
        <v>#VALUE!</v>
      </c>
      <c r="EB9" t="e">
        <f>AND(class!S26,"AAAAAAf/v4M=")</f>
        <v>#VALUE!</v>
      </c>
      <c r="EC9" t="e">
        <f>AND(class!T26,"AAAAAAf/v4Q=")</f>
        <v>#VALUE!</v>
      </c>
      <c r="ED9" t="e">
        <f>AND(class!U26,"AAAAAAf/v4U=")</f>
        <v>#VALUE!</v>
      </c>
      <c r="EE9" t="e">
        <f>AND(class!V26,"AAAAAAf/v4Y=")</f>
        <v>#VALUE!</v>
      </c>
      <c r="EF9" t="e">
        <f>AND(class!W26,"AAAAAAf/v4c=")</f>
        <v>#VALUE!</v>
      </c>
      <c r="EG9" t="e">
        <f>AND(class!X26,"AAAAAAf/v4g=")</f>
        <v>#VALUE!</v>
      </c>
      <c r="EH9" t="e">
        <f>AND(class!Y26,"AAAAAAf/v4k=")</f>
        <v>#VALUE!</v>
      </c>
      <c r="EI9" t="e">
        <f>AND(class!Z26,"AAAAAAf/v4o=")</f>
        <v>#VALUE!</v>
      </c>
      <c r="EJ9" t="e">
        <f>AND(class!AA26,"AAAAAAf/v4s=")</f>
        <v>#VALUE!</v>
      </c>
      <c r="EK9" t="e">
        <f>AND(class!AB26,"AAAAAAf/v4w=")</f>
        <v>#VALUE!</v>
      </c>
      <c r="EL9" t="e">
        <f>AND(class!AC26,"AAAAAAf/v40=")</f>
        <v>#VALUE!</v>
      </c>
      <c r="EM9">
        <f>IF(class!27:27,"AAAAAAf/v44=",0)</f>
        <v>0</v>
      </c>
      <c r="EN9" t="e">
        <f>AND(class!A27,"AAAAAAf/v48=")</f>
        <v>#VALUE!</v>
      </c>
      <c r="EO9" t="e">
        <f>AND(class!B27,"AAAAAAf/v5A=")</f>
        <v>#VALUE!</v>
      </c>
      <c r="EP9" t="e">
        <f>AND(class!C27,"AAAAAAf/v5E=")</f>
        <v>#VALUE!</v>
      </c>
      <c r="EQ9" t="e">
        <f>AND(class!D27,"AAAAAAf/v5I=")</f>
        <v>#VALUE!</v>
      </c>
      <c r="ER9" t="e">
        <f>AND(class!E27,"AAAAAAf/v5M=")</f>
        <v>#VALUE!</v>
      </c>
      <c r="ES9" t="e">
        <f>AND(class!F27,"AAAAAAf/v5Q=")</f>
        <v>#VALUE!</v>
      </c>
      <c r="ET9" t="e">
        <f>AND(class!G27,"AAAAAAf/v5U=")</f>
        <v>#VALUE!</v>
      </c>
      <c r="EU9" t="e">
        <f>AND(class!H27,"AAAAAAf/v5Y=")</f>
        <v>#VALUE!</v>
      </c>
      <c r="EV9" t="e">
        <f>AND(class!I27,"AAAAAAf/v5c=")</f>
        <v>#VALUE!</v>
      </c>
      <c r="EW9" t="e">
        <f>AND(class!J27,"AAAAAAf/v5g=")</f>
        <v>#VALUE!</v>
      </c>
      <c r="EX9" t="e">
        <f>AND(class!K27,"AAAAAAf/v5k=")</f>
        <v>#VALUE!</v>
      </c>
      <c r="EY9" t="e">
        <f>AND(class!L27,"AAAAAAf/v5o=")</f>
        <v>#VALUE!</v>
      </c>
      <c r="EZ9" t="e">
        <f>AND(class!M27,"AAAAAAf/v5s=")</f>
        <v>#VALUE!</v>
      </c>
      <c r="FA9" t="e">
        <f>AND(class!N27,"AAAAAAf/v5w=")</f>
        <v>#VALUE!</v>
      </c>
      <c r="FB9" t="e">
        <f>AND(class!O27,"AAAAAAf/v50=")</f>
        <v>#VALUE!</v>
      </c>
      <c r="FC9" t="e">
        <f>AND(class!P27,"AAAAAAf/v54=")</f>
        <v>#VALUE!</v>
      </c>
      <c r="FD9" t="e">
        <f>AND(class!Q27,"AAAAAAf/v58=")</f>
        <v>#VALUE!</v>
      </c>
      <c r="FE9" t="e">
        <f>AND(class!R27,"AAAAAAf/v6A=")</f>
        <v>#VALUE!</v>
      </c>
      <c r="FF9" t="e">
        <f>AND(class!S27,"AAAAAAf/v6E=")</f>
        <v>#VALUE!</v>
      </c>
      <c r="FG9" t="e">
        <f>AND(class!T27,"AAAAAAf/v6I=")</f>
        <v>#VALUE!</v>
      </c>
      <c r="FH9" t="e">
        <f>AND(class!U27,"AAAAAAf/v6M=")</f>
        <v>#VALUE!</v>
      </c>
      <c r="FI9" t="e">
        <f>AND(class!V27,"AAAAAAf/v6Q=")</f>
        <v>#VALUE!</v>
      </c>
      <c r="FJ9" t="e">
        <f>AND(class!W27,"AAAAAAf/v6U=")</f>
        <v>#VALUE!</v>
      </c>
      <c r="FK9" t="e">
        <f>AND(class!X27,"AAAAAAf/v6Y=")</f>
        <v>#VALUE!</v>
      </c>
      <c r="FL9" t="e">
        <f>AND(class!Y27,"AAAAAAf/v6c=")</f>
        <v>#VALUE!</v>
      </c>
      <c r="FM9" t="e">
        <f>AND(class!Z27,"AAAAAAf/v6g=")</f>
        <v>#VALUE!</v>
      </c>
      <c r="FN9" t="e">
        <f>AND(class!AA27,"AAAAAAf/v6k=")</f>
        <v>#VALUE!</v>
      </c>
      <c r="FO9" t="e">
        <f>AND(class!AB27,"AAAAAAf/v6o=")</f>
        <v>#VALUE!</v>
      </c>
      <c r="FP9" t="e">
        <f>AND(class!AC27,"AAAAAAf/v6s=")</f>
        <v>#VALUE!</v>
      </c>
      <c r="FQ9">
        <f>IF(class!28:28,"AAAAAAf/v6w=",0)</f>
        <v>0</v>
      </c>
      <c r="FR9" t="e">
        <f>AND(class!A28,"AAAAAAf/v60=")</f>
        <v>#VALUE!</v>
      </c>
      <c r="FS9" t="e">
        <f>AND(class!B28,"AAAAAAf/v64=")</f>
        <v>#VALUE!</v>
      </c>
      <c r="FT9" t="e">
        <f>AND(class!C28,"AAAAAAf/v68=")</f>
        <v>#VALUE!</v>
      </c>
      <c r="FU9" t="e">
        <f>AND(class!D28,"AAAAAAf/v7A=")</f>
        <v>#VALUE!</v>
      </c>
      <c r="FV9" t="e">
        <f>AND(class!E28,"AAAAAAf/v7E=")</f>
        <v>#VALUE!</v>
      </c>
      <c r="FW9" t="e">
        <f>AND(class!F28,"AAAAAAf/v7I=")</f>
        <v>#VALUE!</v>
      </c>
      <c r="FX9" t="e">
        <f>AND(class!G28,"AAAAAAf/v7M=")</f>
        <v>#VALUE!</v>
      </c>
      <c r="FY9" t="e">
        <f>AND(class!H28,"AAAAAAf/v7Q=")</f>
        <v>#VALUE!</v>
      </c>
      <c r="FZ9" t="e">
        <f>AND(class!I28,"AAAAAAf/v7U=")</f>
        <v>#VALUE!</v>
      </c>
      <c r="GA9" t="e">
        <f>AND(class!J28,"AAAAAAf/v7Y=")</f>
        <v>#VALUE!</v>
      </c>
      <c r="GB9" t="e">
        <f>AND(class!K28,"AAAAAAf/v7c=")</f>
        <v>#VALUE!</v>
      </c>
      <c r="GC9" t="e">
        <f>AND(class!L28,"AAAAAAf/v7g=")</f>
        <v>#VALUE!</v>
      </c>
      <c r="GD9" t="e">
        <f>AND(class!M28,"AAAAAAf/v7k=")</f>
        <v>#VALUE!</v>
      </c>
      <c r="GE9" t="e">
        <f>AND(class!N28,"AAAAAAf/v7o=")</f>
        <v>#VALUE!</v>
      </c>
      <c r="GF9" t="e">
        <f>AND(class!O28,"AAAAAAf/v7s=")</f>
        <v>#VALUE!</v>
      </c>
      <c r="GG9" t="e">
        <f>AND(class!P28,"AAAAAAf/v7w=")</f>
        <v>#VALUE!</v>
      </c>
      <c r="GH9" t="e">
        <f>AND(class!Q28,"AAAAAAf/v70=")</f>
        <v>#VALUE!</v>
      </c>
      <c r="GI9" t="e">
        <f>AND(class!R28,"AAAAAAf/v74=")</f>
        <v>#VALUE!</v>
      </c>
      <c r="GJ9" t="e">
        <f>AND(class!S28,"AAAAAAf/v78=")</f>
        <v>#VALUE!</v>
      </c>
      <c r="GK9" t="e">
        <f>AND(class!T28,"AAAAAAf/v8A=")</f>
        <v>#VALUE!</v>
      </c>
      <c r="GL9" t="e">
        <f>AND(class!U28,"AAAAAAf/v8E=")</f>
        <v>#VALUE!</v>
      </c>
      <c r="GM9" t="e">
        <f>AND(class!V28,"AAAAAAf/v8I=")</f>
        <v>#VALUE!</v>
      </c>
      <c r="GN9" t="e">
        <f>AND(class!W28,"AAAAAAf/v8M=")</f>
        <v>#VALUE!</v>
      </c>
      <c r="GO9" t="e">
        <f>AND(class!X28,"AAAAAAf/v8Q=")</f>
        <v>#VALUE!</v>
      </c>
      <c r="GP9" t="e">
        <f>AND(class!Y28,"AAAAAAf/v8U=")</f>
        <v>#VALUE!</v>
      </c>
      <c r="GQ9" t="e">
        <f>AND(class!Z28,"AAAAAAf/v8Y=")</f>
        <v>#VALUE!</v>
      </c>
      <c r="GR9" t="e">
        <f>AND(class!AA28,"AAAAAAf/v8c=")</f>
        <v>#VALUE!</v>
      </c>
      <c r="GS9" t="e">
        <f>AND(class!AB28,"AAAAAAf/v8g=")</f>
        <v>#VALUE!</v>
      </c>
      <c r="GT9" t="e">
        <f>AND(class!AC28,"AAAAAAf/v8k=")</f>
        <v>#VALUE!</v>
      </c>
      <c r="GU9">
        <f>IF(class!29:29,"AAAAAAf/v8o=",0)</f>
        <v>0</v>
      </c>
      <c r="GV9" t="e">
        <f>AND(class!A29,"AAAAAAf/v8s=")</f>
        <v>#VALUE!</v>
      </c>
      <c r="GW9" t="e">
        <f>AND(class!B29,"AAAAAAf/v8w=")</f>
        <v>#VALUE!</v>
      </c>
      <c r="GX9" t="e">
        <f>AND(class!C29,"AAAAAAf/v80=")</f>
        <v>#VALUE!</v>
      </c>
      <c r="GY9" t="e">
        <f>AND(class!D29,"AAAAAAf/v84=")</f>
        <v>#VALUE!</v>
      </c>
      <c r="GZ9" t="e">
        <f>AND(class!E29,"AAAAAAf/v88=")</f>
        <v>#VALUE!</v>
      </c>
      <c r="HA9" t="e">
        <f>AND(class!F29,"AAAAAAf/v9A=")</f>
        <v>#VALUE!</v>
      </c>
      <c r="HB9" t="e">
        <f>AND(class!G29,"AAAAAAf/v9E=")</f>
        <v>#VALUE!</v>
      </c>
      <c r="HC9" t="e">
        <f>AND(class!H29,"AAAAAAf/v9I=")</f>
        <v>#VALUE!</v>
      </c>
      <c r="HD9" t="e">
        <f>AND(class!I29,"AAAAAAf/v9M=")</f>
        <v>#VALUE!</v>
      </c>
      <c r="HE9" t="e">
        <f>AND(class!J29,"AAAAAAf/v9Q=")</f>
        <v>#VALUE!</v>
      </c>
      <c r="HF9" t="e">
        <f>AND(class!K29,"AAAAAAf/v9U=")</f>
        <v>#VALUE!</v>
      </c>
      <c r="HG9" t="e">
        <f>AND(class!L29,"AAAAAAf/v9Y=")</f>
        <v>#VALUE!</v>
      </c>
      <c r="HH9" t="e">
        <f>AND(class!M29,"AAAAAAf/v9c=")</f>
        <v>#VALUE!</v>
      </c>
      <c r="HI9" t="e">
        <f>AND(class!N29,"AAAAAAf/v9g=")</f>
        <v>#VALUE!</v>
      </c>
      <c r="HJ9" t="e">
        <f>AND(class!O29,"AAAAAAf/v9k=")</f>
        <v>#VALUE!</v>
      </c>
      <c r="HK9" t="e">
        <f>AND(class!P29,"AAAAAAf/v9o=")</f>
        <v>#VALUE!</v>
      </c>
      <c r="HL9" t="e">
        <f>AND(class!Q29,"AAAAAAf/v9s=")</f>
        <v>#VALUE!</v>
      </c>
      <c r="HM9" t="e">
        <f>AND(class!R29,"AAAAAAf/v9w=")</f>
        <v>#VALUE!</v>
      </c>
      <c r="HN9" t="e">
        <f>AND(class!S29,"AAAAAAf/v90=")</f>
        <v>#VALUE!</v>
      </c>
      <c r="HO9" t="e">
        <f>AND(class!T29,"AAAAAAf/v94=")</f>
        <v>#VALUE!</v>
      </c>
      <c r="HP9" t="e">
        <f>AND(class!U29,"AAAAAAf/v98=")</f>
        <v>#VALUE!</v>
      </c>
      <c r="HQ9" t="e">
        <f>AND(class!V29,"AAAAAAf/v+A=")</f>
        <v>#VALUE!</v>
      </c>
      <c r="HR9" t="e">
        <f>AND(class!W29,"AAAAAAf/v+E=")</f>
        <v>#VALUE!</v>
      </c>
      <c r="HS9" t="e">
        <f>AND(class!X29,"AAAAAAf/v+I=")</f>
        <v>#VALUE!</v>
      </c>
      <c r="HT9" t="e">
        <f>AND(class!Y29,"AAAAAAf/v+M=")</f>
        <v>#VALUE!</v>
      </c>
      <c r="HU9" t="e">
        <f>AND(class!Z29,"AAAAAAf/v+Q=")</f>
        <v>#VALUE!</v>
      </c>
      <c r="HV9" t="e">
        <f>AND(class!AA29,"AAAAAAf/v+U=")</f>
        <v>#VALUE!</v>
      </c>
      <c r="HW9" t="e">
        <f>AND(class!AB29,"AAAAAAf/v+Y=")</f>
        <v>#VALUE!</v>
      </c>
      <c r="HX9" t="e">
        <f>AND(class!AC29,"AAAAAAf/v+c=")</f>
        <v>#VALUE!</v>
      </c>
      <c r="HY9">
        <f>IF(class!30:30,"AAAAAAf/v+g=",0)</f>
        <v>0</v>
      </c>
      <c r="HZ9" t="e">
        <f>AND(class!A30,"AAAAAAf/v+k=")</f>
        <v>#VALUE!</v>
      </c>
      <c r="IA9" t="e">
        <f>AND(class!B30,"AAAAAAf/v+o=")</f>
        <v>#VALUE!</v>
      </c>
      <c r="IB9" t="e">
        <f>AND(class!C30,"AAAAAAf/v+s=")</f>
        <v>#VALUE!</v>
      </c>
      <c r="IC9" t="e">
        <f>AND(class!D30,"AAAAAAf/v+w=")</f>
        <v>#VALUE!</v>
      </c>
      <c r="ID9" t="e">
        <f>AND(class!E30,"AAAAAAf/v+0=")</f>
        <v>#VALUE!</v>
      </c>
      <c r="IE9" t="e">
        <f>AND(class!F30,"AAAAAAf/v+4=")</f>
        <v>#VALUE!</v>
      </c>
      <c r="IF9" t="e">
        <f>AND(class!G30,"AAAAAAf/v+8=")</f>
        <v>#VALUE!</v>
      </c>
      <c r="IG9" t="e">
        <f>AND(class!H30,"AAAAAAf/v/A=")</f>
        <v>#VALUE!</v>
      </c>
      <c r="IH9" t="e">
        <f>AND(class!I30,"AAAAAAf/v/E=")</f>
        <v>#VALUE!</v>
      </c>
      <c r="II9" t="e">
        <f>AND(class!J30,"AAAAAAf/v/I=")</f>
        <v>#VALUE!</v>
      </c>
      <c r="IJ9" t="e">
        <f>AND(class!K30,"AAAAAAf/v/M=")</f>
        <v>#VALUE!</v>
      </c>
      <c r="IK9" t="e">
        <f>AND(class!L30,"AAAAAAf/v/Q=")</f>
        <v>#VALUE!</v>
      </c>
      <c r="IL9" t="e">
        <f>AND(class!M30,"AAAAAAf/v/U=")</f>
        <v>#VALUE!</v>
      </c>
      <c r="IM9" t="e">
        <f>AND(class!N30,"AAAAAAf/v/Y=")</f>
        <v>#VALUE!</v>
      </c>
      <c r="IN9" t="e">
        <f>AND(class!O30,"AAAAAAf/v/c=")</f>
        <v>#VALUE!</v>
      </c>
      <c r="IO9" t="e">
        <f>AND(class!P30,"AAAAAAf/v/g=")</f>
        <v>#VALUE!</v>
      </c>
      <c r="IP9" t="e">
        <f>AND(class!Q30,"AAAAAAf/v/k=")</f>
        <v>#VALUE!</v>
      </c>
      <c r="IQ9" t="e">
        <f>AND(class!R30,"AAAAAAf/v/o=")</f>
        <v>#VALUE!</v>
      </c>
      <c r="IR9" t="e">
        <f>AND(class!S30,"AAAAAAf/v/s=")</f>
        <v>#VALUE!</v>
      </c>
      <c r="IS9" t="e">
        <f>AND(class!T30,"AAAAAAf/v/w=")</f>
        <v>#VALUE!</v>
      </c>
      <c r="IT9" t="e">
        <f>AND(class!U30,"AAAAAAf/v/0=")</f>
        <v>#VALUE!</v>
      </c>
      <c r="IU9" t="e">
        <f>AND(class!V30,"AAAAAAf/v/4=")</f>
        <v>#VALUE!</v>
      </c>
      <c r="IV9" t="e">
        <f>AND(class!W30,"AAAAAAf/v/8=")</f>
        <v>#VALUE!</v>
      </c>
    </row>
    <row r="10" spans="1:256" x14ac:dyDescent="0.2">
      <c r="A10" t="e">
        <f>AND(class!X30,"AAAAAH/32wA=")</f>
        <v>#VALUE!</v>
      </c>
      <c r="B10" t="e">
        <f>AND(class!Y30,"AAAAAH/32wE=")</f>
        <v>#VALUE!</v>
      </c>
      <c r="C10" t="e">
        <f>AND(class!Z30,"AAAAAH/32wI=")</f>
        <v>#VALUE!</v>
      </c>
      <c r="D10" t="e">
        <f>AND(class!AA30,"AAAAAH/32wM=")</f>
        <v>#VALUE!</v>
      </c>
      <c r="E10" t="e">
        <f>AND(class!AB30,"AAAAAH/32wQ=")</f>
        <v>#VALUE!</v>
      </c>
      <c r="F10" t="e">
        <f>AND(class!AC30,"AAAAAH/32wU=")</f>
        <v>#VALUE!</v>
      </c>
      <c r="G10">
        <f>IF(class!31:31,"AAAAAH/32wY=",0)</f>
        <v>0</v>
      </c>
      <c r="H10" t="e">
        <f>AND(class!A31,"AAAAAH/32wc=")</f>
        <v>#VALUE!</v>
      </c>
      <c r="I10" t="e">
        <f>AND(class!B31,"AAAAAH/32wg=")</f>
        <v>#VALUE!</v>
      </c>
      <c r="J10" t="e">
        <f>AND(class!C31,"AAAAAH/32wk=")</f>
        <v>#VALUE!</v>
      </c>
      <c r="K10" t="e">
        <f>AND(class!D31,"AAAAAH/32wo=")</f>
        <v>#VALUE!</v>
      </c>
      <c r="L10" t="e">
        <f>AND(class!E31,"AAAAAH/32ws=")</f>
        <v>#VALUE!</v>
      </c>
      <c r="M10" t="e">
        <f>AND(class!F31,"AAAAAH/32ww=")</f>
        <v>#VALUE!</v>
      </c>
      <c r="N10" t="e">
        <f>AND(class!G31,"AAAAAH/32w0=")</f>
        <v>#VALUE!</v>
      </c>
      <c r="O10" t="e">
        <f>AND(class!H31,"AAAAAH/32w4=")</f>
        <v>#VALUE!</v>
      </c>
      <c r="P10" t="e">
        <f>AND(class!I31,"AAAAAH/32w8=")</f>
        <v>#VALUE!</v>
      </c>
      <c r="Q10" t="e">
        <f>AND(class!J31,"AAAAAH/32xA=")</f>
        <v>#VALUE!</v>
      </c>
      <c r="R10" t="e">
        <f>AND(class!K31,"AAAAAH/32xE=")</f>
        <v>#VALUE!</v>
      </c>
      <c r="S10" t="e">
        <f>AND(class!L31,"AAAAAH/32xI=")</f>
        <v>#VALUE!</v>
      </c>
      <c r="T10" t="e">
        <f>AND(class!M31,"AAAAAH/32xM=")</f>
        <v>#VALUE!</v>
      </c>
      <c r="U10" t="e">
        <f>AND(class!N31,"AAAAAH/32xQ=")</f>
        <v>#VALUE!</v>
      </c>
      <c r="V10" t="e">
        <f>AND(class!O31,"AAAAAH/32xU=")</f>
        <v>#VALUE!</v>
      </c>
      <c r="W10" t="e">
        <f>AND(class!P31,"AAAAAH/32xY=")</f>
        <v>#VALUE!</v>
      </c>
      <c r="X10" t="e">
        <f>AND(class!Q31,"AAAAAH/32xc=")</f>
        <v>#VALUE!</v>
      </c>
      <c r="Y10" t="e">
        <f>AND(class!R31,"AAAAAH/32xg=")</f>
        <v>#VALUE!</v>
      </c>
      <c r="Z10" t="e">
        <f>AND(class!S31,"AAAAAH/32xk=")</f>
        <v>#VALUE!</v>
      </c>
      <c r="AA10" t="e">
        <f>AND(class!T31,"AAAAAH/32xo=")</f>
        <v>#VALUE!</v>
      </c>
      <c r="AB10" t="e">
        <f>AND(class!U31,"AAAAAH/32xs=")</f>
        <v>#VALUE!</v>
      </c>
      <c r="AC10" t="e">
        <f>AND(class!V31,"AAAAAH/32xw=")</f>
        <v>#VALUE!</v>
      </c>
      <c r="AD10" t="e">
        <f>AND(class!W31,"AAAAAH/32x0=")</f>
        <v>#VALUE!</v>
      </c>
      <c r="AE10" t="e">
        <f>AND(class!X31,"AAAAAH/32x4=")</f>
        <v>#VALUE!</v>
      </c>
      <c r="AF10" t="e">
        <f>AND(class!Y31,"AAAAAH/32x8=")</f>
        <v>#VALUE!</v>
      </c>
      <c r="AG10" t="e">
        <f>AND(class!Z31,"AAAAAH/32yA=")</f>
        <v>#VALUE!</v>
      </c>
      <c r="AH10" t="e">
        <f>AND(class!AA31,"AAAAAH/32yE=")</f>
        <v>#VALUE!</v>
      </c>
      <c r="AI10" t="e">
        <f>AND(class!AB31,"AAAAAH/32yI=")</f>
        <v>#VALUE!</v>
      </c>
      <c r="AJ10" t="e">
        <f>AND(class!AC31,"AAAAAH/32yM=")</f>
        <v>#VALUE!</v>
      </c>
      <c r="AK10">
        <f>IF(class!32:32,"AAAAAH/32yQ=",0)</f>
        <v>0</v>
      </c>
      <c r="AL10" t="e">
        <f>AND(class!A32,"AAAAAH/32yU=")</f>
        <v>#VALUE!</v>
      </c>
      <c r="AM10" t="e">
        <f>AND(class!B32,"AAAAAH/32yY=")</f>
        <v>#VALUE!</v>
      </c>
      <c r="AN10" t="e">
        <f>AND(class!C32,"AAAAAH/32yc=")</f>
        <v>#VALUE!</v>
      </c>
      <c r="AO10" t="e">
        <f>AND(class!D32,"AAAAAH/32yg=")</f>
        <v>#VALUE!</v>
      </c>
      <c r="AP10" t="e">
        <f>AND(class!E32,"AAAAAH/32yk=")</f>
        <v>#VALUE!</v>
      </c>
      <c r="AQ10" t="e">
        <f>AND(class!F32,"AAAAAH/32yo=")</f>
        <v>#VALUE!</v>
      </c>
      <c r="AR10" t="e">
        <f>AND(class!G32,"AAAAAH/32ys=")</f>
        <v>#VALUE!</v>
      </c>
      <c r="AS10" t="e">
        <f>AND(class!H32,"AAAAAH/32yw=")</f>
        <v>#VALUE!</v>
      </c>
      <c r="AT10" t="e">
        <f>AND(class!I32,"AAAAAH/32y0=")</f>
        <v>#VALUE!</v>
      </c>
      <c r="AU10" t="e">
        <f>AND(class!J32,"AAAAAH/32y4=")</f>
        <v>#VALUE!</v>
      </c>
      <c r="AV10" t="e">
        <f>AND(class!K32,"AAAAAH/32y8=")</f>
        <v>#VALUE!</v>
      </c>
      <c r="AW10" t="e">
        <f>AND(class!L32,"AAAAAH/32zA=")</f>
        <v>#VALUE!</v>
      </c>
      <c r="AX10" t="e">
        <f>AND(class!M32,"AAAAAH/32zE=")</f>
        <v>#VALUE!</v>
      </c>
      <c r="AY10" t="e">
        <f>AND(class!N32,"AAAAAH/32zI=")</f>
        <v>#VALUE!</v>
      </c>
      <c r="AZ10" t="e">
        <f>AND(class!O32,"AAAAAH/32zM=")</f>
        <v>#VALUE!</v>
      </c>
      <c r="BA10" t="e">
        <f>AND(class!P32,"AAAAAH/32zQ=")</f>
        <v>#VALUE!</v>
      </c>
      <c r="BB10" t="e">
        <f>AND(class!Q32,"AAAAAH/32zU=")</f>
        <v>#VALUE!</v>
      </c>
      <c r="BC10" t="e">
        <f>AND(class!R32,"AAAAAH/32zY=")</f>
        <v>#VALUE!</v>
      </c>
      <c r="BD10" t="e">
        <f>AND(class!S32,"AAAAAH/32zc=")</f>
        <v>#VALUE!</v>
      </c>
      <c r="BE10" t="e">
        <f>AND(class!T32,"AAAAAH/32zg=")</f>
        <v>#VALUE!</v>
      </c>
      <c r="BF10" t="e">
        <f>AND(class!U32,"AAAAAH/32zk=")</f>
        <v>#VALUE!</v>
      </c>
      <c r="BG10" t="e">
        <f>AND(class!V32,"AAAAAH/32zo=")</f>
        <v>#VALUE!</v>
      </c>
      <c r="BH10" t="e">
        <f>AND(class!W32,"AAAAAH/32zs=")</f>
        <v>#VALUE!</v>
      </c>
      <c r="BI10" t="e">
        <f>AND(class!X32,"AAAAAH/32zw=")</f>
        <v>#VALUE!</v>
      </c>
      <c r="BJ10" t="e">
        <f>AND(class!Y32,"AAAAAH/32z0=")</f>
        <v>#VALUE!</v>
      </c>
      <c r="BK10" t="e">
        <f>AND(class!Z32,"AAAAAH/32z4=")</f>
        <v>#VALUE!</v>
      </c>
      <c r="BL10" t="e">
        <f>AND(class!AA32,"AAAAAH/32z8=")</f>
        <v>#VALUE!</v>
      </c>
      <c r="BM10" t="e">
        <f>AND(class!AB32,"AAAAAH/320A=")</f>
        <v>#VALUE!</v>
      </c>
      <c r="BN10" t="e">
        <f>AND(class!AC32,"AAAAAH/320E=")</f>
        <v>#VALUE!</v>
      </c>
      <c r="BO10">
        <f>IF(class!33:33,"AAAAAH/320I=",0)</f>
        <v>0</v>
      </c>
      <c r="BP10" t="e">
        <f>AND(class!A33,"AAAAAH/320M=")</f>
        <v>#VALUE!</v>
      </c>
      <c r="BQ10" t="e">
        <f>AND(class!B33,"AAAAAH/320Q=")</f>
        <v>#VALUE!</v>
      </c>
      <c r="BR10" t="e">
        <f>AND(class!C33,"AAAAAH/320U=")</f>
        <v>#VALUE!</v>
      </c>
      <c r="BS10" t="e">
        <f>AND(class!D33,"AAAAAH/320Y=")</f>
        <v>#VALUE!</v>
      </c>
      <c r="BT10" t="e">
        <f>AND(class!E33,"AAAAAH/320c=")</f>
        <v>#VALUE!</v>
      </c>
      <c r="BU10" t="e">
        <f>AND(class!F33,"AAAAAH/320g=")</f>
        <v>#VALUE!</v>
      </c>
      <c r="BV10" t="e">
        <f>AND(class!G33,"AAAAAH/320k=")</f>
        <v>#VALUE!</v>
      </c>
      <c r="BW10" t="e">
        <f>AND(class!H33,"AAAAAH/320o=")</f>
        <v>#VALUE!</v>
      </c>
      <c r="BX10" t="e">
        <f>AND(class!I33,"AAAAAH/320s=")</f>
        <v>#VALUE!</v>
      </c>
      <c r="BY10" t="e">
        <f>AND(class!J33,"AAAAAH/320w=")</f>
        <v>#VALUE!</v>
      </c>
      <c r="BZ10" t="e">
        <f>AND(class!K33,"AAAAAH/3200=")</f>
        <v>#VALUE!</v>
      </c>
      <c r="CA10" t="e">
        <f>AND(class!L33,"AAAAAH/3204=")</f>
        <v>#VALUE!</v>
      </c>
      <c r="CB10" t="e">
        <f>AND(class!M33,"AAAAAH/3208=")</f>
        <v>#VALUE!</v>
      </c>
      <c r="CC10" t="e">
        <f>AND(class!N33,"AAAAAH/321A=")</f>
        <v>#VALUE!</v>
      </c>
      <c r="CD10" t="e">
        <f>AND(class!O33,"AAAAAH/321E=")</f>
        <v>#VALUE!</v>
      </c>
      <c r="CE10" t="e">
        <f>AND(class!P33,"AAAAAH/321I=")</f>
        <v>#VALUE!</v>
      </c>
      <c r="CF10" t="e">
        <f>AND(class!Q33,"AAAAAH/321M=")</f>
        <v>#VALUE!</v>
      </c>
      <c r="CG10" t="e">
        <f>AND(class!R33,"AAAAAH/321Q=")</f>
        <v>#VALUE!</v>
      </c>
      <c r="CH10" t="e">
        <f>AND(class!S33,"AAAAAH/321U=")</f>
        <v>#VALUE!</v>
      </c>
      <c r="CI10" t="e">
        <f>AND(class!T33,"AAAAAH/321Y=")</f>
        <v>#VALUE!</v>
      </c>
      <c r="CJ10" t="e">
        <f>AND(class!U33,"AAAAAH/321c=")</f>
        <v>#VALUE!</v>
      </c>
      <c r="CK10" t="e">
        <f>AND(class!V33,"AAAAAH/321g=")</f>
        <v>#VALUE!</v>
      </c>
      <c r="CL10" t="e">
        <f>AND(class!W33,"AAAAAH/321k=")</f>
        <v>#VALUE!</v>
      </c>
      <c r="CM10" t="e">
        <f>AND(class!X33,"AAAAAH/321o=")</f>
        <v>#VALUE!</v>
      </c>
      <c r="CN10" t="e">
        <f>AND(class!Y33,"AAAAAH/321s=")</f>
        <v>#VALUE!</v>
      </c>
      <c r="CO10" t="e">
        <f>AND(class!Z33,"AAAAAH/321w=")</f>
        <v>#VALUE!</v>
      </c>
      <c r="CP10" t="e">
        <f>AND(class!AA33,"AAAAAH/3210=")</f>
        <v>#VALUE!</v>
      </c>
      <c r="CQ10" t="e">
        <f>AND(class!AB33,"AAAAAH/3214=")</f>
        <v>#VALUE!</v>
      </c>
      <c r="CR10" t="e">
        <f>AND(class!AC33,"AAAAAH/3218=")</f>
        <v>#VALUE!</v>
      </c>
      <c r="CS10">
        <f>IF(class!34:34,"AAAAAH/322A=",0)</f>
        <v>0</v>
      </c>
      <c r="CT10" t="e">
        <f>AND(class!A34,"AAAAAH/322E=")</f>
        <v>#VALUE!</v>
      </c>
      <c r="CU10" t="e">
        <f>AND(class!B34,"AAAAAH/322I=")</f>
        <v>#VALUE!</v>
      </c>
      <c r="CV10" t="e">
        <f>AND(class!C34,"AAAAAH/322M=")</f>
        <v>#VALUE!</v>
      </c>
      <c r="CW10" t="e">
        <f>AND(class!D34,"AAAAAH/322Q=")</f>
        <v>#VALUE!</v>
      </c>
      <c r="CX10" t="e">
        <f>AND(class!E34,"AAAAAH/322U=")</f>
        <v>#VALUE!</v>
      </c>
      <c r="CY10" t="e">
        <f>AND(class!F34,"AAAAAH/322Y=")</f>
        <v>#VALUE!</v>
      </c>
      <c r="CZ10" t="e">
        <f>AND(class!G34,"AAAAAH/322c=")</f>
        <v>#VALUE!</v>
      </c>
      <c r="DA10" t="e">
        <f>AND(class!H34,"AAAAAH/322g=")</f>
        <v>#VALUE!</v>
      </c>
      <c r="DB10" t="e">
        <f>AND(class!I34,"AAAAAH/322k=")</f>
        <v>#VALUE!</v>
      </c>
      <c r="DC10" t="e">
        <f>AND(class!J34,"AAAAAH/322o=")</f>
        <v>#VALUE!</v>
      </c>
      <c r="DD10" t="e">
        <f>AND(class!K34,"AAAAAH/322s=")</f>
        <v>#VALUE!</v>
      </c>
      <c r="DE10" t="e">
        <f>AND(class!L34,"AAAAAH/322w=")</f>
        <v>#VALUE!</v>
      </c>
      <c r="DF10" t="e">
        <f>AND(class!M34,"AAAAAH/3220=")</f>
        <v>#VALUE!</v>
      </c>
      <c r="DG10" t="e">
        <f>AND(class!N34,"AAAAAH/3224=")</f>
        <v>#VALUE!</v>
      </c>
      <c r="DH10" t="e">
        <f>AND(class!O34,"AAAAAH/3228=")</f>
        <v>#VALUE!</v>
      </c>
      <c r="DI10" t="e">
        <f>AND(class!P34,"AAAAAH/323A=")</f>
        <v>#VALUE!</v>
      </c>
      <c r="DJ10" t="e">
        <f>AND(class!Q34,"AAAAAH/323E=")</f>
        <v>#VALUE!</v>
      </c>
      <c r="DK10" t="e">
        <f>AND(class!R34,"AAAAAH/323I=")</f>
        <v>#VALUE!</v>
      </c>
      <c r="DL10" t="e">
        <f>AND(class!S34,"AAAAAH/323M=")</f>
        <v>#VALUE!</v>
      </c>
      <c r="DM10" t="e">
        <f>AND(class!T34,"AAAAAH/323Q=")</f>
        <v>#VALUE!</v>
      </c>
      <c r="DN10" t="e">
        <f>AND(class!U34,"AAAAAH/323U=")</f>
        <v>#VALUE!</v>
      </c>
      <c r="DO10" t="e">
        <f>AND(class!V34,"AAAAAH/323Y=")</f>
        <v>#VALUE!</v>
      </c>
      <c r="DP10" t="e">
        <f>AND(class!W34,"AAAAAH/323c=")</f>
        <v>#VALUE!</v>
      </c>
      <c r="DQ10" t="e">
        <f>AND(class!X34,"AAAAAH/323g=")</f>
        <v>#VALUE!</v>
      </c>
      <c r="DR10" t="e">
        <f>AND(class!Y34,"AAAAAH/323k=")</f>
        <v>#VALUE!</v>
      </c>
      <c r="DS10" t="e">
        <f>AND(class!Z34,"AAAAAH/323o=")</f>
        <v>#VALUE!</v>
      </c>
      <c r="DT10" t="e">
        <f>AND(class!AA34,"AAAAAH/323s=")</f>
        <v>#VALUE!</v>
      </c>
      <c r="DU10" t="e">
        <f>AND(class!AB34,"AAAAAH/323w=")</f>
        <v>#VALUE!</v>
      </c>
      <c r="DV10" t="e">
        <f>AND(class!AC34,"AAAAAH/3230=")</f>
        <v>#VALUE!</v>
      </c>
      <c r="DW10">
        <f>IF(class!35:35,"AAAAAH/3234=",0)</f>
        <v>0</v>
      </c>
      <c r="DX10" t="e">
        <f>AND(class!A35,"AAAAAH/3238=")</f>
        <v>#VALUE!</v>
      </c>
      <c r="DY10" t="e">
        <f>AND(class!B35,"AAAAAH/324A=")</f>
        <v>#VALUE!</v>
      </c>
      <c r="DZ10" t="e">
        <f>AND(class!C35,"AAAAAH/324E=")</f>
        <v>#VALUE!</v>
      </c>
      <c r="EA10" t="e">
        <f>AND(class!D35,"AAAAAH/324I=")</f>
        <v>#VALUE!</v>
      </c>
      <c r="EB10" t="e">
        <f>AND(class!E35,"AAAAAH/324M=")</f>
        <v>#VALUE!</v>
      </c>
      <c r="EC10" t="e">
        <f>AND(class!F35,"AAAAAH/324Q=")</f>
        <v>#VALUE!</v>
      </c>
      <c r="ED10" t="e">
        <f>AND(class!G35,"AAAAAH/324U=")</f>
        <v>#VALUE!</v>
      </c>
      <c r="EE10" t="e">
        <f>AND(class!H35,"AAAAAH/324Y=")</f>
        <v>#VALUE!</v>
      </c>
      <c r="EF10" t="e">
        <f>AND(class!I35,"AAAAAH/324c=")</f>
        <v>#VALUE!</v>
      </c>
      <c r="EG10" t="e">
        <f>AND(class!J35,"AAAAAH/324g=")</f>
        <v>#VALUE!</v>
      </c>
      <c r="EH10" t="e">
        <f>AND(class!K35,"AAAAAH/324k=")</f>
        <v>#VALUE!</v>
      </c>
      <c r="EI10" t="e">
        <f>AND(class!L35,"AAAAAH/324o=")</f>
        <v>#VALUE!</v>
      </c>
      <c r="EJ10" t="e">
        <f>AND(class!M35,"AAAAAH/324s=")</f>
        <v>#VALUE!</v>
      </c>
      <c r="EK10" t="e">
        <f>AND(class!N35,"AAAAAH/324w=")</f>
        <v>#VALUE!</v>
      </c>
      <c r="EL10" t="e">
        <f>AND(class!O35,"AAAAAH/3240=")</f>
        <v>#VALUE!</v>
      </c>
      <c r="EM10" t="e">
        <f>AND(class!P35,"AAAAAH/3244=")</f>
        <v>#VALUE!</v>
      </c>
      <c r="EN10" t="e">
        <f>AND(class!Q35,"AAAAAH/3248=")</f>
        <v>#VALUE!</v>
      </c>
      <c r="EO10" t="e">
        <f>AND(class!R35,"AAAAAH/325A=")</f>
        <v>#VALUE!</v>
      </c>
      <c r="EP10" t="e">
        <f>AND(class!S35,"AAAAAH/325E=")</f>
        <v>#VALUE!</v>
      </c>
      <c r="EQ10" t="e">
        <f>AND(class!T35,"AAAAAH/325I=")</f>
        <v>#VALUE!</v>
      </c>
      <c r="ER10" t="e">
        <f>AND(class!U35,"AAAAAH/325M=")</f>
        <v>#VALUE!</v>
      </c>
      <c r="ES10" t="e">
        <f>AND(class!V35,"AAAAAH/325Q=")</f>
        <v>#VALUE!</v>
      </c>
      <c r="ET10" t="e">
        <f>AND(class!W35,"AAAAAH/325U=")</f>
        <v>#VALUE!</v>
      </c>
      <c r="EU10" t="e">
        <f>AND(class!X35,"AAAAAH/325Y=")</f>
        <v>#VALUE!</v>
      </c>
      <c r="EV10" t="e">
        <f>AND(class!Y35,"AAAAAH/325c=")</f>
        <v>#VALUE!</v>
      </c>
      <c r="EW10" t="e">
        <f>AND(class!Z35,"AAAAAH/325g=")</f>
        <v>#VALUE!</v>
      </c>
      <c r="EX10" t="e">
        <f>AND(class!AA35,"AAAAAH/325k=")</f>
        <v>#VALUE!</v>
      </c>
      <c r="EY10" t="e">
        <f>AND(class!AB35,"AAAAAH/325o=")</f>
        <v>#VALUE!</v>
      </c>
      <c r="EZ10" t="e">
        <f>AND(class!AC35,"AAAAAH/325s=")</f>
        <v>#VALUE!</v>
      </c>
      <c r="FA10">
        <f>IF(class!36:36,"AAAAAH/325w=",0)</f>
        <v>0</v>
      </c>
      <c r="FB10" t="e">
        <f>AND(class!A36,"AAAAAH/3250=")</f>
        <v>#VALUE!</v>
      </c>
      <c r="FC10" t="e">
        <f>AND(class!B36,"AAAAAH/3254=")</f>
        <v>#VALUE!</v>
      </c>
      <c r="FD10" t="e">
        <f>AND(class!C36,"AAAAAH/3258=")</f>
        <v>#VALUE!</v>
      </c>
      <c r="FE10" t="e">
        <f>AND(class!D36,"AAAAAH/326A=")</f>
        <v>#VALUE!</v>
      </c>
      <c r="FF10" t="e">
        <f>AND(class!E36,"AAAAAH/326E=")</f>
        <v>#VALUE!</v>
      </c>
      <c r="FG10" t="e">
        <f>AND(class!F36,"AAAAAH/326I=")</f>
        <v>#VALUE!</v>
      </c>
      <c r="FH10" t="e">
        <f>AND(class!G36,"AAAAAH/326M=")</f>
        <v>#VALUE!</v>
      </c>
      <c r="FI10" t="e">
        <f>AND(class!H36,"AAAAAH/326Q=")</f>
        <v>#VALUE!</v>
      </c>
      <c r="FJ10" t="e">
        <f>AND(class!I36,"AAAAAH/326U=")</f>
        <v>#VALUE!</v>
      </c>
      <c r="FK10" t="e">
        <f>AND(class!J36,"AAAAAH/326Y=")</f>
        <v>#VALUE!</v>
      </c>
      <c r="FL10" t="e">
        <f>AND(class!K36,"AAAAAH/326c=")</f>
        <v>#VALUE!</v>
      </c>
      <c r="FM10" t="e">
        <f>AND(class!L36,"AAAAAH/326g=")</f>
        <v>#VALUE!</v>
      </c>
      <c r="FN10" t="e">
        <f>AND(class!M36,"AAAAAH/326k=")</f>
        <v>#VALUE!</v>
      </c>
      <c r="FO10" t="e">
        <f>AND(class!N36,"AAAAAH/326o=")</f>
        <v>#VALUE!</v>
      </c>
      <c r="FP10" t="e">
        <f>AND(class!O36,"AAAAAH/326s=")</f>
        <v>#VALUE!</v>
      </c>
      <c r="FQ10" t="e">
        <f>AND(class!P36,"AAAAAH/326w=")</f>
        <v>#VALUE!</v>
      </c>
      <c r="FR10" t="e">
        <f>AND(class!Q36,"AAAAAH/3260=")</f>
        <v>#VALUE!</v>
      </c>
      <c r="FS10" t="e">
        <f>AND(class!R36,"AAAAAH/3264=")</f>
        <v>#VALUE!</v>
      </c>
      <c r="FT10" t="e">
        <f>AND(class!S36,"AAAAAH/3268=")</f>
        <v>#VALUE!</v>
      </c>
      <c r="FU10" t="e">
        <f>AND(class!T36,"AAAAAH/327A=")</f>
        <v>#VALUE!</v>
      </c>
      <c r="FV10" t="e">
        <f>AND(class!U36,"AAAAAH/327E=")</f>
        <v>#VALUE!</v>
      </c>
      <c r="FW10" t="e">
        <f>AND(class!V36,"AAAAAH/327I=")</f>
        <v>#VALUE!</v>
      </c>
      <c r="FX10" t="e">
        <f>AND(class!W36,"AAAAAH/327M=")</f>
        <v>#VALUE!</v>
      </c>
      <c r="FY10" t="e">
        <f>AND(class!X36,"AAAAAH/327Q=")</f>
        <v>#VALUE!</v>
      </c>
      <c r="FZ10" t="e">
        <f>AND(class!Y36,"AAAAAH/327U=")</f>
        <v>#VALUE!</v>
      </c>
      <c r="GA10" t="e">
        <f>AND(class!Z36,"AAAAAH/327Y=")</f>
        <v>#VALUE!</v>
      </c>
      <c r="GB10" t="e">
        <f>AND(class!AA36,"AAAAAH/327c=")</f>
        <v>#VALUE!</v>
      </c>
      <c r="GC10" t="e">
        <f>AND(class!AB36,"AAAAAH/327g=")</f>
        <v>#VALUE!</v>
      </c>
      <c r="GD10" t="e">
        <f>AND(class!AC36,"AAAAAH/327k=")</f>
        <v>#VALUE!</v>
      </c>
      <c r="GE10">
        <f>IF(class!37:37,"AAAAAH/327o=",0)</f>
        <v>0</v>
      </c>
      <c r="GF10" t="e">
        <f>AND(class!A37,"AAAAAH/327s=")</f>
        <v>#VALUE!</v>
      </c>
      <c r="GG10" t="e">
        <f>AND(class!B37,"AAAAAH/327w=")</f>
        <v>#VALUE!</v>
      </c>
      <c r="GH10" t="e">
        <f>AND(class!C37,"AAAAAH/3270=")</f>
        <v>#VALUE!</v>
      </c>
      <c r="GI10" t="e">
        <f>AND(class!D37,"AAAAAH/3274=")</f>
        <v>#VALUE!</v>
      </c>
      <c r="GJ10" t="e">
        <f>AND(class!E37,"AAAAAH/3278=")</f>
        <v>#VALUE!</v>
      </c>
      <c r="GK10" t="e">
        <f>AND(class!F37,"AAAAAH/328A=")</f>
        <v>#VALUE!</v>
      </c>
      <c r="GL10" t="e">
        <f>AND(class!G37,"AAAAAH/328E=")</f>
        <v>#VALUE!</v>
      </c>
      <c r="GM10" t="e">
        <f>AND(class!H37,"AAAAAH/328I=")</f>
        <v>#VALUE!</v>
      </c>
      <c r="GN10" t="e">
        <f>AND(class!I37,"AAAAAH/328M=")</f>
        <v>#VALUE!</v>
      </c>
      <c r="GO10" t="e">
        <f>AND(class!J37,"AAAAAH/328Q=")</f>
        <v>#VALUE!</v>
      </c>
      <c r="GP10" t="e">
        <f>AND(class!K37,"AAAAAH/328U=")</f>
        <v>#VALUE!</v>
      </c>
      <c r="GQ10" t="e">
        <f>AND(class!L37,"AAAAAH/328Y=")</f>
        <v>#VALUE!</v>
      </c>
      <c r="GR10" t="e">
        <f>AND(class!M37,"AAAAAH/328c=")</f>
        <v>#VALUE!</v>
      </c>
      <c r="GS10" t="e">
        <f>AND(class!N37,"AAAAAH/328g=")</f>
        <v>#VALUE!</v>
      </c>
      <c r="GT10" t="e">
        <f>AND(class!O37,"AAAAAH/328k=")</f>
        <v>#VALUE!</v>
      </c>
      <c r="GU10" t="e">
        <f>AND(class!P37,"AAAAAH/328o=")</f>
        <v>#VALUE!</v>
      </c>
      <c r="GV10" t="e">
        <f>AND(class!Q37,"AAAAAH/328s=")</f>
        <v>#VALUE!</v>
      </c>
      <c r="GW10" t="e">
        <f>AND(class!R37,"AAAAAH/328w=")</f>
        <v>#VALUE!</v>
      </c>
      <c r="GX10" t="e">
        <f>AND(class!S37,"AAAAAH/3280=")</f>
        <v>#VALUE!</v>
      </c>
      <c r="GY10" t="e">
        <f>AND(class!T37,"AAAAAH/3284=")</f>
        <v>#VALUE!</v>
      </c>
      <c r="GZ10" t="e">
        <f>AND(class!U37,"AAAAAH/3288=")</f>
        <v>#VALUE!</v>
      </c>
      <c r="HA10" t="e">
        <f>AND(class!V37,"AAAAAH/329A=")</f>
        <v>#VALUE!</v>
      </c>
      <c r="HB10" t="e">
        <f>AND(class!W37,"AAAAAH/329E=")</f>
        <v>#VALUE!</v>
      </c>
      <c r="HC10" t="e">
        <f>AND(class!X37,"AAAAAH/329I=")</f>
        <v>#VALUE!</v>
      </c>
      <c r="HD10" t="e">
        <f>AND(class!Y37,"AAAAAH/329M=")</f>
        <v>#VALUE!</v>
      </c>
      <c r="HE10" t="e">
        <f>AND(class!Z37,"AAAAAH/329Q=")</f>
        <v>#VALUE!</v>
      </c>
      <c r="HF10" t="e">
        <f>AND(class!AA37,"AAAAAH/329U=")</f>
        <v>#VALUE!</v>
      </c>
      <c r="HG10" t="e">
        <f>AND(class!AB37,"AAAAAH/329Y=")</f>
        <v>#VALUE!</v>
      </c>
      <c r="HH10" t="e">
        <f>AND(class!AC37,"AAAAAH/329c=")</f>
        <v>#VALUE!</v>
      </c>
      <c r="HI10">
        <f>IF(class!38:38,"AAAAAH/329g=",0)</f>
        <v>0</v>
      </c>
      <c r="HJ10" t="e">
        <f>AND(class!A38,"AAAAAH/329k=")</f>
        <v>#VALUE!</v>
      </c>
      <c r="HK10" t="e">
        <f>AND(class!B38,"AAAAAH/329o=")</f>
        <v>#VALUE!</v>
      </c>
      <c r="HL10" t="e">
        <f>AND(class!C38,"AAAAAH/329s=")</f>
        <v>#VALUE!</v>
      </c>
      <c r="HM10" t="e">
        <f>AND(class!D38,"AAAAAH/329w=")</f>
        <v>#VALUE!</v>
      </c>
      <c r="HN10" t="e">
        <f>AND(class!E38,"AAAAAH/3290=")</f>
        <v>#VALUE!</v>
      </c>
      <c r="HO10" t="e">
        <f>AND(class!F38,"AAAAAH/3294=")</f>
        <v>#VALUE!</v>
      </c>
      <c r="HP10" t="e">
        <f>AND(class!G38,"AAAAAH/3298=")</f>
        <v>#VALUE!</v>
      </c>
      <c r="HQ10" t="e">
        <f>AND(class!H38,"AAAAAH/32+A=")</f>
        <v>#VALUE!</v>
      </c>
      <c r="HR10" t="e">
        <f>AND(class!I38,"AAAAAH/32+E=")</f>
        <v>#VALUE!</v>
      </c>
      <c r="HS10" t="e">
        <f>AND(class!J38,"AAAAAH/32+I=")</f>
        <v>#VALUE!</v>
      </c>
      <c r="HT10" t="e">
        <f>AND(class!K38,"AAAAAH/32+M=")</f>
        <v>#VALUE!</v>
      </c>
      <c r="HU10" t="e">
        <f>AND(class!L38,"AAAAAH/32+Q=")</f>
        <v>#VALUE!</v>
      </c>
      <c r="HV10" t="e">
        <f>AND(class!M38,"AAAAAH/32+U=")</f>
        <v>#VALUE!</v>
      </c>
      <c r="HW10" t="e">
        <f>AND(class!N38,"AAAAAH/32+Y=")</f>
        <v>#VALUE!</v>
      </c>
      <c r="HX10" t="e">
        <f>AND(class!O38,"AAAAAH/32+c=")</f>
        <v>#VALUE!</v>
      </c>
      <c r="HY10" t="e">
        <f>AND(class!P38,"AAAAAH/32+g=")</f>
        <v>#VALUE!</v>
      </c>
      <c r="HZ10" t="e">
        <f>AND(class!Q38,"AAAAAH/32+k=")</f>
        <v>#VALUE!</v>
      </c>
      <c r="IA10" t="e">
        <f>AND(class!R38,"AAAAAH/32+o=")</f>
        <v>#VALUE!</v>
      </c>
      <c r="IB10" t="e">
        <f>AND(class!S38,"AAAAAH/32+s=")</f>
        <v>#VALUE!</v>
      </c>
      <c r="IC10" t="e">
        <f>AND(class!T38,"AAAAAH/32+w=")</f>
        <v>#VALUE!</v>
      </c>
      <c r="ID10" t="e">
        <f>AND(class!U38,"AAAAAH/32+0=")</f>
        <v>#VALUE!</v>
      </c>
      <c r="IE10" t="e">
        <f>AND(class!V38,"AAAAAH/32+4=")</f>
        <v>#VALUE!</v>
      </c>
      <c r="IF10" t="e">
        <f>AND(class!W38,"AAAAAH/32+8=")</f>
        <v>#VALUE!</v>
      </c>
      <c r="IG10" t="e">
        <f>AND(class!X38,"AAAAAH/32/A=")</f>
        <v>#VALUE!</v>
      </c>
      <c r="IH10" t="e">
        <f>AND(class!Y38,"AAAAAH/32/E=")</f>
        <v>#VALUE!</v>
      </c>
      <c r="II10" t="e">
        <f>AND(class!Z38,"AAAAAH/32/I=")</f>
        <v>#VALUE!</v>
      </c>
      <c r="IJ10" t="e">
        <f>AND(class!AA38,"AAAAAH/32/M=")</f>
        <v>#VALUE!</v>
      </c>
      <c r="IK10" t="e">
        <f>AND(class!AB38,"AAAAAH/32/Q=")</f>
        <v>#VALUE!</v>
      </c>
      <c r="IL10" t="e">
        <f>AND(class!AC38,"AAAAAH/32/U=")</f>
        <v>#VALUE!</v>
      </c>
      <c r="IM10">
        <f>IF(class!39:39,"AAAAAH/32/Y=",0)</f>
        <v>0</v>
      </c>
      <c r="IN10" t="e">
        <f>AND(class!A39,"AAAAAH/32/c=")</f>
        <v>#VALUE!</v>
      </c>
      <c r="IO10" t="e">
        <f>AND(class!B39,"AAAAAH/32/g=")</f>
        <v>#VALUE!</v>
      </c>
      <c r="IP10" t="e">
        <f>AND(class!C39,"AAAAAH/32/k=")</f>
        <v>#VALUE!</v>
      </c>
      <c r="IQ10" t="e">
        <f>AND(class!D39,"AAAAAH/32/o=")</f>
        <v>#VALUE!</v>
      </c>
      <c r="IR10" t="e">
        <f>AND(class!E39,"AAAAAH/32/s=")</f>
        <v>#VALUE!</v>
      </c>
      <c r="IS10" t="e">
        <f>AND(class!F39,"AAAAAH/32/w=")</f>
        <v>#VALUE!</v>
      </c>
      <c r="IT10" t="e">
        <f>AND(class!G39,"AAAAAH/32/0=")</f>
        <v>#VALUE!</v>
      </c>
      <c r="IU10" t="e">
        <f>AND(class!H39,"AAAAAH/32/4=")</f>
        <v>#VALUE!</v>
      </c>
      <c r="IV10" t="e">
        <f>AND(class!I39,"AAAAAH/32/8=")</f>
        <v>#VALUE!</v>
      </c>
    </row>
    <row r="11" spans="1:256" x14ac:dyDescent="0.2">
      <c r="A11" t="e">
        <f>AND(class!J39,"AAAAAH///QA=")</f>
        <v>#VALUE!</v>
      </c>
      <c r="B11" t="e">
        <f>AND(class!K39,"AAAAAH///QE=")</f>
        <v>#VALUE!</v>
      </c>
      <c r="C11" t="e">
        <f>AND(class!L39,"AAAAAH///QI=")</f>
        <v>#VALUE!</v>
      </c>
      <c r="D11" t="e">
        <f>AND(class!M39,"AAAAAH///QM=")</f>
        <v>#VALUE!</v>
      </c>
      <c r="E11" t="e">
        <f>AND(class!N39,"AAAAAH///QQ=")</f>
        <v>#VALUE!</v>
      </c>
      <c r="F11" t="e">
        <f>AND(class!O39,"AAAAAH///QU=")</f>
        <v>#VALUE!</v>
      </c>
      <c r="G11" t="e">
        <f>AND(class!P39,"AAAAAH///QY=")</f>
        <v>#VALUE!</v>
      </c>
      <c r="H11" t="e">
        <f>AND(class!Q39,"AAAAAH///Qc=")</f>
        <v>#VALUE!</v>
      </c>
      <c r="I11" t="e">
        <f>AND(class!R39,"AAAAAH///Qg=")</f>
        <v>#VALUE!</v>
      </c>
      <c r="J11" t="e">
        <f>AND(class!S39,"AAAAAH///Qk=")</f>
        <v>#VALUE!</v>
      </c>
      <c r="K11" t="e">
        <f>AND(class!T39,"AAAAAH///Qo=")</f>
        <v>#VALUE!</v>
      </c>
      <c r="L11" t="e">
        <f>AND(class!U39,"AAAAAH///Qs=")</f>
        <v>#VALUE!</v>
      </c>
      <c r="M11" t="e">
        <f>AND(class!V39,"AAAAAH///Qw=")</f>
        <v>#VALUE!</v>
      </c>
      <c r="N11" t="e">
        <f>AND(class!W39,"AAAAAH///Q0=")</f>
        <v>#VALUE!</v>
      </c>
      <c r="O11" t="e">
        <f>AND(class!X39,"AAAAAH///Q4=")</f>
        <v>#VALUE!</v>
      </c>
      <c r="P11" t="e">
        <f>AND(class!Y39,"AAAAAH///Q8=")</f>
        <v>#VALUE!</v>
      </c>
      <c r="Q11" t="e">
        <f>AND(class!Z39,"AAAAAH///RA=")</f>
        <v>#VALUE!</v>
      </c>
      <c r="R11" t="e">
        <f>AND(class!AA39,"AAAAAH///RE=")</f>
        <v>#VALUE!</v>
      </c>
      <c r="S11" t="e">
        <f>AND(class!AB39,"AAAAAH///RI=")</f>
        <v>#VALUE!</v>
      </c>
      <c r="T11" t="e">
        <f>AND(class!AC39,"AAAAAH///RM=")</f>
        <v>#VALUE!</v>
      </c>
      <c r="U11">
        <f>IF(class!40:40,"AAAAAH///RQ=",0)</f>
        <v>0</v>
      </c>
      <c r="V11" t="e">
        <f>AND(class!A40,"AAAAAH///RU=")</f>
        <v>#VALUE!</v>
      </c>
      <c r="W11" t="e">
        <f>AND(class!B40,"AAAAAH///RY=")</f>
        <v>#VALUE!</v>
      </c>
      <c r="X11" t="e">
        <f>AND(class!C40,"AAAAAH///Rc=")</f>
        <v>#VALUE!</v>
      </c>
      <c r="Y11" t="e">
        <f>AND(class!D40,"AAAAAH///Rg=")</f>
        <v>#VALUE!</v>
      </c>
      <c r="Z11" t="e">
        <f>AND(class!E40,"AAAAAH///Rk=")</f>
        <v>#VALUE!</v>
      </c>
      <c r="AA11" t="e">
        <f>AND(class!F40,"AAAAAH///Ro=")</f>
        <v>#VALUE!</v>
      </c>
      <c r="AB11" t="e">
        <f>AND(class!G40,"AAAAAH///Rs=")</f>
        <v>#VALUE!</v>
      </c>
      <c r="AC11" t="e">
        <f>AND(class!H40,"AAAAAH///Rw=")</f>
        <v>#VALUE!</v>
      </c>
      <c r="AD11" t="e">
        <f>AND(class!I40,"AAAAAH///R0=")</f>
        <v>#VALUE!</v>
      </c>
      <c r="AE11" t="e">
        <f>AND(class!J40,"AAAAAH///R4=")</f>
        <v>#VALUE!</v>
      </c>
      <c r="AF11" t="e">
        <f>AND(class!K40,"AAAAAH///R8=")</f>
        <v>#VALUE!</v>
      </c>
      <c r="AG11" t="e">
        <f>AND(class!L40,"AAAAAH///SA=")</f>
        <v>#VALUE!</v>
      </c>
      <c r="AH11" t="e">
        <f>AND(class!M40,"AAAAAH///SE=")</f>
        <v>#VALUE!</v>
      </c>
      <c r="AI11" t="e">
        <f>AND(class!N40,"AAAAAH///SI=")</f>
        <v>#VALUE!</v>
      </c>
      <c r="AJ11" t="e">
        <f>AND(class!O40,"AAAAAH///SM=")</f>
        <v>#VALUE!</v>
      </c>
      <c r="AK11" t="e">
        <f>AND(class!P40,"AAAAAH///SQ=")</f>
        <v>#VALUE!</v>
      </c>
      <c r="AL11" t="e">
        <f>AND(class!Q40,"AAAAAH///SU=")</f>
        <v>#VALUE!</v>
      </c>
      <c r="AM11" t="e">
        <f>AND(class!R40,"AAAAAH///SY=")</f>
        <v>#VALUE!</v>
      </c>
      <c r="AN11" t="e">
        <f>AND(class!S40,"AAAAAH///Sc=")</f>
        <v>#VALUE!</v>
      </c>
      <c r="AO11" t="e">
        <f>AND(class!T40,"AAAAAH///Sg=")</f>
        <v>#VALUE!</v>
      </c>
      <c r="AP11" t="e">
        <f>AND(class!U40,"AAAAAH///Sk=")</f>
        <v>#VALUE!</v>
      </c>
      <c r="AQ11" t="e">
        <f>AND(class!V40,"AAAAAH///So=")</f>
        <v>#VALUE!</v>
      </c>
      <c r="AR11" t="e">
        <f>AND(class!W40,"AAAAAH///Ss=")</f>
        <v>#VALUE!</v>
      </c>
      <c r="AS11" t="e">
        <f>AND(class!X40,"AAAAAH///Sw=")</f>
        <v>#VALUE!</v>
      </c>
      <c r="AT11" t="e">
        <f>AND(class!Y40,"AAAAAH///S0=")</f>
        <v>#VALUE!</v>
      </c>
      <c r="AU11" t="e">
        <f>AND(class!Z40,"AAAAAH///S4=")</f>
        <v>#VALUE!</v>
      </c>
      <c r="AV11" t="e">
        <f>AND(class!AA40,"AAAAAH///S8=")</f>
        <v>#VALUE!</v>
      </c>
      <c r="AW11" t="e">
        <f>AND(class!AB40,"AAAAAH///TA=")</f>
        <v>#VALUE!</v>
      </c>
      <c r="AX11" t="e">
        <f>AND(class!AC40,"AAAAAH///TE=")</f>
        <v>#VALUE!</v>
      </c>
      <c r="AY11">
        <f>IF(class!41:41,"AAAAAH///TI=",0)</f>
        <v>0</v>
      </c>
      <c r="AZ11" t="e">
        <f>AND(class!A41,"AAAAAH///TM=")</f>
        <v>#VALUE!</v>
      </c>
      <c r="BA11" t="e">
        <f>AND(class!B41,"AAAAAH///TQ=")</f>
        <v>#VALUE!</v>
      </c>
      <c r="BB11" t="e">
        <f>AND(class!C41,"AAAAAH///TU=")</f>
        <v>#VALUE!</v>
      </c>
      <c r="BC11" t="e">
        <f>AND(class!D41,"AAAAAH///TY=")</f>
        <v>#VALUE!</v>
      </c>
      <c r="BD11" t="e">
        <f>AND(class!E41,"AAAAAH///Tc=")</f>
        <v>#VALUE!</v>
      </c>
      <c r="BE11" t="e">
        <f>AND(class!F41,"AAAAAH///Tg=")</f>
        <v>#VALUE!</v>
      </c>
      <c r="BF11" t="e">
        <f>AND(class!G41,"AAAAAH///Tk=")</f>
        <v>#VALUE!</v>
      </c>
      <c r="BG11" t="e">
        <f>AND(class!H41,"AAAAAH///To=")</f>
        <v>#VALUE!</v>
      </c>
      <c r="BH11" t="e">
        <f>AND(class!I41,"AAAAAH///Ts=")</f>
        <v>#VALUE!</v>
      </c>
      <c r="BI11" t="e">
        <f>AND(class!J41,"AAAAAH///Tw=")</f>
        <v>#VALUE!</v>
      </c>
      <c r="BJ11" t="e">
        <f>AND(class!K41,"AAAAAH///T0=")</f>
        <v>#VALUE!</v>
      </c>
      <c r="BK11" t="e">
        <f>AND(class!L41,"AAAAAH///T4=")</f>
        <v>#VALUE!</v>
      </c>
      <c r="BL11" t="e">
        <f>AND(class!M41,"AAAAAH///T8=")</f>
        <v>#VALUE!</v>
      </c>
      <c r="BM11" t="e">
        <f>AND(class!N41,"AAAAAH///UA=")</f>
        <v>#VALUE!</v>
      </c>
      <c r="BN11" t="e">
        <f>AND(class!O41,"AAAAAH///UE=")</f>
        <v>#VALUE!</v>
      </c>
      <c r="BO11" t="e">
        <f>AND(class!P41,"AAAAAH///UI=")</f>
        <v>#VALUE!</v>
      </c>
      <c r="BP11" t="e">
        <f>AND(class!Q41,"AAAAAH///UM=")</f>
        <v>#VALUE!</v>
      </c>
      <c r="BQ11" t="e">
        <f>AND(class!R41,"AAAAAH///UQ=")</f>
        <v>#VALUE!</v>
      </c>
      <c r="BR11" t="e">
        <f>AND(class!S41,"AAAAAH///UU=")</f>
        <v>#VALUE!</v>
      </c>
      <c r="BS11" t="e">
        <f>AND(class!T41,"AAAAAH///UY=")</f>
        <v>#VALUE!</v>
      </c>
      <c r="BT11" t="e">
        <f>AND(class!U41,"AAAAAH///Uc=")</f>
        <v>#VALUE!</v>
      </c>
      <c r="BU11" t="e">
        <f>AND(class!V41,"AAAAAH///Ug=")</f>
        <v>#VALUE!</v>
      </c>
      <c r="BV11" t="e">
        <f>AND(class!W41,"AAAAAH///Uk=")</f>
        <v>#VALUE!</v>
      </c>
      <c r="BW11" t="e">
        <f>AND(class!X41,"AAAAAH///Uo=")</f>
        <v>#VALUE!</v>
      </c>
      <c r="BX11" t="e">
        <f>AND(class!Y41,"AAAAAH///Us=")</f>
        <v>#VALUE!</v>
      </c>
      <c r="BY11" t="e">
        <f>AND(class!Z41,"AAAAAH///Uw=")</f>
        <v>#VALUE!</v>
      </c>
      <c r="BZ11" t="e">
        <f>AND(class!AA41,"AAAAAH///U0=")</f>
        <v>#VALUE!</v>
      </c>
      <c r="CA11" t="e">
        <f>AND(class!AB41,"AAAAAH///U4=")</f>
        <v>#VALUE!</v>
      </c>
      <c r="CB11" t="e">
        <f>AND(class!AC41,"AAAAAH///U8=")</f>
        <v>#VALUE!</v>
      </c>
      <c r="CC11">
        <f>IF(class!42:42,"AAAAAH///VA=",0)</f>
        <v>0</v>
      </c>
      <c r="CD11" t="e">
        <f>AND(class!A42,"AAAAAH///VE=")</f>
        <v>#VALUE!</v>
      </c>
      <c r="CE11" t="e">
        <f>AND(class!B42,"AAAAAH///VI=")</f>
        <v>#VALUE!</v>
      </c>
      <c r="CF11" t="e">
        <f>AND(class!C42,"AAAAAH///VM=")</f>
        <v>#VALUE!</v>
      </c>
      <c r="CG11" t="e">
        <f>AND(class!D42,"AAAAAH///VQ=")</f>
        <v>#VALUE!</v>
      </c>
      <c r="CH11" t="e">
        <f>AND(class!E42,"AAAAAH///VU=")</f>
        <v>#VALUE!</v>
      </c>
      <c r="CI11" t="e">
        <f>AND(class!F42,"AAAAAH///VY=")</f>
        <v>#VALUE!</v>
      </c>
      <c r="CJ11" t="e">
        <f>AND(class!G42,"AAAAAH///Vc=")</f>
        <v>#VALUE!</v>
      </c>
      <c r="CK11" t="e">
        <f>AND(class!H42,"AAAAAH///Vg=")</f>
        <v>#VALUE!</v>
      </c>
      <c r="CL11" t="e">
        <f>AND(class!I42,"AAAAAH///Vk=")</f>
        <v>#VALUE!</v>
      </c>
      <c r="CM11" t="e">
        <f>AND(class!J42,"AAAAAH///Vo=")</f>
        <v>#VALUE!</v>
      </c>
      <c r="CN11" t="e">
        <f>AND(class!K42,"AAAAAH///Vs=")</f>
        <v>#VALUE!</v>
      </c>
      <c r="CO11" t="e">
        <f>AND(class!L42,"AAAAAH///Vw=")</f>
        <v>#VALUE!</v>
      </c>
      <c r="CP11" t="e">
        <f>AND(class!M42,"AAAAAH///V0=")</f>
        <v>#VALUE!</v>
      </c>
      <c r="CQ11" t="e">
        <f>AND(class!N42,"AAAAAH///V4=")</f>
        <v>#VALUE!</v>
      </c>
      <c r="CR11" t="e">
        <f>AND(class!O42,"AAAAAH///V8=")</f>
        <v>#VALUE!</v>
      </c>
      <c r="CS11" t="e">
        <f>AND(class!P42,"AAAAAH///WA=")</f>
        <v>#VALUE!</v>
      </c>
      <c r="CT11" t="e">
        <f>AND(class!Q42,"AAAAAH///WE=")</f>
        <v>#VALUE!</v>
      </c>
      <c r="CU11" t="e">
        <f>AND(class!R42,"AAAAAH///WI=")</f>
        <v>#VALUE!</v>
      </c>
      <c r="CV11" t="e">
        <f>AND(class!S42,"AAAAAH///WM=")</f>
        <v>#VALUE!</v>
      </c>
      <c r="CW11" t="e">
        <f>AND(class!T42,"AAAAAH///WQ=")</f>
        <v>#VALUE!</v>
      </c>
      <c r="CX11" t="e">
        <f>AND(class!U42,"AAAAAH///WU=")</f>
        <v>#VALUE!</v>
      </c>
      <c r="CY11" t="e">
        <f>AND(class!V42,"AAAAAH///WY=")</f>
        <v>#VALUE!</v>
      </c>
      <c r="CZ11" t="e">
        <f>AND(class!W42,"AAAAAH///Wc=")</f>
        <v>#VALUE!</v>
      </c>
      <c r="DA11" t="e">
        <f>AND(class!X42,"AAAAAH///Wg=")</f>
        <v>#VALUE!</v>
      </c>
      <c r="DB11" t="e">
        <f>AND(class!Y42,"AAAAAH///Wk=")</f>
        <v>#VALUE!</v>
      </c>
      <c r="DC11" t="e">
        <f>AND(class!Z42,"AAAAAH///Wo=")</f>
        <v>#VALUE!</v>
      </c>
      <c r="DD11" t="e">
        <f>AND(class!AA42,"AAAAAH///Ws=")</f>
        <v>#VALUE!</v>
      </c>
      <c r="DE11" t="e">
        <f>AND(class!AB42,"AAAAAH///Ww=")</f>
        <v>#VALUE!</v>
      </c>
      <c r="DF11" t="e">
        <f>AND(class!AC42,"AAAAAH///W0=")</f>
        <v>#VALUE!</v>
      </c>
      <c r="DG11">
        <f>IF(class!43:43,"AAAAAH///W4=",0)</f>
        <v>0</v>
      </c>
      <c r="DH11" t="e">
        <f>AND(class!A43,"AAAAAH///W8=")</f>
        <v>#VALUE!</v>
      </c>
      <c r="DI11" t="e">
        <f>AND(class!B43,"AAAAAH///XA=")</f>
        <v>#VALUE!</v>
      </c>
      <c r="DJ11" t="e">
        <f>AND(class!C43,"AAAAAH///XE=")</f>
        <v>#VALUE!</v>
      </c>
      <c r="DK11" t="e">
        <f>AND(class!D43,"AAAAAH///XI=")</f>
        <v>#VALUE!</v>
      </c>
      <c r="DL11" t="e">
        <f>AND(class!E43,"AAAAAH///XM=")</f>
        <v>#VALUE!</v>
      </c>
      <c r="DM11" t="e">
        <f>AND(class!F43,"AAAAAH///XQ=")</f>
        <v>#VALUE!</v>
      </c>
      <c r="DN11" t="e">
        <f>AND(class!G43,"AAAAAH///XU=")</f>
        <v>#VALUE!</v>
      </c>
      <c r="DO11" t="e">
        <f>AND(class!H43,"AAAAAH///XY=")</f>
        <v>#VALUE!</v>
      </c>
      <c r="DP11" t="e">
        <f>AND(class!I43,"AAAAAH///Xc=")</f>
        <v>#VALUE!</v>
      </c>
      <c r="DQ11" t="e">
        <f>AND(class!J43,"AAAAAH///Xg=")</f>
        <v>#VALUE!</v>
      </c>
      <c r="DR11" t="e">
        <f>AND(class!K43,"AAAAAH///Xk=")</f>
        <v>#VALUE!</v>
      </c>
      <c r="DS11" t="e">
        <f>AND(class!L43,"AAAAAH///Xo=")</f>
        <v>#VALUE!</v>
      </c>
      <c r="DT11" t="e">
        <f>AND(class!M43,"AAAAAH///Xs=")</f>
        <v>#VALUE!</v>
      </c>
      <c r="DU11" t="e">
        <f>AND(class!N43,"AAAAAH///Xw=")</f>
        <v>#VALUE!</v>
      </c>
      <c r="DV11" t="e">
        <f>AND(class!O43,"AAAAAH///X0=")</f>
        <v>#VALUE!</v>
      </c>
      <c r="DW11" t="e">
        <f>AND(class!P43,"AAAAAH///X4=")</f>
        <v>#VALUE!</v>
      </c>
      <c r="DX11" t="e">
        <f>AND(class!Q43,"AAAAAH///X8=")</f>
        <v>#VALUE!</v>
      </c>
      <c r="DY11" t="e">
        <f>AND(class!R43,"AAAAAH///YA=")</f>
        <v>#VALUE!</v>
      </c>
      <c r="DZ11" t="e">
        <f>AND(class!S43,"AAAAAH///YE=")</f>
        <v>#VALUE!</v>
      </c>
      <c r="EA11" t="e">
        <f>AND(class!T43,"AAAAAH///YI=")</f>
        <v>#VALUE!</v>
      </c>
      <c r="EB11" t="e">
        <f>AND(class!U43,"AAAAAH///YM=")</f>
        <v>#VALUE!</v>
      </c>
      <c r="EC11" t="e">
        <f>AND(class!V43,"AAAAAH///YQ=")</f>
        <v>#VALUE!</v>
      </c>
      <c r="ED11" t="e">
        <f>AND(class!W43,"AAAAAH///YU=")</f>
        <v>#VALUE!</v>
      </c>
      <c r="EE11" t="e">
        <f>AND(class!X43,"AAAAAH///YY=")</f>
        <v>#VALUE!</v>
      </c>
      <c r="EF11" t="e">
        <f>AND(class!Y43,"AAAAAH///Yc=")</f>
        <v>#VALUE!</v>
      </c>
      <c r="EG11" t="e">
        <f>AND(class!Z43,"AAAAAH///Yg=")</f>
        <v>#VALUE!</v>
      </c>
      <c r="EH11" t="e">
        <f>AND(class!AA43,"AAAAAH///Yk=")</f>
        <v>#VALUE!</v>
      </c>
      <c r="EI11" t="e">
        <f>AND(class!AB43,"AAAAAH///Yo=")</f>
        <v>#VALUE!</v>
      </c>
      <c r="EJ11" t="e">
        <f>AND(class!AC43,"AAAAAH///Ys=")</f>
        <v>#VALUE!</v>
      </c>
      <c r="EK11">
        <f>IF(class!44:44,"AAAAAH///Yw=",0)</f>
        <v>0</v>
      </c>
      <c r="EL11" t="e">
        <f>AND(class!A44,"AAAAAH///Y0=")</f>
        <v>#VALUE!</v>
      </c>
      <c r="EM11" t="e">
        <f>AND(class!B44,"AAAAAH///Y4=")</f>
        <v>#VALUE!</v>
      </c>
      <c r="EN11" t="e">
        <f>AND(class!C44,"AAAAAH///Y8=")</f>
        <v>#VALUE!</v>
      </c>
      <c r="EO11" t="e">
        <f>AND(class!D44,"AAAAAH///ZA=")</f>
        <v>#VALUE!</v>
      </c>
      <c r="EP11" t="e">
        <f>AND(class!E44,"AAAAAH///ZE=")</f>
        <v>#VALUE!</v>
      </c>
      <c r="EQ11" t="e">
        <f>AND(class!F44,"AAAAAH///ZI=")</f>
        <v>#VALUE!</v>
      </c>
      <c r="ER11" t="e">
        <f>AND(class!G44,"AAAAAH///ZM=")</f>
        <v>#VALUE!</v>
      </c>
      <c r="ES11" t="e">
        <f>AND(class!H44,"AAAAAH///ZQ=")</f>
        <v>#VALUE!</v>
      </c>
      <c r="ET11" t="e">
        <f>AND(class!I44,"AAAAAH///ZU=")</f>
        <v>#VALUE!</v>
      </c>
      <c r="EU11" t="e">
        <f>AND(class!J44,"AAAAAH///ZY=")</f>
        <v>#VALUE!</v>
      </c>
      <c r="EV11" t="e">
        <f>AND(class!K44,"AAAAAH///Zc=")</f>
        <v>#VALUE!</v>
      </c>
      <c r="EW11" t="e">
        <f>AND(class!L44,"AAAAAH///Zg=")</f>
        <v>#VALUE!</v>
      </c>
      <c r="EX11" t="e">
        <f>AND(class!M44,"AAAAAH///Zk=")</f>
        <v>#VALUE!</v>
      </c>
      <c r="EY11" t="e">
        <f>AND(class!N44,"AAAAAH///Zo=")</f>
        <v>#VALUE!</v>
      </c>
      <c r="EZ11" t="e">
        <f>AND(class!O44,"AAAAAH///Zs=")</f>
        <v>#VALUE!</v>
      </c>
      <c r="FA11" t="e">
        <f>AND(class!P44,"AAAAAH///Zw=")</f>
        <v>#VALUE!</v>
      </c>
      <c r="FB11" t="e">
        <f>AND(class!Q44,"AAAAAH///Z0=")</f>
        <v>#VALUE!</v>
      </c>
      <c r="FC11" t="e">
        <f>AND(class!R44,"AAAAAH///Z4=")</f>
        <v>#VALUE!</v>
      </c>
      <c r="FD11" t="e">
        <f>AND(class!S44,"AAAAAH///Z8=")</f>
        <v>#VALUE!</v>
      </c>
      <c r="FE11" t="e">
        <f>AND(class!T44,"AAAAAH///aA=")</f>
        <v>#VALUE!</v>
      </c>
      <c r="FF11" t="e">
        <f>AND(class!U44,"AAAAAH///aE=")</f>
        <v>#VALUE!</v>
      </c>
      <c r="FG11" t="e">
        <f>AND(class!V44,"AAAAAH///aI=")</f>
        <v>#VALUE!</v>
      </c>
      <c r="FH11" t="e">
        <f>AND(class!W44,"AAAAAH///aM=")</f>
        <v>#VALUE!</v>
      </c>
      <c r="FI11" t="e">
        <f>AND(class!X44,"AAAAAH///aQ=")</f>
        <v>#VALUE!</v>
      </c>
      <c r="FJ11" t="e">
        <f>AND(class!Y44,"AAAAAH///aU=")</f>
        <v>#VALUE!</v>
      </c>
      <c r="FK11" t="e">
        <f>AND(class!Z44,"AAAAAH///aY=")</f>
        <v>#VALUE!</v>
      </c>
      <c r="FL11" t="e">
        <f>AND(class!AA44,"AAAAAH///ac=")</f>
        <v>#VALUE!</v>
      </c>
      <c r="FM11" t="e">
        <f>AND(class!AB44,"AAAAAH///ag=")</f>
        <v>#VALUE!</v>
      </c>
      <c r="FN11" t="e">
        <f>AND(class!AC44,"AAAAAH///ak=")</f>
        <v>#VALUE!</v>
      </c>
      <c r="FO11">
        <f>IF(class!45:45,"AAAAAH///ao=",0)</f>
        <v>0</v>
      </c>
      <c r="FP11" t="e">
        <f>AND(class!A45,"AAAAAH///as=")</f>
        <v>#VALUE!</v>
      </c>
      <c r="FQ11" t="e">
        <f>AND(class!B45,"AAAAAH///aw=")</f>
        <v>#VALUE!</v>
      </c>
      <c r="FR11" t="e">
        <f>AND(class!C45,"AAAAAH///a0=")</f>
        <v>#VALUE!</v>
      </c>
      <c r="FS11" t="e">
        <f>AND(class!D45,"AAAAAH///a4=")</f>
        <v>#VALUE!</v>
      </c>
      <c r="FT11" t="e">
        <f>AND(class!E45,"AAAAAH///a8=")</f>
        <v>#VALUE!</v>
      </c>
      <c r="FU11" t="e">
        <f>AND(class!F45,"AAAAAH///bA=")</f>
        <v>#VALUE!</v>
      </c>
      <c r="FV11" t="e">
        <f>AND(class!G45,"AAAAAH///bE=")</f>
        <v>#VALUE!</v>
      </c>
      <c r="FW11" t="e">
        <f>AND(class!H45,"AAAAAH///bI=")</f>
        <v>#VALUE!</v>
      </c>
      <c r="FX11" t="e">
        <f>AND(class!I45,"AAAAAH///bM=")</f>
        <v>#VALUE!</v>
      </c>
      <c r="FY11" t="e">
        <f>AND(class!J45,"AAAAAH///bQ=")</f>
        <v>#VALUE!</v>
      </c>
      <c r="FZ11" t="e">
        <f>AND(class!K45,"AAAAAH///bU=")</f>
        <v>#VALUE!</v>
      </c>
      <c r="GA11" t="e">
        <f>AND(class!L45,"AAAAAH///bY=")</f>
        <v>#VALUE!</v>
      </c>
      <c r="GB11" t="e">
        <f>AND(class!M45,"AAAAAH///bc=")</f>
        <v>#VALUE!</v>
      </c>
      <c r="GC11" t="e">
        <f>AND(class!N45,"AAAAAH///bg=")</f>
        <v>#VALUE!</v>
      </c>
      <c r="GD11" t="e">
        <f>AND(class!O45,"AAAAAH///bk=")</f>
        <v>#VALUE!</v>
      </c>
      <c r="GE11" t="e">
        <f>AND(class!P45,"AAAAAH///bo=")</f>
        <v>#VALUE!</v>
      </c>
      <c r="GF11" t="e">
        <f>AND(class!Q45,"AAAAAH///bs=")</f>
        <v>#VALUE!</v>
      </c>
      <c r="GG11" t="e">
        <f>AND(class!R45,"AAAAAH///bw=")</f>
        <v>#VALUE!</v>
      </c>
      <c r="GH11" t="e">
        <f>AND(class!S45,"AAAAAH///b0=")</f>
        <v>#VALUE!</v>
      </c>
      <c r="GI11" t="e">
        <f>AND(class!T45,"AAAAAH///b4=")</f>
        <v>#VALUE!</v>
      </c>
      <c r="GJ11" t="e">
        <f>AND(class!U45,"AAAAAH///b8=")</f>
        <v>#VALUE!</v>
      </c>
      <c r="GK11" t="e">
        <f>AND(class!V45,"AAAAAH///cA=")</f>
        <v>#VALUE!</v>
      </c>
      <c r="GL11" t="e">
        <f>AND(class!W45,"AAAAAH///cE=")</f>
        <v>#VALUE!</v>
      </c>
      <c r="GM11" t="e">
        <f>AND(class!X45,"AAAAAH///cI=")</f>
        <v>#VALUE!</v>
      </c>
      <c r="GN11" t="e">
        <f>AND(class!Y45,"AAAAAH///cM=")</f>
        <v>#VALUE!</v>
      </c>
      <c r="GO11" t="e">
        <f>AND(class!Z45,"AAAAAH///cQ=")</f>
        <v>#VALUE!</v>
      </c>
      <c r="GP11" t="e">
        <f>AND(class!AA45,"AAAAAH///cU=")</f>
        <v>#VALUE!</v>
      </c>
      <c r="GQ11" t="e">
        <f>AND(class!AB45,"AAAAAH///cY=")</f>
        <v>#VALUE!</v>
      </c>
      <c r="GR11" t="e">
        <f>AND(class!AC45,"AAAAAH///cc=")</f>
        <v>#VALUE!</v>
      </c>
      <c r="GS11">
        <f>IF(class!46:46,"AAAAAH///cg=",0)</f>
        <v>0</v>
      </c>
      <c r="GT11" t="e">
        <f>AND(class!A46,"AAAAAH///ck=")</f>
        <v>#VALUE!</v>
      </c>
      <c r="GU11" t="e">
        <f>AND(class!B46,"AAAAAH///co=")</f>
        <v>#VALUE!</v>
      </c>
      <c r="GV11" t="e">
        <f>AND(class!C46,"AAAAAH///cs=")</f>
        <v>#VALUE!</v>
      </c>
      <c r="GW11" t="e">
        <f>AND(class!D46,"AAAAAH///cw=")</f>
        <v>#VALUE!</v>
      </c>
      <c r="GX11" t="e">
        <f>AND(class!E46,"AAAAAH///c0=")</f>
        <v>#VALUE!</v>
      </c>
      <c r="GY11" t="e">
        <f>AND(class!F46,"AAAAAH///c4=")</f>
        <v>#VALUE!</v>
      </c>
      <c r="GZ11" t="e">
        <f>AND(class!G46,"AAAAAH///c8=")</f>
        <v>#VALUE!</v>
      </c>
      <c r="HA11" t="e">
        <f>AND(class!H46,"AAAAAH///dA=")</f>
        <v>#VALUE!</v>
      </c>
      <c r="HB11" t="e">
        <f>AND(class!I46,"AAAAAH///dE=")</f>
        <v>#VALUE!</v>
      </c>
      <c r="HC11" t="e">
        <f>AND(class!J46,"AAAAAH///dI=")</f>
        <v>#VALUE!</v>
      </c>
      <c r="HD11" t="e">
        <f>AND(class!K46,"AAAAAH///dM=")</f>
        <v>#VALUE!</v>
      </c>
      <c r="HE11" t="e">
        <f>AND(class!L46,"AAAAAH///dQ=")</f>
        <v>#VALUE!</v>
      </c>
      <c r="HF11" t="e">
        <f>AND(class!M46,"AAAAAH///dU=")</f>
        <v>#VALUE!</v>
      </c>
      <c r="HG11" t="e">
        <f>AND(class!N46,"AAAAAH///dY=")</f>
        <v>#VALUE!</v>
      </c>
      <c r="HH11" t="e">
        <f>AND(class!O46,"AAAAAH///dc=")</f>
        <v>#VALUE!</v>
      </c>
      <c r="HI11" t="e">
        <f>AND(class!P46,"AAAAAH///dg=")</f>
        <v>#VALUE!</v>
      </c>
      <c r="HJ11" t="e">
        <f>AND(class!Q46,"AAAAAH///dk=")</f>
        <v>#VALUE!</v>
      </c>
      <c r="HK11" t="e">
        <f>AND(class!R46,"AAAAAH///do=")</f>
        <v>#VALUE!</v>
      </c>
      <c r="HL11" t="e">
        <f>AND(class!S46,"AAAAAH///ds=")</f>
        <v>#VALUE!</v>
      </c>
      <c r="HM11" t="e">
        <f>AND(class!T46,"AAAAAH///dw=")</f>
        <v>#VALUE!</v>
      </c>
      <c r="HN11" t="e">
        <f>AND(class!U46,"AAAAAH///d0=")</f>
        <v>#VALUE!</v>
      </c>
      <c r="HO11" t="e">
        <f>AND(class!V46,"AAAAAH///d4=")</f>
        <v>#VALUE!</v>
      </c>
      <c r="HP11" t="e">
        <f>AND(class!W46,"AAAAAH///d8=")</f>
        <v>#VALUE!</v>
      </c>
      <c r="HQ11" t="e">
        <f>AND(class!X46,"AAAAAH///eA=")</f>
        <v>#VALUE!</v>
      </c>
      <c r="HR11" t="e">
        <f>AND(class!Y46,"AAAAAH///eE=")</f>
        <v>#VALUE!</v>
      </c>
      <c r="HS11" t="e">
        <f>AND(class!Z46,"AAAAAH///eI=")</f>
        <v>#VALUE!</v>
      </c>
      <c r="HT11" t="e">
        <f>AND(class!AA46,"AAAAAH///eM=")</f>
        <v>#VALUE!</v>
      </c>
      <c r="HU11" t="e">
        <f>AND(class!AB46,"AAAAAH///eQ=")</f>
        <v>#VALUE!</v>
      </c>
      <c r="HV11" t="e">
        <f>AND(class!AC46,"AAAAAH///eU=")</f>
        <v>#VALUE!</v>
      </c>
      <c r="HW11">
        <f>IF(class!47:47,"AAAAAH///eY=",0)</f>
        <v>0</v>
      </c>
      <c r="HX11" t="e">
        <f>AND(class!A47,"AAAAAH///ec=")</f>
        <v>#VALUE!</v>
      </c>
      <c r="HY11" t="e">
        <f>AND(class!B47,"AAAAAH///eg=")</f>
        <v>#VALUE!</v>
      </c>
      <c r="HZ11" t="e">
        <f>AND(class!C47,"AAAAAH///ek=")</f>
        <v>#VALUE!</v>
      </c>
      <c r="IA11" t="e">
        <f>AND(class!D47,"AAAAAH///eo=")</f>
        <v>#VALUE!</v>
      </c>
      <c r="IB11" t="e">
        <f>AND(class!E47,"AAAAAH///es=")</f>
        <v>#VALUE!</v>
      </c>
      <c r="IC11" t="e">
        <f>AND(class!F47,"AAAAAH///ew=")</f>
        <v>#VALUE!</v>
      </c>
      <c r="ID11" t="e">
        <f>AND(class!G47,"AAAAAH///e0=")</f>
        <v>#VALUE!</v>
      </c>
      <c r="IE11" t="e">
        <f>AND(class!H47,"AAAAAH///e4=")</f>
        <v>#VALUE!</v>
      </c>
      <c r="IF11" t="e">
        <f>AND(class!I47,"AAAAAH///e8=")</f>
        <v>#VALUE!</v>
      </c>
      <c r="IG11" t="e">
        <f>AND(class!J47,"AAAAAH///fA=")</f>
        <v>#VALUE!</v>
      </c>
      <c r="IH11" t="e">
        <f>AND(class!K47,"AAAAAH///fE=")</f>
        <v>#VALUE!</v>
      </c>
      <c r="II11" t="e">
        <f>AND(class!L47,"AAAAAH///fI=")</f>
        <v>#VALUE!</v>
      </c>
      <c r="IJ11" t="e">
        <f>AND(class!M47,"AAAAAH///fM=")</f>
        <v>#VALUE!</v>
      </c>
      <c r="IK11" t="e">
        <f>AND(class!N47,"AAAAAH///fQ=")</f>
        <v>#VALUE!</v>
      </c>
      <c r="IL11" t="e">
        <f>AND(class!O47,"AAAAAH///fU=")</f>
        <v>#VALUE!</v>
      </c>
      <c r="IM11" t="e">
        <f>AND(class!P47,"AAAAAH///fY=")</f>
        <v>#VALUE!</v>
      </c>
      <c r="IN11" t="e">
        <f>AND(class!Q47,"AAAAAH///fc=")</f>
        <v>#VALUE!</v>
      </c>
      <c r="IO11" t="e">
        <f>AND(class!R47,"AAAAAH///fg=")</f>
        <v>#VALUE!</v>
      </c>
      <c r="IP11" t="e">
        <f>AND(class!S47,"AAAAAH///fk=")</f>
        <v>#VALUE!</v>
      </c>
      <c r="IQ11" t="e">
        <f>AND(class!T47,"AAAAAH///fo=")</f>
        <v>#VALUE!</v>
      </c>
      <c r="IR11" t="e">
        <f>AND(class!U47,"AAAAAH///fs=")</f>
        <v>#VALUE!</v>
      </c>
      <c r="IS11" t="e">
        <f>AND(class!V47,"AAAAAH///fw=")</f>
        <v>#VALUE!</v>
      </c>
      <c r="IT11" t="e">
        <f>AND(class!W47,"AAAAAH///f0=")</f>
        <v>#VALUE!</v>
      </c>
      <c r="IU11" t="e">
        <f>AND(class!X47,"AAAAAH///f4=")</f>
        <v>#VALUE!</v>
      </c>
      <c r="IV11" t="e">
        <f>AND(class!Y47,"AAAAAH///f8=")</f>
        <v>#VALUE!</v>
      </c>
    </row>
    <row r="12" spans="1:256" x14ac:dyDescent="0.2">
      <c r="A12" t="e">
        <f>AND(class!Z47,"AAAAAD2t/wA=")</f>
        <v>#VALUE!</v>
      </c>
      <c r="B12" t="e">
        <f>AND(class!AA47,"AAAAAD2t/wE=")</f>
        <v>#VALUE!</v>
      </c>
      <c r="C12" t="e">
        <f>AND(class!AB47,"AAAAAD2t/wI=")</f>
        <v>#VALUE!</v>
      </c>
      <c r="D12" t="e">
        <f>AND(class!AC47,"AAAAAD2t/wM=")</f>
        <v>#VALUE!</v>
      </c>
      <c r="E12">
        <f>IF(class!48:48,"AAAAAD2t/wQ=",0)</f>
        <v>0</v>
      </c>
      <c r="F12" t="e">
        <f>AND(class!A48,"AAAAAD2t/wU=")</f>
        <v>#VALUE!</v>
      </c>
      <c r="G12" t="e">
        <f>AND(class!B48,"AAAAAD2t/wY=")</f>
        <v>#VALUE!</v>
      </c>
      <c r="H12" t="e">
        <f>AND(class!C48,"AAAAAD2t/wc=")</f>
        <v>#VALUE!</v>
      </c>
      <c r="I12" t="e">
        <f>AND(class!D48,"AAAAAD2t/wg=")</f>
        <v>#VALUE!</v>
      </c>
      <c r="J12" t="e">
        <f>AND(class!E48,"AAAAAD2t/wk=")</f>
        <v>#VALUE!</v>
      </c>
      <c r="K12" t="e">
        <f>AND(class!F48,"AAAAAD2t/wo=")</f>
        <v>#VALUE!</v>
      </c>
      <c r="L12" t="e">
        <f>AND(class!G48,"AAAAAD2t/ws=")</f>
        <v>#VALUE!</v>
      </c>
      <c r="M12" t="e">
        <f>AND(class!H48,"AAAAAD2t/ww=")</f>
        <v>#VALUE!</v>
      </c>
      <c r="N12" t="e">
        <f>AND(class!I48,"AAAAAD2t/w0=")</f>
        <v>#VALUE!</v>
      </c>
      <c r="O12" t="e">
        <f>AND(class!J48,"AAAAAD2t/w4=")</f>
        <v>#VALUE!</v>
      </c>
      <c r="P12" t="e">
        <f>AND(class!K48,"AAAAAD2t/w8=")</f>
        <v>#VALUE!</v>
      </c>
      <c r="Q12" t="e">
        <f>AND(class!L48,"AAAAAD2t/xA=")</f>
        <v>#VALUE!</v>
      </c>
      <c r="R12" t="e">
        <f>AND(class!M48,"AAAAAD2t/xE=")</f>
        <v>#VALUE!</v>
      </c>
      <c r="S12" t="e">
        <f>AND(class!N48,"AAAAAD2t/xI=")</f>
        <v>#VALUE!</v>
      </c>
      <c r="T12" t="e">
        <f>AND(class!O48,"AAAAAD2t/xM=")</f>
        <v>#VALUE!</v>
      </c>
      <c r="U12" t="e">
        <f>AND(class!P48,"AAAAAD2t/xQ=")</f>
        <v>#VALUE!</v>
      </c>
      <c r="V12" t="e">
        <f>AND(class!Q48,"AAAAAD2t/xU=")</f>
        <v>#VALUE!</v>
      </c>
      <c r="W12" t="e">
        <f>AND(class!R48,"AAAAAD2t/xY=")</f>
        <v>#VALUE!</v>
      </c>
      <c r="X12" t="e">
        <f>AND(class!S48,"AAAAAD2t/xc=")</f>
        <v>#VALUE!</v>
      </c>
      <c r="Y12" t="e">
        <f>AND(class!T48,"AAAAAD2t/xg=")</f>
        <v>#VALUE!</v>
      </c>
      <c r="Z12" t="e">
        <f>AND(class!U48,"AAAAAD2t/xk=")</f>
        <v>#VALUE!</v>
      </c>
      <c r="AA12" t="e">
        <f>AND(class!V48,"AAAAAD2t/xo=")</f>
        <v>#VALUE!</v>
      </c>
      <c r="AB12" t="e">
        <f>AND(class!W48,"AAAAAD2t/xs=")</f>
        <v>#VALUE!</v>
      </c>
      <c r="AC12" t="e">
        <f>AND(class!X48,"AAAAAD2t/xw=")</f>
        <v>#VALUE!</v>
      </c>
      <c r="AD12" t="e">
        <f>AND(class!Y48,"AAAAAD2t/x0=")</f>
        <v>#VALUE!</v>
      </c>
      <c r="AE12" t="e">
        <f>AND(class!Z48,"AAAAAD2t/x4=")</f>
        <v>#VALUE!</v>
      </c>
      <c r="AF12" t="e">
        <f>AND(class!AA48,"AAAAAD2t/x8=")</f>
        <v>#VALUE!</v>
      </c>
      <c r="AG12" t="e">
        <f>AND(class!AB48,"AAAAAD2t/yA=")</f>
        <v>#VALUE!</v>
      </c>
      <c r="AH12" t="e">
        <f>AND(class!AC48,"AAAAAD2t/yE=")</f>
        <v>#VALUE!</v>
      </c>
      <c r="AI12">
        <f>IF(class!49:49,"AAAAAD2t/yI=",0)</f>
        <v>0</v>
      </c>
      <c r="AJ12" t="e">
        <f>AND(class!A49,"AAAAAD2t/yM=")</f>
        <v>#VALUE!</v>
      </c>
      <c r="AK12" t="e">
        <f>AND(class!B49,"AAAAAD2t/yQ=")</f>
        <v>#VALUE!</v>
      </c>
      <c r="AL12" t="e">
        <f>AND(class!C49,"AAAAAD2t/yU=")</f>
        <v>#VALUE!</v>
      </c>
      <c r="AM12" t="e">
        <f>AND(class!D49,"AAAAAD2t/yY=")</f>
        <v>#VALUE!</v>
      </c>
      <c r="AN12" t="e">
        <f>AND(class!E49,"AAAAAD2t/yc=")</f>
        <v>#VALUE!</v>
      </c>
      <c r="AO12" t="e">
        <f>AND(class!F49,"AAAAAD2t/yg=")</f>
        <v>#VALUE!</v>
      </c>
      <c r="AP12" t="e">
        <f>AND(class!G49,"AAAAAD2t/yk=")</f>
        <v>#VALUE!</v>
      </c>
      <c r="AQ12" t="e">
        <f>AND(class!H49,"AAAAAD2t/yo=")</f>
        <v>#VALUE!</v>
      </c>
      <c r="AR12" t="e">
        <f>AND(class!I49,"AAAAAD2t/ys=")</f>
        <v>#VALUE!</v>
      </c>
      <c r="AS12" t="e">
        <f>AND(class!J49,"AAAAAD2t/yw=")</f>
        <v>#VALUE!</v>
      </c>
      <c r="AT12" t="e">
        <f>AND(class!K49,"AAAAAD2t/y0=")</f>
        <v>#VALUE!</v>
      </c>
      <c r="AU12" t="e">
        <f>AND(class!L49,"AAAAAD2t/y4=")</f>
        <v>#VALUE!</v>
      </c>
      <c r="AV12" t="e">
        <f>AND(class!M49,"AAAAAD2t/y8=")</f>
        <v>#VALUE!</v>
      </c>
      <c r="AW12" t="e">
        <f>AND(class!N49,"AAAAAD2t/zA=")</f>
        <v>#VALUE!</v>
      </c>
      <c r="AX12" t="e">
        <f>AND(class!O49,"AAAAAD2t/zE=")</f>
        <v>#VALUE!</v>
      </c>
      <c r="AY12" t="e">
        <f>AND(class!P49,"AAAAAD2t/zI=")</f>
        <v>#VALUE!</v>
      </c>
      <c r="AZ12" t="e">
        <f>AND(class!Q49,"AAAAAD2t/zM=")</f>
        <v>#VALUE!</v>
      </c>
      <c r="BA12" t="e">
        <f>AND(class!R49,"AAAAAD2t/zQ=")</f>
        <v>#VALUE!</v>
      </c>
      <c r="BB12" t="e">
        <f>AND(class!S49,"AAAAAD2t/zU=")</f>
        <v>#VALUE!</v>
      </c>
      <c r="BC12" t="e">
        <f>AND(class!T49,"AAAAAD2t/zY=")</f>
        <v>#VALUE!</v>
      </c>
      <c r="BD12" t="e">
        <f>AND(class!U49,"AAAAAD2t/zc=")</f>
        <v>#VALUE!</v>
      </c>
      <c r="BE12" t="e">
        <f>AND(class!V49,"AAAAAD2t/zg=")</f>
        <v>#VALUE!</v>
      </c>
      <c r="BF12" t="e">
        <f>AND(class!W49,"AAAAAD2t/zk=")</f>
        <v>#VALUE!</v>
      </c>
      <c r="BG12" t="e">
        <f>AND(class!X49,"AAAAAD2t/zo=")</f>
        <v>#VALUE!</v>
      </c>
      <c r="BH12" t="e">
        <f>AND(class!Y49,"AAAAAD2t/zs=")</f>
        <v>#VALUE!</v>
      </c>
      <c r="BI12" t="e">
        <f>AND(class!Z49,"AAAAAD2t/zw=")</f>
        <v>#VALUE!</v>
      </c>
      <c r="BJ12" t="e">
        <f>AND(class!AA49,"AAAAAD2t/z0=")</f>
        <v>#VALUE!</v>
      </c>
      <c r="BK12" t="e">
        <f>AND(class!AB49,"AAAAAD2t/z4=")</f>
        <v>#VALUE!</v>
      </c>
      <c r="BL12" t="e">
        <f>AND(class!AC49,"AAAAAD2t/z8=")</f>
        <v>#VALUE!</v>
      </c>
      <c r="BM12">
        <f>IF(class!50:50,"AAAAAD2t/0A=",0)</f>
        <v>0</v>
      </c>
      <c r="BN12" t="e">
        <f>AND(class!A50,"AAAAAD2t/0E=")</f>
        <v>#VALUE!</v>
      </c>
      <c r="BO12" t="e">
        <f>AND(class!B50,"AAAAAD2t/0I=")</f>
        <v>#VALUE!</v>
      </c>
      <c r="BP12" t="e">
        <f>AND(class!C50,"AAAAAD2t/0M=")</f>
        <v>#VALUE!</v>
      </c>
      <c r="BQ12" t="e">
        <f>AND(class!D50,"AAAAAD2t/0Q=")</f>
        <v>#VALUE!</v>
      </c>
      <c r="BR12" t="e">
        <f>AND(class!E50,"AAAAAD2t/0U=")</f>
        <v>#VALUE!</v>
      </c>
      <c r="BS12" t="e">
        <f>AND(class!F50,"AAAAAD2t/0Y=")</f>
        <v>#VALUE!</v>
      </c>
      <c r="BT12" t="e">
        <f>AND(class!G50,"AAAAAD2t/0c=")</f>
        <v>#VALUE!</v>
      </c>
      <c r="BU12" t="e">
        <f>AND(class!H50,"AAAAAD2t/0g=")</f>
        <v>#VALUE!</v>
      </c>
      <c r="BV12" t="e">
        <f>AND(class!I50,"AAAAAD2t/0k=")</f>
        <v>#VALUE!</v>
      </c>
      <c r="BW12" t="e">
        <f>AND(class!J50,"AAAAAD2t/0o=")</f>
        <v>#VALUE!</v>
      </c>
      <c r="BX12" t="e">
        <f>AND(class!K50,"AAAAAD2t/0s=")</f>
        <v>#VALUE!</v>
      </c>
      <c r="BY12" t="e">
        <f>AND(class!L50,"AAAAAD2t/0w=")</f>
        <v>#VALUE!</v>
      </c>
      <c r="BZ12" t="e">
        <f>AND(class!M50,"AAAAAD2t/00=")</f>
        <v>#VALUE!</v>
      </c>
      <c r="CA12" t="e">
        <f>AND(class!N50,"AAAAAD2t/04=")</f>
        <v>#VALUE!</v>
      </c>
      <c r="CB12" t="e">
        <f>AND(class!O50,"AAAAAD2t/08=")</f>
        <v>#VALUE!</v>
      </c>
      <c r="CC12" t="e">
        <f>AND(class!P50,"AAAAAD2t/1A=")</f>
        <v>#VALUE!</v>
      </c>
      <c r="CD12" t="e">
        <f>AND(class!Q50,"AAAAAD2t/1E=")</f>
        <v>#VALUE!</v>
      </c>
      <c r="CE12" t="e">
        <f>AND(class!R50,"AAAAAD2t/1I=")</f>
        <v>#VALUE!</v>
      </c>
      <c r="CF12" t="e">
        <f>AND(class!S50,"AAAAAD2t/1M=")</f>
        <v>#VALUE!</v>
      </c>
      <c r="CG12" t="e">
        <f>AND(class!T50,"AAAAAD2t/1Q=")</f>
        <v>#VALUE!</v>
      </c>
      <c r="CH12" t="e">
        <f>AND(class!U50,"AAAAAD2t/1U=")</f>
        <v>#VALUE!</v>
      </c>
      <c r="CI12" t="e">
        <f>AND(class!V50,"AAAAAD2t/1Y=")</f>
        <v>#VALUE!</v>
      </c>
      <c r="CJ12" t="e">
        <f>AND(class!W50,"AAAAAD2t/1c=")</f>
        <v>#VALUE!</v>
      </c>
      <c r="CK12" t="e">
        <f>AND(class!X50,"AAAAAD2t/1g=")</f>
        <v>#VALUE!</v>
      </c>
      <c r="CL12" t="e">
        <f>AND(class!Y50,"AAAAAD2t/1k=")</f>
        <v>#VALUE!</v>
      </c>
      <c r="CM12" t="e">
        <f>AND(class!Z50,"AAAAAD2t/1o=")</f>
        <v>#VALUE!</v>
      </c>
      <c r="CN12" t="e">
        <f>AND(class!AA50,"AAAAAD2t/1s=")</f>
        <v>#VALUE!</v>
      </c>
      <c r="CO12" t="e">
        <f>AND(class!AB50,"AAAAAD2t/1w=")</f>
        <v>#VALUE!</v>
      </c>
      <c r="CP12" t="e">
        <f>AND(class!AC50,"AAAAAD2t/10=")</f>
        <v>#VALUE!</v>
      </c>
      <c r="CQ12">
        <f>IF(class!51:51,"AAAAAD2t/14=",0)</f>
        <v>0</v>
      </c>
      <c r="CR12" t="e">
        <f>AND(class!A51,"AAAAAD2t/18=")</f>
        <v>#VALUE!</v>
      </c>
      <c r="CS12" t="e">
        <f>AND(class!B51,"AAAAAD2t/2A=")</f>
        <v>#VALUE!</v>
      </c>
      <c r="CT12" t="e">
        <f>AND(class!C51,"AAAAAD2t/2E=")</f>
        <v>#VALUE!</v>
      </c>
      <c r="CU12" t="e">
        <f>AND(class!D51,"AAAAAD2t/2I=")</f>
        <v>#VALUE!</v>
      </c>
      <c r="CV12" t="e">
        <f>AND(class!E51,"AAAAAD2t/2M=")</f>
        <v>#VALUE!</v>
      </c>
      <c r="CW12" t="e">
        <f>AND(class!F51,"AAAAAD2t/2Q=")</f>
        <v>#VALUE!</v>
      </c>
      <c r="CX12" t="e">
        <f>AND(class!G51,"AAAAAD2t/2U=")</f>
        <v>#VALUE!</v>
      </c>
      <c r="CY12" t="e">
        <f>AND(class!H51,"AAAAAD2t/2Y=")</f>
        <v>#VALUE!</v>
      </c>
      <c r="CZ12" t="e">
        <f>AND(class!I51,"AAAAAD2t/2c=")</f>
        <v>#VALUE!</v>
      </c>
      <c r="DA12" t="e">
        <f>AND(class!J51,"AAAAAD2t/2g=")</f>
        <v>#VALUE!</v>
      </c>
      <c r="DB12" t="e">
        <f>AND(class!K51,"AAAAAD2t/2k=")</f>
        <v>#VALUE!</v>
      </c>
      <c r="DC12" t="e">
        <f>AND(class!L51,"AAAAAD2t/2o=")</f>
        <v>#VALUE!</v>
      </c>
      <c r="DD12" t="e">
        <f>AND(class!M51,"AAAAAD2t/2s=")</f>
        <v>#VALUE!</v>
      </c>
      <c r="DE12" t="e">
        <f>AND(class!N51,"AAAAAD2t/2w=")</f>
        <v>#VALUE!</v>
      </c>
      <c r="DF12" t="e">
        <f>AND(class!O51,"AAAAAD2t/20=")</f>
        <v>#VALUE!</v>
      </c>
      <c r="DG12" t="e">
        <f>AND(class!P51,"AAAAAD2t/24=")</f>
        <v>#VALUE!</v>
      </c>
      <c r="DH12" t="e">
        <f>AND(class!Q51,"AAAAAD2t/28=")</f>
        <v>#VALUE!</v>
      </c>
      <c r="DI12" t="e">
        <f>AND(class!R51,"AAAAAD2t/3A=")</f>
        <v>#VALUE!</v>
      </c>
      <c r="DJ12" t="e">
        <f>AND(class!S51,"AAAAAD2t/3E=")</f>
        <v>#VALUE!</v>
      </c>
      <c r="DK12" t="e">
        <f>AND(class!T51,"AAAAAD2t/3I=")</f>
        <v>#VALUE!</v>
      </c>
      <c r="DL12" t="e">
        <f>AND(class!U51,"AAAAAD2t/3M=")</f>
        <v>#VALUE!</v>
      </c>
      <c r="DM12" t="e">
        <f>AND(class!V51,"AAAAAD2t/3Q=")</f>
        <v>#VALUE!</v>
      </c>
      <c r="DN12" t="e">
        <f>AND(class!W51,"AAAAAD2t/3U=")</f>
        <v>#VALUE!</v>
      </c>
      <c r="DO12" t="e">
        <f>AND(class!X51,"AAAAAD2t/3Y=")</f>
        <v>#VALUE!</v>
      </c>
      <c r="DP12" t="e">
        <f>AND(class!Y51,"AAAAAD2t/3c=")</f>
        <v>#VALUE!</v>
      </c>
      <c r="DQ12" t="e">
        <f>AND(class!Z51,"AAAAAD2t/3g=")</f>
        <v>#VALUE!</v>
      </c>
      <c r="DR12" t="e">
        <f>AND(class!AA51,"AAAAAD2t/3k=")</f>
        <v>#VALUE!</v>
      </c>
      <c r="DS12" t="e">
        <f>AND(class!AB51,"AAAAAD2t/3o=")</f>
        <v>#VALUE!</v>
      </c>
      <c r="DT12" t="e">
        <f>AND(class!AC51,"AAAAAD2t/3s=")</f>
        <v>#VALUE!</v>
      </c>
      <c r="DU12">
        <f>IF(class!52:52,"AAAAAD2t/3w=",0)</f>
        <v>0</v>
      </c>
      <c r="DV12" t="e">
        <f>AND(class!A52,"AAAAAD2t/30=")</f>
        <v>#VALUE!</v>
      </c>
      <c r="DW12" t="e">
        <f>AND(class!B52,"AAAAAD2t/34=")</f>
        <v>#VALUE!</v>
      </c>
      <c r="DX12" t="e">
        <f>AND(class!C52,"AAAAAD2t/38=")</f>
        <v>#VALUE!</v>
      </c>
      <c r="DY12" t="e">
        <f>AND(class!D52,"AAAAAD2t/4A=")</f>
        <v>#VALUE!</v>
      </c>
      <c r="DZ12" t="e">
        <f>AND(class!E52,"AAAAAD2t/4E=")</f>
        <v>#VALUE!</v>
      </c>
      <c r="EA12" t="e">
        <f>AND(class!F52,"AAAAAD2t/4I=")</f>
        <v>#VALUE!</v>
      </c>
      <c r="EB12" t="e">
        <f>AND(class!G52,"AAAAAD2t/4M=")</f>
        <v>#VALUE!</v>
      </c>
      <c r="EC12" t="e">
        <f>AND(class!H52,"AAAAAD2t/4Q=")</f>
        <v>#VALUE!</v>
      </c>
      <c r="ED12" t="e">
        <f>AND(class!I52,"AAAAAD2t/4U=")</f>
        <v>#VALUE!</v>
      </c>
      <c r="EE12" t="e">
        <f>AND(class!J52,"AAAAAD2t/4Y=")</f>
        <v>#VALUE!</v>
      </c>
      <c r="EF12" t="e">
        <f>AND(class!K52,"AAAAAD2t/4c=")</f>
        <v>#VALUE!</v>
      </c>
      <c r="EG12" t="e">
        <f>AND(class!L52,"AAAAAD2t/4g=")</f>
        <v>#VALUE!</v>
      </c>
      <c r="EH12" t="e">
        <f>AND(class!M52,"AAAAAD2t/4k=")</f>
        <v>#VALUE!</v>
      </c>
      <c r="EI12" t="e">
        <f>AND(class!N52,"AAAAAD2t/4o=")</f>
        <v>#VALUE!</v>
      </c>
      <c r="EJ12" t="e">
        <f>AND(class!O52,"AAAAAD2t/4s=")</f>
        <v>#VALUE!</v>
      </c>
      <c r="EK12" t="e">
        <f>AND(class!P52,"AAAAAD2t/4w=")</f>
        <v>#VALUE!</v>
      </c>
      <c r="EL12" t="e">
        <f>AND(class!Q52,"AAAAAD2t/40=")</f>
        <v>#VALUE!</v>
      </c>
      <c r="EM12" t="e">
        <f>AND(class!R52,"AAAAAD2t/44=")</f>
        <v>#VALUE!</v>
      </c>
      <c r="EN12" t="e">
        <f>AND(class!S52,"AAAAAD2t/48=")</f>
        <v>#VALUE!</v>
      </c>
      <c r="EO12" t="e">
        <f>AND(class!T52,"AAAAAD2t/5A=")</f>
        <v>#VALUE!</v>
      </c>
      <c r="EP12" t="e">
        <f>AND(class!U52,"AAAAAD2t/5E=")</f>
        <v>#VALUE!</v>
      </c>
      <c r="EQ12" t="e">
        <f>AND(class!V52,"AAAAAD2t/5I=")</f>
        <v>#VALUE!</v>
      </c>
      <c r="ER12" t="e">
        <f>AND(class!W52,"AAAAAD2t/5M=")</f>
        <v>#VALUE!</v>
      </c>
      <c r="ES12" t="e">
        <f>AND(class!X52,"AAAAAD2t/5Q=")</f>
        <v>#VALUE!</v>
      </c>
      <c r="ET12" t="e">
        <f>AND(class!Y52,"AAAAAD2t/5U=")</f>
        <v>#VALUE!</v>
      </c>
      <c r="EU12" t="e">
        <f>AND(class!Z52,"AAAAAD2t/5Y=")</f>
        <v>#VALUE!</v>
      </c>
      <c r="EV12" t="e">
        <f>AND(class!AA52,"AAAAAD2t/5c=")</f>
        <v>#VALUE!</v>
      </c>
      <c r="EW12" t="e">
        <f>AND(class!AB52,"AAAAAD2t/5g=")</f>
        <v>#VALUE!</v>
      </c>
      <c r="EX12" t="e">
        <f>AND(class!AC52,"AAAAAD2t/5k=")</f>
        <v>#VALUE!</v>
      </c>
      <c r="EY12">
        <f>IF(class!53:53,"AAAAAD2t/5o=",0)</f>
        <v>0</v>
      </c>
      <c r="EZ12" t="e">
        <f>AND(class!A53,"AAAAAD2t/5s=")</f>
        <v>#VALUE!</v>
      </c>
      <c r="FA12" t="e">
        <f>AND(class!B53,"AAAAAD2t/5w=")</f>
        <v>#VALUE!</v>
      </c>
      <c r="FB12" t="e">
        <f>AND(class!C53,"AAAAAD2t/50=")</f>
        <v>#VALUE!</v>
      </c>
      <c r="FC12" t="e">
        <f>AND(class!D53,"AAAAAD2t/54=")</f>
        <v>#VALUE!</v>
      </c>
      <c r="FD12" t="e">
        <f>AND(class!E53,"AAAAAD2t/58=")</f>
        <v>#VALUE!</v>
      </c>
      <c r="FE12" t="e">
        <f>AND(class!F53,"AAAAAD2t/6A=")</f>
        <v>#VALUE!</v>
      </c>
      <c r="FF12" t="e">
        <f>AND(class!G53,"AAAAAD2t/6E=")</f>
        <v>#VALUE!</v>
      </c>
      <c r="FG12" t="e">
        <f>AND(class!H53,"AAAAAD2t/6I=")</f>
        <v>#VALUE!</v>
      </c>
      <c r="FH12" t="e">
        <f>AND(class!I53,"AAAAAD2t/6M=")</f>
        <v>#VALUE!</v>
      </c>
      <c r="FI12" t="e">
        <f>AND(class!J53,"AAAAAD2t/6Q=")</f>
        <v>#VALUE!</v>
      </c>
      <c r="FJ12" t="e">
        <f>AND(class!K53,"AAAAAD2t/6U=")</f>
        <v>#VALUE!</v>
      </c>
      <c r="FK12" t="e">
        <f>AND(class!L53,"AAAAAD2t/6Y=")</f>
        <v>#VALUE!</v>
      </c>
      <c r="FL12" t="e">
        <f>AND(class!M53,"AAAAAD2t/6c=")</f>
        <v>#VALUE!</v>
      </c>
      <c r="FM12" t="e">
        <f>AND(class!N53,"AAAAAD2t/6g=")</f>
        <v>#VALUE!</v>
      </c>
      <c r="FN12" t="e">
        <f>AND(class!O53,"AAAAAD2t/6k=")</f>
        <v>#VALUE!</v>
      </c>
      <c r="FO12" t="e">
        <f>AND(class!P53,"AAAAAD2t/6o=")</f>
        <v>#VALUE!</v>
      </c>
      <c r="FP12" t="e">
        <f>AND(class!Q53,"AAAAAD2t/6s=")</f>
        <v>#VALUE!</v>
      </c>
      <c r="FQ12" t="e">
        <f>AND(class!R53,"AAAAAD2t/6w=")</f>
        <v>#VALUE!</v>
      </c>
      <c r="FR12" t="e">
        <f>AND(class!S53,"AAAAAD2t/60=")</f>
        <v>#VALUE!</v>
      </c>
      <c r="FS12" t="e">
        <f>AND(class!T53,"AAAAAD2t/64=")</f>
        <v>#VALUE!</v>
      </c>
      <c r="FT12" t="e">
        <f>AND(class!U53,"AAAAAD2t/68=")</f>
        <v>#VALUE!</v>
      </c>
      <c r="FU12" t="e">
        <f>AND(class!V53,"AAAAAD2t/7A=")</f>
        <v>#VALUE!</v>
      </c>
      <c r="FV12" t="e">
        <f>AND(class!W53,"AAAAAD2t/7E=")</f>
        <v>#VALUE!</v>
      </c>
      <c r="FW12" t="e">
        <f>AND(class!X53,"AAAAAD2t/7I=")</f>
        <v>#VALUE!</v>
      </c>
      <c r="FX12" t="e">
        <f>AND(class!Y53,"AAAAAD2t/7M=")</f>
        <v>#VALUE!</v>
      </c>
      <c r="FY12" t="e">
        <f>AND(class!Z53,"AAAAAD2t/7Q=")</f>
        <v>#VALUE!</v>
      </c>
      <c r="FZ12" t="e">
        <f>AND(class!AA53,"AAAAAD2t/7U=")</f>
        <v>#VALUE!</v>
      </c>
      <c r="GA12" t="e">
        <f>AND(class!AB53,"AAAAAD2t/7Y=")</f>
        <v>#VALUE!</v>
      </c>
      <c r="GB12" t="e">
        <f>AND(class!AC53,"AAAAAD2t/7c=")</f>
        <v>#VALUE!</v>
      </c>
      <c r="GC12">
        <f>IF(class!54:54,"AAAAAD2t/7g=",0)</f>
        <v>0</v>
      </c>
      <c r="GD12" t="e">
        <f>AND(class!A54,"AAAAAD2t/7k=")</f>
        <v>#VALUE!</v>
      </c>
      <c r="GE12" t="e">
        <f>AND(class!B54,"AAAAAD2t/7o=")</f>
        <v>#VALUE!</v>
      </c>
      <c r="GF12" t="e">
        <f>AND(class!C54,"AAAAAD2t/7s=")</f>
        <v>#VALUE!</v>
      </c>
      <c r="GG12" t="e">
        <f>AND(class!D54,"AAAAAD2t/7w=")</f>
        <v>#VALUE!</v>
      </c>
      <c r="GH12" t="e">
        <f>AND(class!E54,"AAAAAD2t/70=")</f>
        <v>#VALUE!</v>
      </c>
      <c r="GI12" t="e">
        <f>AND(class!F54,"AAAAAD2t/74=")</f>
        <v>#VALUE!</v>
      </c>
      <c r="GJ12" t="e">
        <f>AND(class!G54,"AAAAAD2t/78=")</f>
        <v>#VALUE!</v>
      </c>
      <c r="GK12" t="e">
        <f>AND(class!H54,"AAAAAD2t/8A=")</f>
        <v>#VALUE!</v>
      </c>
      <c r="GL12" t="e">
        <f>AND(class!I54,"AAAAAD2t/8E=")</f>
        <v>#VALUE!</v>
      </c>
      <c r="GM12" t="e">
        <f>AND(class!J54,"AAAAAD2t/8I=")</f>
        <v>#VALUE!</v>
      </c>
      <c r="GN12" t="e">
        <f>AND(class!K54,"AAAAAD2t/8M=")</f>
        <v>#VALUE!</v>
      </c>
      <c r="GO12" t="e">
        <f>AND(class!L54,"AAAAAD2t/8Q=")</f>
        <v>#VALUE!</v>
      </c>
      <c r="GP12" t="e">
        <f>AND(class!M54,"AAAAAD2t/8U=")</f>
        <v>#VALUE!</v>
      </c>
      <c r="GQ12" t="e">
        <f>AND(class!N54,"AAAAAD2t/8Y=")</f>
        <v>#VALUE!</v>
      </c>
      <c r="GR12" t="e">
        <f>AND(class!O54,"AAAAAD2t/8c=")</f>
        <v>#VALUE!</v>
      </c>
      <c r="GS12" t="e">
        <f>AND(class!P54,"AAAAAD2t/8g=")</f>
        <v>#VALUE!</v>
      </c>
      <c r="GT12" t="e">
        <f>AND(class!Q54,"AAAAAD2t/8k=")</f>
        <v>#VALUE!</v>
      </c>
      <c r="GU12" t="e">
        <f>AND(class!R54,"AAAAAD2t/8o=")</f>
        <v>#VALUE!</v>
      </c>
      <c r="GV12" t="e">
        <f>AND(class!S54,"AAAAAD2t/8s=")</f>
        <v>#VALUE!</v>
      </c>
      <c r="GW12" t="e">
        <f>AND(class!T54,"AAAAAD2t/8w=")</f>
        <v>#VALUE!</v>
      </c>
      <c r="GX12" t="e">
        <f>AND(class!U54,"AAAAAD2t/80=")</f>
        <v>#VALUE!</v>
      </c>
      <c r="GY12" t="e">
        <f>AND(class!V54,"AAAAAD2t/84=")</f>
        <v>#VALUE!</v>
      </c>
      <c r="GZ12" t="e">
        <f>AND(class!W54,"AAAAAD2t/88=")</f>
        <v>#VALUE!</v>
      </c>
      <c r="HA12" t="e">
        <f>AND(class!X54,"AAAAAD2t/9A=")</f>
        <v>#VALUE!</v>
      </c>
      <c r="HB12" t="e">
        <f>AND(class!Y54,"AAAAAD2t/9E=")</f>
        <v>#VALUE!</v>
      </c>
      <c r="HC12" t="e">
        <f>AND(class!Z54,"AAAAAD2t/9I=")</f>
        <v>#VALUE!</v>
      </c>
      <c r="HD12" t="e">
        <f>AND(class!AA54,"AAAAAD2t/9M=")</f>
        <v>#VALUE!</v>
      </c>
      <c r="HE12" t="e">
        <f>AND(class!AB54,"AAAAAD2t/9Q=")</f>
        <v>#VALUE!</v>
      </c>
      <c r="HF12" t="e">
        <f>AND(class!AC54,"AAAAAD2t/9U=")</f>
        <v>#VALUE!</v>
      </c>
      <c r="HG12">
        <f>IF(class!55:55,"AAAAAD2t/9Y=",0)</f>
        <v>0</v>
      </c>
      <c r="HH12" t="e">
        <f>AND(class!A55,"AAAAAD2t/9c=")</f>
        <v>#VALUE!</v>
      </c>
      <c r="HI12" t="e">
        <f>AND(class!B55,"AAAAAD2t/9g=")</f>
        <v>#VALUE!</v>
      </c>
      <c r="HJ12" t="e">
        <f>AND(class!C55,"AAAAAD2t/9k=")</f>
        <v>#VALUE!</v>
      </c>
      <c r="HK12" t="e">
        <f>AND(class!D55,"AAAAAD2t/9o=")</f>
        <v>#VALUE!</v>
      </c>
      <c r="HL12" t="e">
        <f>AND(class!E55,"AAAAAD2t/9s=")</f>
        <v>#VALUE!</v>
      </c>
      <c r="HM12" t="e">
        <f>AND(class!F55,"AAAAAD2t/9w=")</f>
        <v>#VALUE!</v>
      </c>
      <c r="HN12" t="e">
        <f>AND(class!G55,"AAAAAD2t/90=")</f>
        <v>#VALUE!</v>
      </c>
      <c r="HO12" t="e">
        <f>AND(class!H55,"AAAAAD2t/94=")</f>
        <v>#VALUE!</v>
      </c>
      <c r="HP12" t="e">
        <f>AND(class!I55,"AAAAAD2t/98=")</f>
        <v>#VALUE!</v>
      </c>
      <c r="HQ12" t="e">
        <f>AND(class!J55,"AAAAAD2t/+A=")</f>
        <v>#VALUE!</v>
      </c>
      <c r="HR12" t="e">
        <f>AND(class!K55,"AAAAAD2t/+E=")</f>
        <v>#VALUE!</v>
      </c>
      <c r="HS12" t="e">
        <f>AND(class!L55,"AAAAAD2t/+I=")</f>
        <v>#VALUE!</v>
      </c>
      <c r="HT12" t="e">
        <f>AND(class!M55,"AAAAAD2t/+M=")</f>
        <v>#VALUE!</v>
      </c>
      <c r="HU12" t="e">
        <f>AND(class!N55,"AAAAAD2t/+Q=")</f>
        <v>#VALUE!</v>
      </c>
      <c r="HV12" t="e">
        <f>AND(class!O55,"AAAAAD2t/+U=")</f>
        <v>#VALUE!</v>
      </c>
      <c r="HW12" t="e">
        <f>AND(class!P55,"AAAAAD2t/+Y=")</f>
        <v>#VALUE!</v>
      </c>
      <c r="HX12" t="e">
        <f>AND(class!Q55,"AAAAAD2t/+c=")</f>
        <v>#VALUE!</v>
      </c>
      <c r="HY12" t="e">
        <f>AND(class!R55,"AAAAAD2t/+g=")</f>
        <v>#VALUE!</v>
      </c>
      <c r="HZ12" t="e">
        <f>AND(class!S55,"AAAAAD2t/+k=")</f>
        <v>#VALUE!</v>
      </c>
      <c r="IA12" t="e">
        <f>AND(class!T55,"AAAAAD2t/+o=")</f>
        <v>#VALUE!</v>
      </c>
      <c r="IB12" t="e">
        <f>AND(class!U55,"AAAAAD2t/+s=")</f>
        <v>#VALUE!</v>
      </c>
      <c r="IC12" t="e">
        <f>AND(class!V55,"AAAAAD2t/+w=")</f>
        <v>#VALUE!</v>
      </c>
      <c r="ID12" t="e">
        <f>AND(class!W55,"AAAAAD2t/+0=")</f>
        <v>#VALUE!</v>
      </c>
      <c r="IE12" t="e">
        <f>AND(class!X55,"AAAAAD2t/+4=")</f>
        <v>#VALUE!</v>
      </c>
      <c r="IF12" t="e">
        <f>AND(class!Y55,"AAAAAD2t/+8=")</f>
        <v>#VALUE!</v>
      </c>
      <c r="IG12" t="e">
        <f>AND(class!Z55,"AAAAAD2t//A=")</f>
        <v>#VALUE!</v>
      </c>
      <c r="IH12" t="e">
        <f>AND(class!AA55,"AAAAAD2t//E=")</f>
        <v>#VALUE!</v>
      </c>
      <c r="II12" t="e">
        <f>AND(class!AB55,"AAAAAD2t//I=")</f>
        <v>#VALUE!</v>
      </c>
      <c r="IJ12" t="e">
        <f>AND(class!AC55,"AAAAAD2t//M=")</f>
        <v>#VALUE!</v>
      </c>
      <c r="IK12">
        <f>IF(class!56:56,"AAAAAD2t//Q=",0)</f>
        <v>0</v>
      </c>
      <c r="IL12" t="e">
        <f>AND(class!A56,"AAAAAD2t//U=")</f>
        <v>#VALUE!</v>
      </c>
      <c r="IM12" t="e">
        <f>AND(class!B56,"AAAAAD2t//Y=")</f>
        <v>#VALUE!</v>
      </c>
      <c r="IN12" t="e">
        <f>AND(class!C56,"AAAAAD2t//c=")</f>
        <v>#VALUE!</v>
      </c>
      <c r="IO12" t="e">
        <f>AND(class!D56,"AAAAAD2t//g=")</f>
        <v>#VALUE!</v>
      </c>
      <c r="IP12" t="e">
        <f>AND(class!E56,"AAAAAD2t//k=")</f>
        <v>#VALUE!</v>
      </c>
      <c r="IQ12" t="e">
        <f>AND(class!F56,"AAAAAD2t//o=")</f>
        <v>#VALUE!</v>
      </c>
      <c r="IR12" t="e">
        <f>AND(class!G56,"AAAAAD2t//s=")</f>
        <v>#VALUE!</v>
      </c>
      <c r="IS12" t="e">
        <f>AND(class!H56,"AAAAAD2t//w=")</f>
        <v>#VALUE!</v>
      </c>
      <c r="IT12" t="e">
        <f>AND(class!I56,"AAAAAD2t//0=")</f>
        <v>#VALUE!</v>
      </c>
      <c r="IU12" t="e">
        <f>AND(class!J56,"AAAAAD2t//4=")</f>
        <v>#VALUE!</v>
      </c>
      <c r="IV12" t="e">
        <f>AND(class!K56,"AAAAAD2t//8=")</f>
        <v>#VALUE!</v>
      </c>
    </row>
    <row r="13" spans="1:256" x14ac:dyDescent="0.2">
      <c r="A13" t="e">
        <f>AND(class!L56,"AAAAAHt88gA=")</f>
        <v>#VALUE!</v>
      </c>
      <c r="B13" t="e">
        <f>AND(class!M56,"AAAAAHt88gE=")</f>
        <v>#VALUE!</v>
      </c>
      <c r="C13" t="e">
        <f>AND(class!N56,"AAAAAHt88gI=")</f>
        <v>#VALUE!</v>
      </c>
      <c r="D13" t="e">
        <f>AND(class!O56,"AAAAAHt88gM=")</f>
        <v>#VALUE!</v>
      </c>
      <c r="E13" t="e">
        <f>AND(class!P56,"AAAAAHt88gQ=")</f>
        <v>#VALUE!</v>
      </c>
      <c r="F13" t="e">
        <f>AND(class!Q56,"AAAAAHt88gU=")</f>
        <v>#VALUE!</v>
      </c>
      <c r="G13" t="e">
        <f>AND(class!R56,"AAAAAHt88gY=")</f>
        <v>#VALUE!</v>
      </c>
      <c r="H13" t="e">
        <f>AND(class!S56,"AAAAAHt88gc=")</f>
        <v>#VALUE!</v>
      </c>
      <c r="I13" t="e">
        <f>AND(class!T56,"AAAAAHt88gg=")</f>
        <v>#VALUE!</v>
      </c>
      <c r="J13" t="e">
        <f>AND(class!U56,"AAAAAHt88gk=")</f>
        <v>#VALUE!</v>
      </c>
      <c r="K13" t="e">
        <f>AND(class!V56,"AAAAAHt88go=")</f>
        <v>#VALUE!</v>
      </c>
      <c r="L13" t="e">
        <f>AND(class!W56,"AAAAAHt88gs=")</f>
        <v>#VALUE!</v>
      </c>
      <c r="M13" t="e">
        <f>AND(class!X56,"AAAAAHt88gw=")</f>
        <v>#VALUE!</v>
      </c>
      <c r="N13" t="e">
        <f>AND(class!Y56,"AAAAAHt88g0=")</f>
        <v>#VALUE!</v>
      </c>
      <c r="O13" t="e">
        <f>AND(class!Z56,"AAAAAHt88g4=")</f>
        <v>#VALUE!</v>
      </c>
      <c r="P13" t="e">
        <f>AND(class!AA56,"AAAAAHt88g8=")</f>
        <v>#VALUE!</v>
      </c>
      <c r="Q13" t="e">
        <f>AND(class!AB56,"AAAAAHt88hA=")</f>
        <v>#VALUE!</v>
      </c>
      <c r="R13" t="e">
        <f>AND(class!AC56,"AAAAAHt88hE=")</f>
        <v>#VALUE!</v>
      </c>
      <c r="S13">
        <f>IF(class!57:57,"AAAAAHt88hI=",0)</f>
        <v>0</v>
      </c>
      <c r="T13" t="e">
        <f>AND(class!A57,"AAAAAHt88hM=")</f>
        <v>#VALUE!</v>
      </c>
      <c r="U13" t="e">
        <f>AND(class!B57,"AAAAAHt88hQ=")</f>
        <v>#VALUE!</v>
      </c>
      <c r="V13" t="e">
        <f>AND(class!C57,"AAAAAHt88hU=")</f>
        <v>#VALUE!</v>
      </c>
      <c r="W13" t="e">
        <f>AND(class!D57,"AAAAAHt88hY=")</f>
        <v>#VALUE!</v>
      </c>
      <c r="X13" t="e">
        <f>AND(class!E57,"AAAAAHt88hc=")</f>
        <v>#VALUE!</v>
      </c>
      <c r="Y13" t="e">
        <f>AND(class!F57,"AAAAAHt88hg=")</f>
        <v>#VALUE!</v>
      </c>
      <c r="Z13" t="e">
        <f>AND(class!G57,"AAAAAHt88hk=")</f>
        <v>#VALUE!</v>
      </c>
      <c r="AA13" t="e">
        <f>AND(class!H57,"AAAAAHt88ho=")</f>
        <v>#VALUE!</v>
      </c>
      <c r="AB13" t="e">
        <f>AND(class!I57,"AAAAAHt88hs=")</f>
        <v>#VALUE!</v>
      </c>
      <c r="AC13" t="e">
        <f>AND(class!J57,"AAAAAHt88hw=")</f>
        <v>#VALUE!</v>
      </c>
      <c r="AD13" t="e">
        <f>AND(class!K57,"AAAAAHt88h0=")</f>
        <v>#VALUE!</v>
      </c>
      <c r="AE13" t="e">
        <f>AND(class!L57,"AAAAAHt88h4=")</f>
        <v>#VALUE!</v>
      </c>
      <c r="AF13" t="e">
        <f>AND(class!M57,"AAAAAHt88h8=")</f>
        <v>#VALUE!</v>
      </c>
      <c r="AG13" t="e">
        <f>AND(class!N57,"AAAAAHt88iA=")</f>
        <v>#VALUE!</v>
      </c>
      <c r="AH13" t="e">
        <f>AND(class!O57,"AAAAAHt88iE=")</f>
        <v>#VALUE!</v>
      </c>
      <c r="AI13" t="e">
        <f>AND(class!P57,"AAAAAHt88iI=")</f>
        <v>#VALUE!</v>
      </c>
      <c r="AJ13" t="e">
        <f>AND(class!Q57,"AAAAAHt88iM=")</f>
        <v>#VALUE!</v>
      </c>
      <c r="AK13" t="e">
        <f>AND(class!R57,"AAAAAHt88iQ=")</f>
        <v>#VALUE!</v>
      </c>
      <c r="AL13" t="e">
        <f>AND(class!S57,"AAAAAHt88iU=")</f>
        <v>#VALUE!</v>
      </c>
      <c r="AM13" t="e">
        <f>AND(class!T57,"AAAAAHt88iY=")</f>
        <v>#VALUE!</v>
      </c>
      <c r="AN13" t="e">
        <f>AND(class!U57,"AAAAAHt88ic=")</f>
        <v>#VALUE!</v>
      </c>
      <c r="AO13" t="e">
        <f>AND(class!V57,"AAAAAHt88ig=")</f>
        <v>#VALUE!</v>
      </c>
      <c r="AP13" t="e">
        <f>AND(class!W57,"AAAAAHt88ik=")</f>
        <v>#VALUE!</v>
      </c>
      <c r="AQ13" t="e">
        <f>AND(class!X57,"AAAAAHt88io=")</f>
        <v>#VALUE!</v>
      </c>
      <c r="AR13" t="e">
        <f>AND(class!Y57,"AAAAAHt88is=")</f>
        <v>#VALUE!</v>
      </c>
      <c r="AS13" t="e">
        <f>AND(class!Z57,"AAAAAHt88iw=")</f>
        <v>#VALUE!</v>
      </c>
      <c r="AT13" t="e">
        <f>AND(class!AA57,"AAAAAHt88i0=")</f>
        <v>#VALUE!</v>
      </c>
      <c r="AU13" t="e">
        <f>AND(class!AB57,"AAAAAHt88i4=")</f>
        <v>#VALUE!</v>
      </c>
      <c r="AV13" t="e">
        <f>AND(class!AC57,"AAAAAHt88i8=")</f>
        <v>#VALUE!</v>
      </c>
      <c r="AW13">
        <f>IF(class!58:58,"AAAAAHt88jA=",0)</f>
        <v>0</v>
      </c>
      <c r="AX13" t="e">
        <f>AND(class!A58,"AAAAAHt88jE=")</f>
        <v>#VALUE!</v>
      </c>
      <c r="AY13" t="e">
        <f>AND(class!B58,"AAAAAHt88jI=")</f>
        <v>#VALUE!</v>
      </c>
      <c r="AZ13" t="e">
        <f>AND(class!C58,"AAAAAHt88jM=")</f>
        <v>#VALUE!</v>
      </c>
      <c r="BA13" t="e">
        <f>AND(class!D58,"AAAAAHt88jQ=")</f>
        <v>#VALUE!</v>
      </c>
      <c r="BB13" t="e">
        <f>AND(class!E58,"AAAAAHt88jU=")</f>
        <v>#VALUE!</v>
      </c>
      <c r="BC13" t="e">
        <f>AND(class!F58,"AAAAAHt88jY=")</f>
        <v>#VALUE!</v>
      </c>
      <c r="BD13" t="e">
        <f>AND(class!G58,"AAAAAHt88jc=")</f>
        <v>#VALUE!</v>
      </c>
      <c r="BE13" t="e">
        <f>AND(class!H58,"AAAAAHt88jg=")</f>
        <v>#VALUE!</v>
      </c>
      <c r="BF13" t="e">
        <f>AND(class!I58,"AAAAAHt88jk=")</f>
        <v>#VALUE!</v>
      </c>
      <c r="BG13" t="e">
        <f>AND(class!J58,"AAAAAHt88jo=")</f>
        <v>#VALUE!</v>
      </c>
      <c r="BH13" t="e">
        <f>AND(class!K58,"AAAAAHt88js=")</f>
        <v>#VALUE!</v>
      </c>
      <c r="BI13" t="e">
        <f>AND(class!L58,"AAAAAHt88jw=")</f>
        <v>#VALUE!</v>
      </c>
      <c r="BJ13" t="e">
        <f>AND(class!M58,"AAAAAHt88j0=")</f>
        <v>#VALUE!</v>
      </c>
      <c r="BK13" t="e">
        <f>AND(class!N58,"AAAAAHt88j4=")</f>
        <v>#VALUE!</v>
      </c>
      <c r="BL13" t="e">
        <f>AND(class!O58,"AAAAAHt88j8=")</f>
        <v>#VALUE!</v>
      </c>
      <c r="BM13" t="e">
        <f>AND(class!P58,"AAAAAHt88kA=")</f>
        <v>#VALUE!</v>
      </c>
      <c r="BN13" t="e">
        <f>AND(class!Q58,"AAAAAHt88kE=")</f>
        <v>#VALUE!</v>
      </c>
      <c r="BO13" t="e">
        <f>AND(class!R58,"AAAAAHt88kI=")</f>
        <v>#VALUE!</v>
      </c>
      <c r="BP13" t="e">
        <f>AND(class!S58,"AAAAAHt88kM=")</f>
        <v>#VALUE!</v>
      </c>
      <c r="BQ13" t="e">
        <f>AND(class!T58,"AAAAAHt88kQ=")</f>
        <v>#VALUE!</v>
      </c>
      <c r="BR13" t="e">
        <f>AND(class!U58,"AAAAAHt88kU=")</f>
        <v>#VALUE!</v>
      </c>
      <c r="BS13" t="e">
        <f>AND(class!V58,"AAAAAHt88kY=")</f>
        <v>#VALUE!</v>
      </c>
      <c r="BT13" t="e">
        <f>AND(class!W58,"AAAAAHt88kc=")</f>
        <v>#VALUE!</v>
      </c>
      <c r="BU13" t="e">
        <f>AND(class!X58,"AAAAAHt88kg=")</f>
        <v>#VALUE!</v>
      </c>
      <c r="BV13" t="e">
        <f>AND(class!Y58,"AAAAAHt88kk=")</f>
        <v>#VALUE!</v>
      </c>
      <c r="BW13" t="e">
        <f>AND(class!Z58,"AAAAAHt88ko=")</f>
        <v>#VALUE!</v>
      </c>
      <c r="BX13" t="e">
        <f>AND(class!AA58,"AAAAAHt88ks=")</f>
        <v>#VALUE!</v>
      </c>
      <c r="BY13" t="e">
        <f>AND(class!AB58,"AAAAAHt88kw=")</f>
        <v>#VALUE!</v>
      </c>
      <c r="BZ13" t="e">
        <f>AND(class!AC58,"AAAAAHt88k0=")</f>
        <v>#VALUE!</v>
      </c>
      <c r="CA13">
        <f>IF(class!59:59,"AAAAAHt88k4=",0)</f>
        <v>0</v>
      </c>
      <c r="CB13" t="e">
        <f>AND(class!A59,"AAAAAHt88k8=")</f>
        <v>#VALUE!</v>
      </c>
      <c r="CC13" t="e">
        <f>AND(class!B59,"AAAAAHt88lA=")</f>
        <v>#VALUE!</v>
      </c>
      <c r="CD13" t="e">
        <f>AND(class!C59,"AAAAAHt88lE=")</f>
        <v>#VALUE!</v>
      </c>
      <c r="CE13" t="e">
        <f>AND(class!D59,"AAAAAHt88lI=")</f>
        <v>#VALUE!</v>
      </c>
      <c r="CF13" t="e">
        <f>AND(class!E59,"AAAAAHt88lM=")</f>
        <v>#VALUE!</v>
      </c>
      <c r="CG13" t="e">
        <f>AND(class!F59,"AAAAAHt88lQ=")</f>
        <v>#VALUE!</v>
      </c>
      <c r="CH13" t="e">
        <f>AND(class!G59,"AAAAAHt88lU=")</f>
        <v>#VALUE!</v>
      </c>
      <c r="CI13" t="e">
        <f>AND(class!H59,"AAAAAHt88lY=")</f>
        <v>#VALUE!</v>
      </c>
      <c r="CJ13" t="e">
        <f>AND(class!I59,"AAAAAHt88lc=")</f>
        <v>#VALUE!</v>
      </c>
      <c r="CK13" t="e">
        <f>AND(class!J59,"AAAAAHt88lg=")</f>
        <v>#VALUE!</v>
      </c>
      <c r="CL13" t="e">
        <f>AND(class!K59,"AAAAAHt88lk=")</f>
        <v>#VALUE!</v>
      </c>
      <c r="CM13" t="e">
        <f>AND(class!L59,"AAAAAHt88lo=")</f>
        <v>#VALUE!</v>
      </c>
      <c r="CN13" t="e">
        <f>AND(class!M59,"AAAAAHt88ls=")</f>
        <v>#VALUE!</v>
      </c>
      <c r="CO13" t="e">
        <f>AND(class!N59,"AAAAAHt88lw=")</f>
        <v>#VALUE!</v>
      </c>
      <c r="CP13" t="e">
        <f>AND(class!O59,"AAAAAHt88l0=")</f>
        <v>#VALUE!</v>
      </c>
      <c r="CQ13" t="e">
        <f>AND(class!P59,"AAAAAHt88l4=")</f>
        <v>#VALUE!</v>
      </c>
      <c r="CR13" t="e">
        <f>AND(class!Q59,"AAAAAHt88l8=")</f>
        <v>#VALUE!</v>
      </c>
      <c r="CS13" t="e">
        <f>AND(class!R59,"AAAAAHt88mA=")</f>
        <v>#VALUE!</v>
      </c>
      <c r="CT13" t="e">
        <f>AND(class!S59,"AAAAAHt88mE=")</f>
        <v>#VALUE!</v>
      </c>
      <c r="CU13" t="e">
        <f>AND(class!T59,"AAAAAHt88mI=")</f>
        <v>#VALUE!</v>
      </c>
      <c r="CV13" t="e">
        <f>AND(class!U59,"AAAAAHt88mM=")</f>
        <v>#VALUE!</v>
      </c>
      <c r="CW13" t="e">
        <f>AND(class!V59,"AAAAAHt88mQ=")</f>
        <v>#VALUE!</v>
      </c>
      <c r="CX13" t="e">
        <f>AND(class!W59,"AAAAAHt88mU=")</f>
        <v>#VALUE!</v>
      </c>
      <c r="CY13" t="e">
        <f>AND(class!X59,"AAAAAHt88mY=")</f>
        <v>#VALUE!</v>
      </c>
      <c r="CZ13" t="e">
        <f>AND(class!Y59,"AAAAAHt88mc=")</f>
        <v>#VALUE!</v>
      </c>
      <c r="DA13" t="e">
        <f>AND(class!Z59,"AAAAAHt88mg=")</f>
        <v>#VALUE!</v>
      </c>
      <c r="DB13" t="e">
        <f>AND(class!AA59,"AAAAAHt88mk=")</f>
        <v>#VALUE!</v>
      </c>
      <c r="DC13" t="e">
        <f>AND(class!AB59,"AAAAAHt88mo=")</f>
        <v>#VALUE!</v>
      </c>
      <c r="DD13" t="e">
        <f>AND(class!AC59,"AAAAAHt88ms=")</f>
        <v>#VALUE!</v>
      </c>
      <c r="DE13">
        <f>IF(class!60:60,"AAAAAHt88mw=",0)</f>
        <v>0</v>
      </c>
      <c r="DF13" t="e">
        <f>AND(class!A60,"AAAAAHt88m0=")</f>
        <v>#VALUE!</v>
      </c>
      <c r="DG13" t="e">
        <f>AND(class!B60,"AAAAAHt88m4=")</f>
        <v>#VALUE!</v>
      </c>
      <c r="DH13" t="e">
        <f>AND(class!C60,"AAAAAHt88m8=")</f>
        <v>#VALUE!</v>
      </c>
      <c r="DI13" t="e">
        <f>AND(class!D60,"AAAAAHt88nA=")</f>
        <v>#VALUE!</v>
      </c>
      <c r="DJ13" t="e">
        <f>AND(class!E60,"AAAAAHt88nE=")</f>
        <v>#VALUE!</v>
      </c>
      <c r="DK13" t="e">
        <f>AND(class!F60,"AAAAAHt88nI=")</f>
        <v>#VALUE!</v>
      </c>
      <c r="DL13" t="e">
        <f>AND(class!G60,"AAAAAHt88nM=")</f>
        <v>#VALUE!</v>
      </c>
      <c r="DM13" t="e">
        <f>AND(class!H60,"AAAAAHt88nQ=")</f>
        <v>#VALUE!</v>
      </c>
      <c r="DN13" t="e">
        <f>AND(class!I60,"AAAAAHt88nU=")</f>
        <v>#VALUE!</v>
      </c>
      <c r="DO13" t="e">
        <f>AND(class!J60,"AAAAAHt88nY=")</f>
        <v>#VALUE!</v>
      </c>
      <c r="DP13" t="e">
        <f>AND(class!K60,"AAAAAHt88nc=")</f>
        <v>#VALUE!</v>
      </c>
      <c r="DQ13" t="e">
        <f>AND(class!L60,"AAAAAHt88ng=")</f>
        <v>#VALUE!</v>
      </c>
      <c r="DR13" t="e">
        <f>AND(class!M60,"AAAAAHt88nk=")</f>
        <v>#VALUE!</v>
      </c>
      <c r="DS13" t="e">
        <f>AND(class!N60,"AAAAAHt88no=")</f>
        <v>#VALUE!</v>
      </c>
      <c r="DT13" t="e">
        <f>AND(class!O60,"AAAAAHt88ns=")</f>
        <v>#VALUE!</v>
      </c>
      <c r="DU13" t="e">
        <f>AND(class!P60,"AAAAAHt88nw=")</f>
        <v>#VALUE!</v>
      </c>
      <c r="DV13" t="e">
        <f>AND(class!Q60,"AAAAAHt88n0=")</f>
        <v>#VALUE!</v>
      </c>
      <c r="DW13" t="e">
        <f>AND(class!R60,"AAAAAHt88n4=")</f>
        <v>#VALUE!</v>
      </c>
      <c r="DX13" t="e">
        <f>AND(class!S60,"AAAAAHt88n8=")</f>
        <v>#VALUE!</v>
      </c>
      <c r="DY13" t="e">
        <f>AND(class!T60,"AAAAAHt88oA=")</f>
        <v>#VALUE!</v>
      </c>
      <c r="DZ13" t="e">
        <f>AND(class!U60,"AAAAAHt88oE=")</f>
        <v>#VALUE!</v>
      </c>
      <c r="EA13" t="e">
        <f>AND(class!V60,"AAAAAHt88oI=")</f>
        <v>#VALUE!</v>
      </c>
      <c r="EB13" t="e">
        <f>AND(class!W60,"AAAAAHt88oM=")</f>
        <v>#VALUE!</v>
      </c>
      <c r="EC13" t="e">
        <f>AND(class!X60,"AAAAAHt88oQ=")</f>
        <v>#VALUE!</v>
      </c>
      <c r="ED13" t="e">
        <f>AND(class!Y60,"AAAAAHt88oU=")</f>
        <v>#VALUE!</v>
      </c>
      <c r="EE13" t="e">
        <f>AND(class!Z60,"AAAAAHt88oY=")</f>
        <v>#VALUE!</v>
      </c>
      <c r="EF13" t="e">
        <f>AND(class!AA60,"AAAAAHt88oc=")</f>
        <v>#VALUE!</v>
      </c>
      <c r="EG13" t="e">
        <f>AND(class!AB60,"AAAAAHt88og=")</f>
        <v>#VALUE!</v>
      </c>
      <c r="EH13" t="e">
        <f>AND(class!AC60,"AAAAAHt88ok=")</f>
        <v>#VALUE!</v>
      </c>
      <c r="EI13">
        <f>IF(class!61:61,"AAAAAHt88oo=",0)</f>
        <v>0</v>
      </c>
      <c r="EJ13" t="e">
        <f>AND(class!A61,"AAAAAHt88os=")</f>
        <v>#VALUE!</v>
      </c>
      <c r="EK13" t="e">
        <f>AND(class!B61,"AAAAAHt88ow=")</f>
        <v>#VALUE!</v>
      </c>
      <c r="EL13" t="e">
        <f>AND(class!C61,"AAAAAHt88o0=")</f>
        <v>#VALUE!</v>
      </c>
      <c r="EM13" t="e">
        <f>AND(class!D61,"AAAAAHt88o4=")</f>
        <v>#VALUE!</v>
      </c>
      <c r="EN13" t="e">
        <f>AND(class!E61,"AAAAAHt88o8=")</f>
        <v>#VALUE!</v>
      </c>
      <c r="EO13" t="e">
        <f>AND(class!F61,"AAAAAHt88pA=")</f>
        <v>#VALUE!</v>
      </c>
      <c r="EP13" t="e">
        <f>AND(class!G61,"AAAAAHt88pE=")</f>
        <v>#VALUE!</v>
      </c>
      <c r="EQ13" t="e">
        <f>AND(class!H61,"AAAAAHt88pI=")</f>
        <v>#VALUE!</v>
      </c>
      <c r="ER13" t="e">
        <f>AND(class!I61,"AAAAAHt88pM=")</f>
        <v>#VALUE!</v>
      </c>
      <c r="ES13" t="e">
        <f>AND(class!J61,"AAAAAHt88pQ=")</f>
        <v>#VALUE!</v>
      </c>
      <c r="ET13" t="e">
        <f>AND(class!K61,"AAAAAHt88pU=")</f>
        <v>#VALUE!</v>
      </c>
      <c r="EU13" t="e">
        <f>AND(class!L61,"AAAAAHt88pY=")</f>
        <v>#VALUE!</v>
      </c>
      <c r="EV13" t="e">
        <f>AND(class!M61,"AAAAAHt88pc=")</f>
        <v>#VALUE!</v>
      </c>
      <c r="EW13" t="e">
        <f>AND(class!N61,"AAAAAHt88pg=")</f>
        <v>#VALUE!</v>
      </c>
      <c r="EX13" t="e">
        <f>AND(class!O61,"AAAAAHt88pk=")</f>
        <v>#VALUE!</v>
      </c>
      <c r="EY13" t="e">
        <f>AND(class!P61,"AAAAAHt88po=")</f>
        <v>#VALUE!</v>
      </c>
      <c r="EZ13" t="e">
        <f>AND(class!Q61,"AAAAAHt88ps=")</f>
        <v>#VALUE!</v>
      </c>
      <c r="FA13" t="e">
        <f>AND(class!R61,"AAAAAHt88pw=")</f>
        <v>#VALUE!</v>
      </c>
      <c r="FB13" t="e">
        <f>AND(class!S61,"AAAAAHt88p0=")</f>
        <v>#VALUE!</v>
      </c>
      <c r="FC13" t="e">
        <f>AND(class!T61,"AAAAAHt88p4=")</f>
        <v>#VALUE!</v>
      </c>
      <c r="FD13" t="e">
        <f>AND(class!U61,"AAAAAHt88p8=")</f>
        <v>#VALUE!</v>
      </c>
      <c r="FE13" t="e">
        <f>AND(class!V61,"AAAAAHt88qA=")</f>
        <v>#VALUE!</v>
      </c>
      <c r="FF13" t="e">
        <f>AND(class!W61,"AAAAAHt88qE=")</f>
        <v>#VALUE!</v>
      </c>
      <c r="FG13" t="e">
        <f>AND(class!X61,"AAAAAHt88qI=")</f>
        <v>#VALUE!</v>
      </c>
      <c r="FH13" t="e">
        <f>AND(class!Y61,"AAAAAHt88qM=")</f>
        <v>#VALUE!</v>
      </c>
      <c r="FI13" t="e">
        <f>AND(class!Z61,"AAAAAHt88qQ=")</f>
        <v>#VALUE!</v>
      </c>
      <c r="FJ13" t="e">
        <f>AND(class!AA61,"AAAAAHt88qU=")</f>
        <v>#VALUE!</v>
      </c>
      <c r="FK13" t="e">
        <f>AND(class!AB61,"AAAAAHt88qY=")</f>
        <v>#VALUE!</v>
      </c>
      <c r="FL13" t="e">
        <f>AND(class!AC61,"AAAAAHt88qc=")</f>
        <v>#VALUE!</v>
      </c>
      <c r="FM13">
        <f>IF(class!62:62,"AAAAAHt88qg=",0)</f>
        <v>0</v>
      </c>
      <c r="FN13" t="e">
        <f>AND(class!A62,"AAAAAHt88qk=")</f>
        <v>#VALUE!</v>
      </c>
      <c r="FO13" t="e">
        <f>AND(class!B62,"AAAAAHt88qo=")</f>
        <v>#VALUE!</v>
      </c>
      <c r="FP13" t="e">
        <f>AND(class!C62,"AAAAAHt88qs=")</f>
        <v>#VALUE!</v>
      </c>
      <c r="FQ13" t="e">
        <f>AND(class!D62,"AAAAAHt88qw=")</f>
        <v>#VALUE!</v>
      </c>
      <c r="FR13" t="e">
        <f>AND(class!E62,"AAAAAHt88q0=")</f>
        <v>#VALUE!</v>
      </c>
      <c r="FS13" t="e">
        <f>AND(class!F62,"AAAAAHt88q4=")</f>
        <v>#VALUE!</v>
      </c>
      <c r="FT13" t="e">
        <f>AND(class!G62,"AAAAAHt88q8=")</f>
        <v>#VALUE!</v>
      </c>
      <c r="FU13" t="e">
        <f>AND(class!H62,"AAAAAHt88rA=")</f>
        <v>#VALUE!</v>
      </c>
      <c r="FV13" t="e">
        <f>AND(class!I62,"AAAAAHt88rE=")</f>
        <v>#VALUE!</v>
      </c>
      <c r="FW13" t="e">
        <f>AND(class!J62,"AAAAAHt88rI=")</f>
        <v>#VALUE!</v>
      </c>
      <c r="FX13" t="e">
        <f>AND(class!K62,"AAAAAHt88rM=")</f>
        <v>#VALUE!</v>
      </c>
      <c r="FY13" t="e">
        <f>AND(class!L62,"AAAAAHt88rQ=")</f>
        <v>#VALUE!</v>
      </c>
      <c r="FZ13" t="e">
        <f>AND(class!M62,"AAAAAHt88rU=")</f>
        <v>#VALUE!</v>
      </c>
      <c r="GA13" t="e">
        <f>AND(class!N62,"AAAAAHt88rY=")</f>
        <v>#VALUE!</v>
      </c>
      <c r="GB13" t="e">
        <f>AND(class!O62,"AAAAAHt88rc=")</f>
        <v>#VALUE!</v>
      </c>
      <c r="GC13" t="e">
        <f>AND(class!P62,"AAAAAHt88rg=")</f>
        <v>#VALUE!</v>
      </c>
      <c r="GD13" t="e">
        <f>AND(class!Q62,"AAAAAHt88rk=")</f>
        <v>#VALUE!</v>
      </c>
      <c r="GE13" t="e">
        <f>AND(class!R62,"AAAAAHt88ro=")</f>
        <v>#VALUE!</v>
      </c>
      <c r="GF13" t="e">
        <f>AND(class!S62,"AAAAAHt88rs=")</f>
        <v>#VALUE!</v>
      </c>
      <c r="GG13" t="e">
        <f>AND(class!T62,"AAAAAHt88rw=")</f>
        <v>#VALUE!</v>
      </c>
      <c r="GH13" t="e">
        <f>AND(class!U62,"AAAAAHt88r0=")</f>
        <v>#VALUE!</v>
      </c>
      <c r="GI13" t="e">
        <f>AND(class!V62,"AAAAAHt88r4=")</f>
        <v>#VALUE!</v>
      </c>
      <c r="GJ13" t="e">
        <f>AND(class!W62,"AAAAAHt88r8=")</f>
        <v>#VALUE!</v>
      </c>
      <c r="GK13" t="e">
        <f>AND(class!X62,"AAAAAHt88sA=")</f>
        <v>#VALUE!</v>
      </c>
      <c r="GL13" t="e">
        <f>AND(class!Y62,"AAAAAHt88sE=")</f>
        <v>#VALUE!</v>
      </c>
      <c r="GM13" t="e">
        <f>AND(class!Z62,"AAAAAHt88sI=")</f>
        <v>#VALUE!</v>
      </c>
      <c r="GN13" t="e">
        <f>AND(class!AA62,"AAAAAHt88sM=")</f>
        <v>#VALUE!</v>
      </c>
      <c r="GO13" t="e">
        <f>AND(class!AB62,"AAAAAHt88sQ=")</f>
        <v>#VALUE!</v>
      </c>
      <c r="GP13" t="e">
        <f>AND(class!AC62,"AAAAAHt88sU=")</f>
        <v>#VALUE!</v>
      </c>
      <c r="GQ13">
        <f>IF(class!63:63,"AAAAAHt88sY=",0)</f>
        <v>0</v>
      </c>
      <c r="GR13" t="e">
        <f>AND(class!A63,"AAAAAHt88sc=")</f>
        <v>#VALUE!</v>
      </c>
      <c r="GS13" t="e">
        <f>AND(class!B63,"AAAAAHt88sg=")</f>
        <v>#VALUE!</v>
      </c>
      <c r="GT13" t="e">
        <f>AND(class!C63,"AAAAAHt88sk=")</f>
        <v>#VALUE!</v>
      </c>
      <c r="GU13" t="e">
        <f>AND(class!D63,"AAAAAHt88so=")</f>
        <v>#VALUE!</v>
      </c>
      <c r="GV13" t="e">
        <f>AND(class!E63,"AAAAAHt88ss=")</f>
        <v>#VALUE!</v>
      </c>
      <c r="GW13" t="e">
        <f>AND(class!F63,"AAAAAHt88sw=")</f>
        <v>#VALUE!</v>
      </c>
      <c r="GX13" t="e">
        <f>AND(class!G63,"AAAAAHt88s0=")</f>
        <v>#VALUE!</v>
      </c>
      <c r="GY13" t="e">
        <f>AND(class!H63,"AAAAAHt88s4=")</f>
        <v>#VALUE!</v>
      </c>
      <c r="GZ13" t="e">
        <f>AND(class!I63,"AAAAAHt88s8=")</f>
        <v>#VALUE!</v>
      </c>
      <c r="HA13" t="e">
        <f>AND(class!J63,"AAAAAHt88tA=")</f>
        <v>#VALUE!</v>
      </c>
      <c r="HB13" t="e">
        <f>AND(class!K63,"AAAAAHt88tE=")</f>
        <v>#VALUE!</v>
      </c>
      <c r="HC13" t="e">
        <f>AND(class!L63,"AAAAAHt88tI=")</f>
        <v>#VALUE!</v>
      </c>
      <c r="HD13" t="e">
        <f>AND(class!M63,"AAAAAHt88tM=")</f>
        <v>#VALUE!</v>
      </c>
      <c r="HE13" t="e">
        <f>AND(class!N63,"AAAAAHt88tQ=")</f>
        <v>#VALUE!</v>
      </c>
      <c r="HF13" t="e">
        <f>AND(class!O63,"AAAAAHt88tU=")</f>
        <v>#VALUE!</v>
      </c>
      <c r="HG13" t="e">
        <f>AND(class!P63,"AAAAAHt88tY=")</f>
        <v>#VALUE!</v>
      </c>
      <c r="HH13" t="e">
        <f>AND(class!Q63,"AAAAAHt88tc=")</f>
        <v>#VALUE!</v>
      </c>
      <c r="HI13" t="e">
        <f>AND(class!R63,"AAAAAHt88tg=")</f>
        <v>#VALUE!</v>
      </c>
      <c r="HJ13" t="e">
        <f>AND(class!S63,"AAAAAHt88tk=")</f>
        <v>#VALUE!</v>
      </c>
      <c r="HK13" t="e">
        <f>AND(class!T63,"AAAAAHt88to=")</f>
        <v>#VALUE!</v>
      </c>
      <c r="HL13" t="e">
        <f>AND(class!U63,"AAAAAHt88ts=")</f>
        <v>#VALUE!</v>
      </c>
      <c r="HM13" t="e">
        <f>AND(class!V63,"AAAAAHt88tw=")</f>
        <v>#VALUE!</v>
      </c>
      <c r="HN13" t="e">
        <f>AND(class!W63,"AAAAAHt88t0=")</f>
        <v>#VALUE!</v>
      </c>
      <c r="HO13" t="e">
        <f>AND(class!X63,"AAAAAHt88t4=")</f>
        <v>#VALUE!</v>
      </c>
      <c r="HP13" t="e">
        <f>AND(class!Y63,"AAAAAHt88t8=")</f>
        <v>#VALUE!</v>
      </c>
      <c r="HQ13" t="e">
        <f>AND(class!Z63,"AAAAAHt88uA=")</f>
        <v>#VALUE!</v>
      </c>
      <c r="HR13" t="e">
        <f>AND(class!AA63,"AAAAAHt88uE=")</f>
        <v>#VALUE!</v>
      </c>
      <c r="HS13" t="e">
        <f>AND(class!AB63,"AAAAAHt88uI=")</f>
        <v>#VALUE!</v>
      </c>
      <c r="HT13" t="e">
        <f>AND(class!AC63,"AAAAAHt88uM=")</f>
        <v>#VALUE!</v>
      </c>
      <c r="HU13">
        <f>IF(class!64:64,"AAAAAHt88uQ=",0)</f>
        <v>0</v>
      </c>
      <c r="HV13" t="e">
        <f>AND(class!A64,"AAAAAHt88uU=")</f>
        <v>#VALUE!</v>
      </c>
      <c r="HW13" t="e">
        <f>AND(class!B64,"AAAAAHt88uY=")</f>
        <v>#VALUE!</v>
      </c>
      <c r="HX13" t="e">
        <f>AND(class!C64,"AAAAAHt88uc=")</f>
        <v>#VALUE!</v>
      </c>
      <c r="HY13" t="e">
        <f>AND(class!D64,"AAAAAHt88ug=")</f>
        <v>#VALUE!</v>
      </c>
      <c r="HZ13" t="e">
        <f>AND(class!E64,"AAAAAHt88uk=")</f>
        <v>#VALUE!</v>
      </c>
      <c r="IA13" t="e">
        <f>AND(class!F64,"AAAAAHt88uo=")</f>
        <v>#VALUE!</v>
      </c>
      <c r="IB13" t="e">
        <f>AND(class!G64,"AAAAAHt88us=")</f>
        <v>#VALUE!</v>
      </c>
      <c r="IC13" t="e">
        <f>AND(class!H64,"AAAAAHt88uw=")</f>
        <v>#VALUE!</v>
      </c>
      <c r="ID13" t="e">
        <f>AND(class!I64,"AAAAAHt88u0=")</f>
        <v>#VALUE!</v>
      </c>
      <c r="IE13" t="e">
        <f>AND(class!J64,"AAAAAHt88u4=")</f>
        <v>#VALUE!</v>
      </c>
      <c r="IF13" t="e">
        <f>AND(class!K64,"AAAAAHt88u8=")</f>
        <v>#VALUE!</v>
      </c>
      <c r="IG13" t="e">
        <f>AND(class!L64,"AAAAAHt88vA=")</f>
        <v>#VALUE!</v>
      </c>
      <c r="IH13" t="e">
        <f>AND(class!M64,"AAAAAHt88vE=")</f>
        <v>#VALUE!</v>
      </c>
      <c r="II13" t="e">
        <f>AND(class!N64,"AAAAAHt88vI=")</f>
        <v>#VALUE!</v>
      </c>
      <c r="IJ13" t="e">
        <f>AND(class!O64,"AAAAAHt88vM=")</f>
        <v>#VALUE!</v>
      </c>
      <c r="IK13" t="e">
        <f>AND(class!P64,"AAAAAHt88vQ=")</f>
        <v>#VALUE!</v>
      </c>
      <c r="IL13" t="e">
        <f>AND(class!Q64,"AAAAAHt88vU=")</f>
        <v>#VALUE!</v>
      </c>
      <c r="IM13" t="e">
        <f>AND(class!R64,"AAAAAHt88vY=")</f>
        <v>#VALUE!</v>
      </c>
      <c r="IN13" t="e">
        <f>AND(class!S64,"AAAAAHt88vc=")</f>
        <v>#VALUE!</v>
      </c>
      <c r="IO13" t="e">
        <f>AND(class!T64,"AAAAAHt88vg=")</f>
        <v>#VALUE!</v>
      </c>
      <c r="IP13" t="e">
        <f>AND(class!U64,"AAAAAHt88vk=")</f>
        <v>#VALUE!</v>
      </c>
      <c r="IQ13" t="e">
        <f>AND(class!V64,"AAAAAHt88vo=")</f>
        <v>#VALUE!</v>
      </c>
      <c r="IR13" t="e">
        <f>AND(class!W64,"AAAAAHt88vs=")</f>
        <v>#VALUE!</v>
      </c>
      <c r="IS13" t="e">
        <f>AND(class!X64,"AAAAAHt88vw=")</f>
        <v>#VALUE!</v>
      </c>
      <c r="IT13" t="e">
        <f>AND(class!Y64,"AAAAAHt88v0=")</f>
        <v>#VALUE!</v>
      </c>
      <c r="IU13" t="e">
        <f>AND(class!Z64,"AAAAAHt88v4=")</f>
        <v>#VALUE!</v>
      </c>
      <c r="IV13" t="e">
        <f>AND(class!AA64,"AAAAAHt88v8=")</f>
        <v>#VALUE!</v>
      </c>
    </row>
    <row r="14" spans="1:256" x14ac:dyDescent="0.2">
      <c r="A14" t="e">
        <f>AND(class!AB64,"AAAAAFU79wA=")</f>
        <v>#VALUE!</v>
      </c>
      <c r="B14" t="e">
        <f>AND(class!AC64,"AAAAAFU79wE=")</f>
        <v>#VALUE!</v>
      </c>
      <c r="C14">
        <f>IF(class!65:65,"AAAAAFU79wI=",0)</f>
        <v>0</v>
      </c>
      <c r="D14" t="e">
        <f>AND(class!A65,"AAAAAFU79wM=")</f>
        <v>#VALUE!</v>
      </c>
      <c r="E14" t="e">
        <f>AND(class!B65,"AAAAAFU79wQ=")</f>
        <v>#VALUE!</v>
      </c>
      <c r="F14" t="e">
        <f>AND(class!C65,"AAAAAFU79wU=")</f>
        <v>#VALUE!</v>
      </c>
      <c r="G14" t="e">
        <f>AND(class!D65,"AAAAAFU79wY=")</f>
        <v>#VALUE!</v>
      </c>
      <c r="H14" t="e">
        <f>AND(class!E65,"AAAAAFU79wc=")</f>
        <v>#VALUE!</v>
      </c>
      <c r="I14" t="e">
        <f>AND(class!F65,"AAAAAFU79wg=")</f>
        <v>#VALUE!</v>
      </c>
      <c r="J14" t="e">
        <f>AND(class!G65,"AAAAAFU79wk=")</f>
        <v>#VALUE!</v>
      </c>
      <c r="K14" t="e">
        <f>AND(class!H65,"AAAAAFU79wo=")</f>
        <v>#VALUE!</v>
      </c>
      <c r="L14" t="e">
        <f>AND(class!I65,"AAAAAFU79ws=")</f>
        <v>#VALUE!</v>
      </c>
      <c r="M14" t="e">
        <f>AND(class!J65,"AAAAAFU79ww=")</f>
        <v>#VALUE!</v>
      </c>
      <c r="N14" t="e">
        <f>AND(class!K65,"AAAAAFU79w0=")</f>
        <v>#VALUE!</v>
      </c>
      <c r="O14" t="e">
        <f>AND(class!L65,"AAAAAFU79w4=")</f>
        <v>#VALUE!</v>
      </c>
      <c r="P14" t="e">
        <f>AND(class!M65,"AAAAAFU79w8=")</f>
        <v>#VALUE!</v>
      </c>
      <c r="Q14" t="e">
        <f>AND(class!N65,"AAAAAFU79xA=")</f>
        <v>#VALUE!</v>
      </c>
      <c r="R14" t="e">
        <f>AND(class!O65,"AAAAAFU79xE=")</f>
        <v>#VALUE!</v>
      </c>
      <c r="S14" t="e">
        <f>AND(class!P65,"AAAAAFU79xI=")</f>
        <v>#VALUE!</v>
      </c>
      <c r="T14" t="e">
        <f>AND(class!Q65,"AAAAAFU79xM=")</f>
        <v>#VALUE!</v>
      </c>
      <c r="U14" t="e">
        <f>AND(class!R65,"AAAAAFU79xQ=")</f>
        <v>#VALUE!</v>
      </c>
      <c r="V14" t="e">
        <f>AND(class!S65,"AAAAAFU79xU=")</f>
        <v>#VALUE!</v>
      </c>
      <c r="W14" t="e">
        <f>AND(class!T65,"AAAAAFU79xY=")</f>
        <v>#VALUE!</v>
      </c>
      <c r="X14" t="e">
        <f>AND(class!U65,"AAAAAFU79xc=")</f>
        <v>#VALUE!</v>
      </c>
      <c r="Y14" t="e">
        <f>AND(class!V65,"AAAAAFU79xg=")</f>
        <v>#VALUE!</v>
      </c>
      <c r="Z14" t="e">
        <f>AND(class!W65,"AAAAAFU79xk=")</f>
        <v>#VALUE!</v>
      </c>
      <c r="AA14" t="e">
        <f>AND(class!X65,"AAAAAFU79xo=")</f>
        <v>#VALUE!</v>
      </c>
      <c r="AB14" t="e">
        <f>AND(class!Y65,"AAAAAFU79xs=")</f>
        <v>#VALUE!</v>
      </c>
      <c r="AC14" t="e">
        <f>AND(class!Z65,"AAAAAFU79xw=")</f>
        <v>#VALUE!</v>
      </c>
      <c r="AD14" t="e">
        <f>AND(class!AA65,"AAAAAFU79x0=")</f>
        <v>#VALUE!</v>
      </c>
      <c r="AE14" t="e">
        <f>AND(class!AB65,"AAAAAFU79x4=")</f>
        <v>#VALUE!</v>
      </c>
      <c r="AF14" t="e">
        <f>AND(class!AC65,"AAAAAFU79x8=")</f>
        <v>#VALUE!</v>
      </c>
      <c r="AG14">
        <f>IF(class!66:66,"AAAAAFU79yA=",0)</f>
        <v>0</v>
      </c>
      <c r="AH14" t="e">
        <f>AND(class!A66,"AAAAAFU79yE=")</f>
        <v>#VALUE!</v>
      </c>
      <c r="AI14" t="e">
        <f>AND(class!B66,"AAAAAFU79yI=")</f>
        <v>#VALUE!</v>
      </c>
      <c r="AJ14" t="e">
        <f>AND(class!C66,"AAAAAFU79yM=")</f>
        <v>#VALUE!</v>
      </c>
      <c r="AK14" t="e">
        <f>AND(class!D66,"AAAAAFU79yQ=")</f>
        <v>#VALUE!</v>
      </c>
      <c r="AL14" t="e">
        <f>AND(class!E66,"AAAAAFU79yU=")</f>
        <v>#VALUE!</v>
      </c>
      <c r="AM14" t="e">
        <f>AND(class!F66,"AAAAAFU79yY=")</f>
        <v>#VALUE!</v>
      </c>
      <c r="AN14" t="e">
        <f>AND(class!G66,"AAAAAFU79yc=")</f>
        <v>#VALUE!</v>
      </c>
      <c r="AO14" t="e">
        <f>AND(class!H66,"AAAAAFU79yg=")</f>
        <v>#VALUE!</v>
      </c>
      <c r="AP14" t="e">
        <f>AND(class!I66,"AAAAAFU79yk=")</f>
        <v>#VALUE!</v>
      </c>
      <c r="AQ14" t="e">
        <f>AND(class!J66,"AAAAAFU79yo=")</f>
        <v>#VALUE!</v>
      </c>
      <c r="AR14" t="e">
        <f>AND(class!K66,"AAAAAFU79ys=")</f>
        <v>#VALUE!</v>
      </c>
      <c r="AS14" t="e">
        <f>AND(class!L66,"AAAAAFU79yw=")</f>
        <v>#VALUE!</v>
      </c>
      <c r="AT14" t="e">
        <f>AND(class!M66,"AAAAAFU79y0=")</f>
        <v>#VALUE!</v>
      </c>
      <c r="AU14" t="e">
        <f>AND(class!N66,"AAAAAFU79y4=")</f>
        <v>#VALUE!</v>
      </c>
      <c r="AV14" t="e">
        <f>AND(class!O66,"AAAAAFU79y8=")</f>
        <v>#VALUE!</v>
      </c>
      <c r="AW14" t="e">
        <f>AND(class!P66,"AAAAAFU79zA=")</f>
        <v>#VALUE!</v>
      </c>
      <c r="AX14" t="e">
        <f>AND(class!Q66,"AAAAAFU79zE=")</f>
        <v>#VALUE!</v>
      </c>
      <c r="AY14" t="e">
        <f>AND(class!R66,"AAAAAFU79zI=")</f>
        <v>#VALUE!</v>
      </c>
      <c r="AZ14" t="e">
        <f>AND(class!S66,"AAAAAFU79zM=")</f>
        <v>#VALUE!</v>
      </c>
      <c r="BA14" t="e">
        <f>AND(class!T66,"AAAAAFU79zQ=")</f>
        <v>#VALUE!</v>
      </c>
      <c r="BB14" t="e">
        <f>AND(class!U66,"AAAAAFU79zU=")</f>
        <v>#VALUE!</v>
      </c>
      <c r="BC14" t="e">
        <f>AND(class!V66,"AAAAAFU79zY=")</f>
        <v>#VALUE!</v>
      </c>
      <c r="BD14" t="e">
        <f>AND(class!W66,"AAAAAFU79zc=")</f>
        <v>#VALUE!</v>
      </c>
      <c r="BE14" t="e">
        <f>AND(class!X66,"AAAAAFU79zg=")</f>
        <v>#VALUE!</v>
      </c>
      <c r="BF14" t="e">
        <f>AND(class!Y66,"AAAAAFU79zk=")</f>
        <v>#VALUE!</v>
      </c>
      <c r="BG14" t="e">
        <f>AND(class!Z66,"AAAAAFU79zo=")</f>
        <v>#VALUE!</v>
      </c>
      <c r="BH14" t="e">
        <f>AND(class!AA66,"AAAAAFU79zs=")</f>
        <v>#VALUE!</v>
      </c>
      <c r="BI14" t="e">
        <f>AND(class!AB66,"AAAAAFU79zw=")</f>
        <v>#VALUE!</v>
      </c>
      <c r="BJ14" t="e">
        <f>AND(class!AC66,"AAAAAFU79z0=")</f>
        <v>#VALUE!</v>
      </c>
      <c r="BK14">
        <f>IF(class!67:67,"AAAAAFU79z4=",0)</f>
        <v>0</v>
      </c>
      <c r="BL14" t="e">
        <f>AND(class!A67,"AAAAAFU79z8=")</f>
        <v>#VALUE!</v>
      </c>
      <c r="BM14" t="e">
        <f>AND(class!B67,"AAAAAFU790A=")</f>
        <v>#VALUE!</v>
      </c>
      <c r="BN14" t="e">
        <f>AND(class!C67,"AAAAAFU790E=")</f>
        <v>#VALUE!</v>
      </c>
      <c r="BO14" t="e">
        <f>AND(class!D67,"AAAAAFU790I=")</f>
        <v>#VALUE!</v>
      </c>
      <c r="BP14" t="e">
        <f>AND(class!E67,"AAAAAFU790M=")</f>
        <v>#VALUE!</v>
      </c>
      <c r="BQ14" t="e">
        <f>AND(class!F67,"AAAAAFU790Q=")</f>
        <v>#VALUE!</v>
      </c>
      <c r="BR14" t="e">
        <f>AND(class!G67,"AAAAAFU790U=")</f>
        <v>#VALUE!</v>
      </c>
      <c r="BS14" t="e">
        <f>AND(class!H67,"AAAAAFU790Y=")</f>
        <v>#VALUE!</v>
      </c>
      <c r="BT14" t="e">
        <f>AND(class!I67,"AAAAAFU790c=")</f>
        <v>#VALUE!</v>
      </c>
      <c r="BU14" t="e">
        <f>AND(class!J67,"AAAAAFU790g=")</f>
        <v>#VALUE!</v>
      </c>
      <c r="BV14" t="e">
        <f>AND(class!K67,"AAAAAFU790k=")</f>
        <v>#VALUE!</v>
      </c>
      <c r="BW14" t="e">
        <f>AND(class!L67,"AAAAAFU790o=")</f>
        <v>#VALUE!</v>
      </c>
      <c r="BX14" t="e">
        <f>AND(class!M67,"AAAAAFU790s=")</f>
        <v>#VALUE!</v>
      </c>
      <c r="BY14" t="e">
        <f>AND(class!N67,"AAAAAFU790w=")</f>
        <v>#VALUE!</v>
      </c>
      <c r="BZ14" t="e">
        <f>AND(class!O67,"AAAAAFU7900=")</f>
        <v>#VALUE!</v>
      </c>
      <c r="CA14" t="e">
        <f>AND(class!P67,"AAAAAFU7904=")</f>
        <v>#VALUE!</v>
      </c>
      <c r="CB14" t="e">
        <f>AND(class!Q67,"AAAAAFU7908=")</f>
        <v>#VALUE!</v>
      </c>
      <c r="CC14" t="e">
        <f>AND(class!R67,"AAAAAFU791A=")</f>
        <v>#VALUE!</v>
      </c>
      <c r="CD14" t="e">
        <f>AND(class!S67,"AAAAAFU791E=")</f>
        <v>#VALUE!</v>
      </c>
      <c r="CE14" t="e">
        <f>AND(class!T67,"AAAAAFU791I=")</f>
        <v>#VALUE!</v>
      </c>
      <c r="CF14" t="e">
        <f>AND(class!U67,"AAAAAFU791M=")</f>
        <v>#VALUE!</v>
      </c>
      <c r="CG14" t="e">
        <f>AND(class!V67,"AAAAAFU791Q=")</f>
        <v>#VALUE!</v>
      </c>
      <c r="CH14" t="e">
        <f>AND(class!W67,"AAAAAFU791U=")</f>
        <v>#VALUE!</v>
      </c>
      <c r="CI14" t="e">
        <f>AND(class!X67,"AAAAAFU791Y=")</f>
        <v>#VALUE!</v>
      </c>
      <c r="CJ14" t="e">
        <f>AND(class!Y67,"AAAAAFU791c=")</f>
        <v>#VALUE!</v>
      </c>
      <c r="CK14" t="e">
        <f>AND(class!Z67,"AAAAAFU791g=")</f>
        <v>#VALUE!</v>
      </c>
      <c r="CL14" t="e">
        <f>AND(class!AA67,"AAAAAFU791k=")</f>
        <v>#VALUE!</v>
      </c>
      <c r="CM14" t="e">
        <f>AND(class!AB67,"AAAAAFU791o=")</f>
        <v>#VALUE!</v>
      </c>
      <c r="CN14" t="e">
        <f>AND(class!AC67,"AAAAAFU791s=")</f>
        <v>#VALUE!</v>
      </c>
      <c r="CO14">
        <f>IF(class!68:68,"AAAAAFU791w=",0)</f>
        <v>0</v>
      </c>
      <c r="CP14" t="e">
        <f>AND(class!A68,"AAAAAFU7910=")</f>
        <v>#VALUE!</v>
      </c>
      <c r="CQ14" t="e">
        <f>AND(class!B68,"AAAAAFU7914=")</f>
        <v>#VALUE!</v>
      </c>
      <c r="CR14" t="e">
        <f>AND(class!C68,"AAAAAFU7918=")</f>
        <v>#VALUE!</v>
      </c>
      <c r="CS14" t="e">
        <f>AND(class!D68,"AAAAAFU792A=")</f>
        <v>#VALUE!</v>
      </c>
      <c r="CT14" t="e">
        <f>AND(class!E68,"AAAAAFU792E=")</f>
        <v>#VALUE!</v>
      </c>
      <c r="CU14" t="e">
        <f>AND(class!F68,"AAAAAFU792I=")</f>
        <v>#VALUE!</v>
      </c>
      <c r="CV14" t="e">
        <f>AND(class!G68,"AAAAAFU792M=")</f>
        <v>#VALUE!</v>
      </c>
      <c r="CW14" t="e">
        <f>AND(class!H68,"AAAAAFU792Q=")</f>
        <v>#VALUE!</v>
      </c>
      <c r="CX14" t="e">
        <f>AND(class!I68,"AAAAAFU792U=")</f>
        <v>#VALUE!</v>
      </c>
      <c r="CY14" t="e">
        <f>AND(class!J68,"AAAAAFU792Y=")</f>
        <v>#VALUE!</v>
      </c>
      <c r="CZ14" t="e">
        <f>AND(class!K68,"AAAAAFU792c=")</f>
        <v>#VALUE!</v>
      </c>
      <c r="DA14" t="e">
        <f>AND(class!L68,"AAAAAFU792g=")</f>
        <v>#VALUE!</v>
      </c>
      <c r="DB14" t="e">
        <f>AND(class!M68,"AAAAAFU792k=")</f>
        <v>#VALUE!</v>
      </c>
      <c r="DC14" t="e">
        <f>AND(class!N68,"AAAAAFU792o=")</f>
        <v>#VALUE!</v>
      </c>
      <c r="DD14" t="e">
        <f>AND(class!O68,"AAAAAFU792s=")</f>
        <v>#VALUE!</v>
      </c>
      <c r="DE14" t="e">
        <f>AND(class!P68,"AAAAAFU792w=")</f>
        <v>#VALUE!</v>
      </c>
      <c r="DF14" t="e">
        <f>AND(class!Q68,"AAAAAFU7920=")</f>
        <v>#VALUE!</v>
      </c>
      <c r="DG14" t="e">
        <f>AND(class!R68,"AAAAAFU7924=")</f>
        <v>#VALUE!</v>
      </c>
      <c r="DH14" t="e">
        <f>AND(class!S68,"AAAAAFU7928=")</f>
        <v>#VALUE!</v>
      </c>
      <c r="DI14" t="e">
        <f>AND(class!T68,"AAAAAFU793A=")</f>
        <v>#VALUE!</v>
      </c>
      <c r="DJ14" t="e">
        <f>AND(class!U68,"AAAAAFU793E=")</f>
        <v>#VALUE!</v>
      </c>
      <c r="DK14" t="e">
        <f>AND(class!V68,"AAAAAFU793I=")</f>
        <v>#VALUE!</v>
      </c>
      <c r="DL14" t="e">
        <f>AND(class!W68,"AAAAAFU793M=")</f>
        <v>#VALUE!</v>
      </c>
      <c r="DM14" t="e">
        <f>AND(class!X68,"AAAAAFU793Q=")</f>
        <v>#VALUE!</v>
      </c>
      <c r="DN14" t="e">
        <f>AND(class!Y68,"AAAAAFU793U=")</f>
        <v>#VALUE!</v>
      </c>
      <c r="DO14" t="e">
        <f>AND(class!Z68,"AAAAAFU793Y=")</f>
        <v>#VALUE!</v>
      </c>
      <c r="DP14" t="e">
        <f>AND(class!AA68,"AAAAAFU793c=")</f>
        <v>#VALUE!</v>
      </c>
      <c r="DQ14" t="e">
        <f>AND(class!AB68,"AAAAAFU793g=")</f>
        <v>#VALUE!</v>
      </c>
      <c r="DR14" t="e">
        <f>AND(class!AC68,"AAAAAFU793k=")</f>
        <v>#VALUE!</v>
      </c>
      <c r="DS14">
        <f>IF(class!69:69,"AAAAAFU793o=",0)</f>
        <v>0</v>
      </c>
      <c r="DT14" t="e">
        <f>AND(class!A69,"AAAAAFU793s=")</f>
        <v>#VALUE!</v>
      </c>
      <c r="DU14" t="e">
        <f>AND(class!B69,"AAAAAFU793w=")</f>
        <v>#VALUE!</v>
      </c>
      <c r="DV14" t="e">
        <f>AND(class!C69,"AAAAAFU7930=")</f>
        <v>#VALUE!</v>
      </c>
      <c r="DW14" t="e">
        <f>AND(class!D69,"AAAAAFU7934=")</f>
        <v>#VALUE!</v>
      </c>
      <c r="DX14" t="e">
        <f>AND(class!E69,"AAAAAFU7938=")</f>
        <v>#VALUE!</v>
      </c>
      <c r="DY14" t="e">
        <f>AND(class!F69,"AAAAAFU794A=")</f>
        <v>#VALUE!</v>
      </c>
      <c r="DZ14" t="e">
        <f>AND(class!G69,"AAAAAFU794E=")</f>
        <v>#VALUE!</v>
      </c>
      <c r="EA14" t="e">
        <f>AND(class!H69,"AAAAAFU794I=")</f>
        <v>#VALUE!</v>
      </c>
      <c r="EB14" t="e">
        <f>AND(class!I69,"AAAAAFU794M=")</f>
        <v>#VALUE!</v>
      </c>
      <c r="EC14" t="e">
        <f>AND(class!J69,"AAAAAFU794Q=")</f>
        <v>#VALUE!</v>
      </c>
      <c r="ED14" t="e">
        <f>AND(class!K69,"AAAAAFU794U=")</f>
        <v>#VALUE!</v>
      </c>
      <c r="EE14" t="e">
        <f>AND(class!L69,"AAAAAFU794Y=")</f>
        <v>#VALUE!</v>
      </c>
      <c r="EF14" t="e">
        <f>AND(class!M69,"AAAAAFU794c=")</f>
        <v>#VALUE!</v>
      </c>
      <c r="EG14" t="e">
        <f>AND(class!N69,"AAAAAFU794g=")</f>
        <v>#VALUE!</v>
      </c>
      <c r="EH14" t="e">
        <f>AND(class!O69,"AAAAAFU794k=")</f>
        <v>#VALUE!</v>
      </c>
      <c r="EI14" t="e">
        <f>AND(class!P69,"AAAAAFU794o=")</f>
        <v>#VALUE!</v>
      </c>
      <c r="EJ14" t="e">
        <f>AND(class!Q69,"AAAAAFU794s=")</f>
        <v>#VALUE!</v>
      </c>
      <c r="EK14" t="e">
        <f>AND(class!R69,"AAAAAFU794w=")</f>
        <v>#VALUE!</v>
      </c>
      <c r="EL14" t="e">
        <f>AND(class!S69,"AAAAAFU7940=")</f>
        <v>#VALUE!</v>
      </c>
      <c r="EM14" t="e">
        <f>AND(class!T69,"AAAAAFU7944=")</f>
        <v>#VALUE!</v>
      </c>
      <c r="EN14" t="e">
        <f>AND(class!U69,"AAAAAFU7948=")</f>
        <v>#VALUE!</v>
      </c>
      <c r="EO14" t="e">
        <f>AND(class!V69,"AAAAAFU795A=")</f>
        <v>#VALUE!</v>
      </c>
      <c r="EP14" t="e">
        <f>AND(class!W69,"AAAAAFU795E=")</f>
        <v>#VALUE!</v>
      </c>
      <c r="EQ14" t="e">
        <f>AND(class!X69,"AAAAAFU795I=")</f>
        <v>#VALUE!</v>
      </c>
      <c r="ER14" t="e">
        <f>AND(class!Y69,"AAAAAFU795M=")</f>
        <v>#VALUE!</v>
      </c>
      <c r="ES14" t="e">
        <f>AND(class!Z69,"AAAAAFU795Q=")</f>
        <v>#VALUE!</v>
      </c>
      <c r="ET14" t="e">
        <f>AND(class!AA69,"AAAAAFU795U=")</f>
        <v>#VALUE!</v>
      </c>
      <c r="EU14" t="e">
        <f>AND(class!AB69,"AAAAAFU795Y=")</f>
        <v>#VALUE!</v>
      </c>
      <c r="EV14" t="e">
        <f>AND(class!AC69,"AAAAAFU795c=")</f>
        <v>#VALUE!</v>
      </c>
      <c r="EW14">
        <f>IF(class!70:70,"AAAAAFU795g=",0)</f>
        <v>0</v>
      </c>
      <c r="EX14" t="e">
        <f>AND(class!A70,"AAAAAFU795k=")</f>
        <v>#VALUE!</v>
      </c>
      <c r="EY14" t="e">
        <f>AND(class!B70,"AAAAAFU795o=")</f>
        <v>#VALUE!</v>
      </c>
      <c r="EZ14" t="e">
        <f>AND(class!C70,"AAAAAFU795s=")</f>
        <v>#VALUE!</v>
      </c>
      <c r="FA14" t="e">
        <f>AND(class!D70,"AAAAAFU795w=")</f>
        <v>#VALUE!</v>
      </c>
      <c r="FB14" t="e">
        <f>AND(class!E70,"AAAAAFU7950=")</f>
        <v>#VALUE!</v>
      </c>
      <c r="FC14" t="e">
        <f>AND(class!F70,"AAAAAFU7954=")</f>
        <v>#VALUE!</v>
      </c>
      <c r="FD14" t="e">
        <f>AND(class!G70,"AAAAAFU7958=")</f>
        <v>#VALUE!</v>
      </c>
      <c r="FE14" t="e">
        <f>AND(class!H70,"AAAAAFU796A=")</f>
        <v>#VALUE!</v>
      </c>
      <c r="FF14" t="e">
        <f>AND(class!I70,"AAAAAFU796E=")</f>
        <v>#VALUE!</v>
      </c>
      <c r="FG14" t="e">
        <f>AND(class!J70,"AAAAAFU796I=")</f>
        <v>#VALUE!</v>
      </c>
      <c r="FH14" t="e">
        <f>AND(class!K70,"AAAAAFU796M=")</f>
        <v>#VALUE!</v>
      </c>
      <c r="FI14" t="e">
        <f>AND(class!L70,"AAAAAFU796Q=")</f>
        <v>#VALUE!</v>
      </c>
      <c r="FJ14" t="e">
        <f>AND(class!M70,"AAAAAFU796U=")</f>
        <v>#VALUE!</v>
      </c>
      <c r="FK14" t="e">
        <f>AND(class!N70,"AAAAAFU796Y=")</f>
        <v>#VALUE!</v>
      </c>
      <c r="FL14" t="e">
        <f>AND(class!O70,"AAAAAFU796c=")</f>
        <v>#VALUE!</v>
      </c>
      <c r="FM14" t="e">
        <f>AND(class!P70,"AAAAAFU796g=")</f>
        <v>#VALUE!</v>
      </c>
      <c r="FN14" t="e">
        <f>AND(class!Q70,"AAAAAFU796k=")</f>
        <v>#VALUE!</v>
      </c>
      <c r="FO14" t="e">
        <f>AND(class!R70,"AAAAAFU796o=")</f>
        <v>#VALUE!</v>
      </c>
      <c r="FP14" t="e">
        <f>AND(class!S70,"AAAAAFU796s=")</f>
        <v>#VALUE!</v>
      </c>
      <c r="FQ14" t="e">
        <f>AND(class!T70,"AAAAAFU796w=")</f>
        <v>#VALUE!</v>
      </c>
      <c r="FR14" t="e">
        <f>AND(class!U70,"AAAAAFU7960=")</f>
        <v>#VALUE!</v>
      </c>
      <c r="FS14" t="e">
        <f>AND(class!V70,"AAAAAFU7964=")</f>
        <v>#VALUE!</v>
      </c>
      <c r="FT14" t="e">
        <f>AND(class!W70,"AAAAAFU7968=")</f>
        <v>#VALUE!</v>
      </c>
      <c r="FU14" t="e">
        <f>AND(class!X70,"AAAAAFU797A=")</f>
        <v>#VALUE!</v>
      </c>
      <c r="FV14" t="e">
        <f>AND(class!Y70,"AAAAAFU797E=")</f>
        <v>#VALUE!</v>
      </c>
      <c r="FW14" t="e">
        <f>AND(class!Z70,"AAAAAFU797I=")</f>
        <v>#VALUE!</v>
      </c>
      <c r="FX14" t="e">
        <f>AND(class!AA70,"AAAAAFU797M=")</f>
        <v>#VALUE!</v>
      </c>
      <c r="FY14" t="e">
        <f>AND(class!AB70,"AAAAAFU797Q=")</f>
        <v>#VALUE!</v>
      </c>
      <c r="FZ14" t="e">
        <f>AND(class!AC70,"AAAAAFU797U=")</f>
        <v>#VALUE!</v>
      </c>
      <c r="GA14">
        <f>IF(class!71:71,"AAAAAFU797Y=",0)</f>
        <v>0</v>
      </c>
      <c r="GB14" t="e">
        <f>AND(class!A71,"AAAAAFU797c=")</f>
        <v>#VALUE!</v>
      </c>
      <c r="GC14" t="e">
        <f>AND(class!B71,"AAAAAFU797g=")</f>
        <v>#VALUE!</v>
      </c>
      <c r="GD14" t="e">
        <f>AND(class!C71,"AAAAAFU797k=")</f>
        <v>#VALUE!</v>
      </c>
      <c r="GE14" t="e">
        <f>AND(class!D71,"AAAAAFU797o=")</f>
        <v>#VALUE!</v>
      </c>
      <c r="GF14" t="e">
        <f>AND(class!E71,"AAAAAFU797s=")</f>
        <v>#VALUE!</v>
      </c>
      <c r="GG14" t="e">
        <f>AND(class!F71,"AAAAAFU797w=")</f>
        <v>#VALUE!</v>
      </c>
      <c r="GH14" t="e">
        <f>AND(class!G71,"AAAAAFU7970=")</f>
        <v>#VALUE!</v>
      </c>
      <c r="GI14" t="e">
        <f>AND(class!H71,"AAAAAFU7974=")</f>
        <v>#VALUE!</v>
      </c>
      <c r="GJ14" t="e">
        <f>AND(class!I71,"AAAAAFU7978=")</f>
        <v>#VALUE!</v>
      </c>
      <c r="GK14" t="e">
        <f>AND(class!J71,"AAAAAFU798A=")</f>
        <v>#VALUE!</v>
      </c>
      <c r="GL14" t="e">
        <f>AND(class!K71,"AAAAAFU798E=")</f>
        <v>#VALUE!</v>
      </c>
      <c r="GM14" t="e">
        <f>AND(class!L71,"AAAAAFU798I=")</f>
        <v>#VALUE!</v>
      </c>
      <c r="GN14" t="e">
        <f>AND(class!M71,"AAAAAFU798M=")</f>
        <v>#VALUE!</v>
      </c>
      <c r="GO14" t="e">
        <f>AND(class!N71,"AAAAAFU798Q=")</f>
        <v>#VALUE!</v>
      </c>
      <c r="GP14" t="e">
        <f>AND(class!O71,"AAAAAFU798U=")</f>
        <v>#VALUE!</v>
      </c>
      <c r="GQ14" t="e">
        <f>AND(class!P71,"AAAAAFU798Y=")</f>
        <v>#VALUE!</v>
      </c>
      <c r="GR14" t="e">
        <f>AND(class!Q71,"AAAAAFU798c=")</f>
        <v>#VALUE!</v>
      </c>
      <c r="GS14" t="e">
        <f>AND(class!R71,"AAAAAFU798g=")</f>
        <v>#VALUE!</v>
      </c>
      <c r="GT14" t="e">
        <f>AND(class!S71,"AAAAAFU798k=")</f>
        <v>#VALUE!</v>
      </c>
      <c r="GU14" t="e">
        <f>AND(class!T71,"AAAAAFU798o=")</f>
        <v>#VALUE!</v>
      </c>
      <c r="GV14" t="e">
        <f>AND(class!U71,"AAAAAFU798s=")</f>
        <v>#VALUE!</v>
      </c>
      <c r="GW14" t="e">
        <f>AND(class!V71,"AAAAAFU798w=")</f>
        <v>#VALUE!</v>
      </c>
      <c r="GX14" t="e">
        <f>AND(class!W71,"AAAAAFU7980=")</f>
        <v>#VALUE!</v>
      </c>
      <c r="GY14" t="e">
        <f>AND(class!X71,"AAAAAFU7984=")</f>
        <v>#VALUE!</v>
      </c>
      <c r="GZ14" t="e">
        <f>AND(class!Y71,"AAAAAFU7988=")</f>
        <v>#VALUE!</v>
      </c>
      <c r="HA14" t="e">
        <f>AND(class!Z71,"AAAAAFU799A=")</f>
        <v>#VALUE!</v>
      </c>
      <c r="HB14" t="e">
        <f>AND(class!AA71,"AAAAAFU799E=")</f>
        <v>#VALUE!</v>
      </c>
      <c r="HC14" t="e">
        <f>AND(class!AB71,"AAAAAFU799I=")</f>
        <v>#VALUE!</v>
      </c>
      <c r="HD14" t="e">
        <f>AND(class!AC71,"AAAAAFU799M=")</f>
        <v>#VALUE!</v>
      </c>
      <c r="HE14">
        <f>IF(class!72:72,"AAAAAFU799Q=",0)</f>
        <v>0</v>
      </c>
      <c r="HF14" t="e">
        <f>AND(class!A72,"AAAAAFU799U=")</f>
        <v>#VALUE!</v>
      </c>
      <c r="HG14" t="e">
        <f>AND(class!B72,"AAAAAFU799Y=")</f>
        <v>#VALUE!</v>
      </c>
      <c r="HH14" t="e">
        <f>AND(class!C72,"AAAAAFU799c=")</f>
        <v>#VALUE!</v>
      </c>
      <c r="HI14" t="e">
        <f>AND(class!D72,"AAAAAFU799g=")</f>
        <v>#VALUE!</v>
      </c>
      <c r="HJ14" t="e">
        <f>AND(class!E72,"AAAAAFU799k=")</f>
        <v>#VALUE!</v>
      </c>
      <c r="HK14" t="e">
        <f>AND(class!F72,"AAAAAFU799o=")</f>
        <v>#VALUE!</v>
      </c>
      <c r="HL14" t="e">
        <f>AND(class!G72,"AAAAAFU799s=")</f>
        <v>#VALUE!</v>
      </c>
      <c r="HM14" t="e">
        <f>AND(class!H72,"AAAAAFU799w=")</f>
        <v>#VALUE!</v>
      </c>
      <c r="HN14" t="e">
        <f>AND(class!I72,"AAAAAFU7990=")</f>
        <v>#VALUE!</v>
      </c>
      <c r="HO14" t="e">
        <f>AND(class!J72,"AAAAAFU7994=")</f>
        <v>#VALUE!</v>
      </c>
      <c r="HP14" t="e">
        <f>AND(class!K72,"AAAAAFU7998=")</f>
        <v>#VALUE!</v>
      </c>
      <c r="HQ14" t="e">
        <f>AND(class!L72,"AAAAAFU79+A=")</f>
        <v>#VALUE!</v>
      </c>
      <c r="HR14" t="e">
        <f>AND(class!M72,"AAAAAFU79+E=")</f>
        <v>#VALUE!</v>
      </c>
      <c r="HS14" t="e">
        <f>AND(class!N72,"AAAAAFU79+I=")</f>
        <v>#VALUE!</v>
      </c>
      <c r="HT14" t="e">
        <f>AND(class!O72,"AAAAAFU79+M=")</f>
        <v>#VALUE!</v>
      </c>
      <c r="HU14" t="e">
        <f>AND(class!P72,"AAAAAFU79+Q=")</f>
        <v>#VALUE!</v>
      </c>
      <c r="HV14" t="e">
        <f>AND(class!Q72,"AAAAAFU79+U=")</f>
        <v>#VALUE!</v>
      </c>
      <c r="HW14" t="e">
        <f>AND(class!R72,"AAAAAFU79+Y=")</f>
        <v>#VALUE!</v>
      </c>
      <c r="HX14" t="e">
        <f>AND(class!S72,"AAAAAFU79+c=")</f>
        <v>#VALUE!</v>
      </c>
      <c r="HY14" t="e">
        <f>AND(class!T72,"AAAAAFU79+g=")</f>
        <v>#VALUE!</v>
      </c>
      <c r="HZ14" t="e">
        <f>AND(class!U72,"AAAAAFU79+k=")</f>
        <v>#VALUE!</v>
      </c>
      <c r="IA14" t="e">
        <f>AND(class!V72,"AAAAAFU79+o=")</f>
        <v>#VALUE!</v>
      </c>
      <c r="IB14" t="e">
        <f>AND(class!W72,"AAAAAFU79+s=")</f>
        <v>#VALUE!</v>
      </c>
      <c r="IC14" t="e">
        <f>AND(class!X72,"AAAAAFU79+w=")</f>
        <v>#VALUE!</v>
      </c>
      <c r="ID14" t="e">
        <f>AND(class!Y72,"AAAAAFU79+0=")</f>
        <v>#VALUE!</v>
      </c>
      <c r="IE14" t="e">
        <f>AND(class!Z72,"AAAAAFU79+4=")</f>
        <v>#VALUE!</v>
      </c>
      <c r="IF14" t="e">
        <f>AND(class!AA72,"AAAAAFU79+8=")</f>
        <v>#VALUE!</v>
      </c>
      <c r="IG14" t="e">
        <f>AND(class!AB72,"AAAAAFU79/A=")</f>
        <v>#VALUE!</v>
      </c>
      <c r="IH14" t="e">
        <f>AND(class!AC72,"AAAAAFU79/E=")</f>
        <v>#VALUE!</v>
      </c>
      <c r="II14">
        <f>IF(class!73:73,"AAAAAFU79/I=",0)</f>
        <v>0</v>
      </c>
      <c r="IJ14" t="e">
        <f>AND(class!A73,"AAAAAFU79/M=")</f>
        <v>#VALUE!</v>
      </c>
      <c r="IK14" t="e">
        <f>AND(class!B73,"AAAAAFU79/Q=")</f>
        <v>#VALUE!</v>
      </c>
      <c r="IL14" t="e">
        <f>AND(class!C73,"AAAAAFU79/U=")</f>
        <v>#VALUE!</v>
      </c>
      <c r="IM14" t="e">
        <f>AND(class!D73,"AAAAAFU79/Y=")</f>
        <v>#VALUE!</v>
      </c>
      <c r="IN14" t="e">
        <f>AND(class!E73,"AAAAAFU79/c=")</f>
        <v>#VALUE!</v>
      </c>
      <c r="IO14" t="e">
        <f>AND(class!F73,"AAAAAFU79/g=")</f>
        <v>#VALUE!</v>
      </c>
      <c r="IP14" t="e">
        <f>AND(class!G73,"AAAAAFU79/k=")</f>
        <v>#VALUE!</v>
      </c>
      <c r="IQ14" t="e">
        <f>AND(class!H73,"AAAAAFU79/o=")</f>
        <v>#VALUE!</v>
      </c>
      <c r="IR14" t="e">
        <f>AND(class!I73,"AAAAAFU79/s=")</f>
        <v>#VALUE!</v>
      </c>
      <c r="IS14" t="e">
        <f>AND(class!J73,"AAAAAFU79/w=")</f>
        <v>#VALUE!</v>
      </c>
      <c r="IT14" t="e">
        <f>AND(class!K73,"AAAAAFU79/0=")</f>
        <v>#VALUE!</v>
      </c>
      <c r="IU14" t="e">
        <f>AND(class!L73,"AAAAAFU79/4=")</f>
        <v>#VALUE!</v>
      </c>
      <c r="IV14" t="e">
        <f>AND(class!M73,"AAAAAFU79/8=")</f>
        <v>#VALUE!</v>
      </c>
    </row>
    <row r="15" spans="1:256" x14ac:dyDescent="0.2">
      <c r="A15" t="e">
        <f>AND(class!N73,"AAAAAFOe9wA=")</f>
        <v>#VALUE!</v>
      </c>
      <c r="B15" t="e">
        <f>AND(class!O73,"AAAAAFOe9wE=")</f>
        <v>#VALUE!</v>
      </c>
      <c r="C15" t="e">
        <f>AND(class!P73,"AAAAAFOe9wI=")</f>
        <v>#VALUE!</v>
      </c>
      <c r="D15" t="e">
        <f>AND(class!Q73,"AAAAAFOe9wM=")</f>
        <v>#VALUE!</v>
      </c>
      <c r="E15" t="e">
        <f>AND(class!R73,"AAAAAFOe9wQ=")</f>
        <v>#VALUE!</v>
      </c>
      <c r="F15" t="e">
        <f>AND(class!S73,"AAAAAFOe9wU=")</f>
        <v>#VALUE!</v>
      </c>
      <c r="G15" t="e">
        <f>AND(class!T73,"AAAAAFOe9wY=")</f>
        <v>#VALUE!</v>
      </c>
      <c r="H15" t="e">
        <f>AND(class!U73,"AAAAAFOe9wc=")</f>
        <v>#VALUE!</v>
      </c>
      <c r="I15" t="e">
        <f>AND(class!V73,"AAAAAFOe9wg=")</f>
        <v>#VALUE!</v>
      </c>
      <c r="J15" t="e">
        <f>AND(class!W73,"AAAAAFOe9wk=")</f>
        <v>#VALUE!</v>
      </c>
      <c r="K15" t="e">
        <f>AND(class!X73,"AAAAAFOe9wo=")</f>
        <v>#VALUE!</v>
      </c>
      <c r="L15" t="e">
        <f>AND(class!Y73,"AAAAAFOe9ws=")</f>
        <v>#VALUE!</v>
      </c>
      <c r="M15" t="e">
        <f>AND(class!Z73,"AAAAAFOe9ww=")</f>
        <v>#VALUE!</v>
      </c>
      <c r="N15" t="e">
        <f>AND(class!AA73,"AAAAAFOe9w0=")</f>
        <v>#VALUE!</v>
      </c>
      <c r="O15" t="e">
        <f>AND(class!AB73,"AAAAAFOe9w4=")</f>
        <v>#VALUE!</v>
      </c>
      <c r="P15" t="e">
        <f>AND(class!AC73,"AAAAAFOe9w8=")</f>
        <v>#VALUE!</v>
      </c>
      <c r="Q15">
        <f>IF(class!74:74,"AAAAAFOe9xA=",0)</f>
        <v>0</v>
      </c>
      <c r="R15" t="e">
        <f>AND(class!A74,"AAAAAFOe9xE=")</f>
        <v>#VALUE!</v>
      </c>
      <c r="S15" t="e">
        <f>AND(class!B74,"AAAAAFOe9xI=")</f>
        <v>#VALUE!</v>
      </c>
      <c r="T15" t="e">
        <f>AND(class!C74,"AAAAAFOe9xM=")</f>
        <v>#VALUE!</v>
      </c>
      <c r="U15" t="e">
        <f>AND(class!D74,"AAAAAFOe9xQ=")</f>
        <v>#VALUE!</v>
      </c>
      <c r="V15" t="e">
        <f>AND(class!E74,"AAAAAFOe9xU=")</f>
        <v>#VALUE!</v>
      </c>
      <c r="W15" t="e">
        <f>AND(class!F74,"AAAAAFOe9xY=")</f>
        <v>#VALUE!</v>
      </c>
      <c r="X15" t="e">
        <f>AND(class!G74,"AAAAAFOe9xc=")</f>
        <v>#VALUE!</v>
      </c>
      <c r="Y15" t="e">
        <f>AND(class!H74,"AAAAAFOe9xg=")</f>
        <v>#VALUE!</v>
      </c>
      <c r="Z15" t="e">
        <f>AND(class!I74,"AAAAAFOe9xk=")</f>
        <v>#VALUE!</v>
      </c>
      <c r="AA15" t="e">
        <f>AND(class!J74,"AAAAAFOe9xo=")</f>
        <v>#VALUE!</v>
      </c>
      <c r="AB15" t="e">
        <f>AND(class!K74,"AAAAAFOe9xs=")</f>
        <v>#VALUE!</v>
      </c>
      <c r="AC15" t="e">
        <f>AND(class!L74,"AAAAAFOe9xw=")</f>
        <v>#VALUE!</v>
      </c>
      <c r="AD15" t="e">
        <f>AND(class!M74,"AAAAAFOe9x0=")</f>
        <v>#VALUE!</v>
      </c>
      <c r="AE15" t="e">
        <f>AND(class!N74,"AAAAAFOe9x4=")</f>
        <v>#VALUE!</v>
      </c>
      <c r="AF15" t="e">
        <f>AND(class!O74,"AAAAAFOe9x8=")</f>
        <v>#VALUE!</v>
      </c>
      <c r="AG15" t="e">
        <f>AND(class!P74,"AAAAAFOe9yA=")</f>
        <v>#VALUE!</v>
      </c>
      <c r="AH15" t="e">
        <f>AND(class!Q74,"AAAAAFOe9yE=")</f>
        <v>#VALUE!</v>
      </c>
      <c r="AI15" t="e">
        <f>AND(class!R74,"AAAAAFOe9yI=")</f>
        <v>#VALUE!</v>
      </c>
      <c r="AJ15" t="e">
        <f>AND(class!S74,"AAAAAFOe9yM=")</f>
        <v>#VALUE!</v>
      </c>
      <c r="AK15" t="e">
        <f>AND(class!T74,"AAAAAFOe9yQ=")</f>
        <v>#VALUE!</v>
      </c>
      <c r="AL15" t="e">
        <f>AND(class!U74,"AAAAAFOe9yU=")</f>
        <v>#VALUE!</v>
      </c>
      <c r="AM15" t="e">
        <f>AND(class!V74,"AAAAAFOe9yY=")</f>
        <v>#VALUE!</v>
      </c>
      <c r="AN15" t="e">
        <f>AND(class!W74,"AAAAAFOe9yc=")</f>
        <v>#VALUE!</v>
      </c>
      <c r="AO15" t="e">
        <f>AND(class!X74,"AAAAAFOe9yg=")</f>
        <v>#VALUE!</v>
      </c>
      <c r="AP15" t="e">
        <f>AND(class!Y74,"AAAAAFOe9yk=")</f>
        <v>#VALUE!</v>
      </c>
      <c r="AQ15" t="e">
        <f>AND(class!Z74,"AAAAAFOe9yo=")</f>
        <v>#VALUE!</v>
      </c>
      <c r="AR15" t="e">
        <f>AND(class!AA74,"AAAAAFOe9ys=")</f>
        <v>#VALUE!</v>
      </c>
      <c r="AS15" t="e">
        <f>AND(class!AB74,"AAAAAFOe9yw=")</f>
        <v>#VALUE!</v>
      </c>
      <c r="AT15" t="e">
        <f>AND(class!AC74,"AAAAAFOe9y0=")</f>
        <v>#VALUE!</v>
      </c>
      <c r="AU15">
        <f>IF(class!75:75,"AAAAAFOe9y4=",0)</f>
        <v>0</v>
      </c>
      <c r="AV15" t="e">
        <f>AND(class!A75,"AAAAAFOe9y8=")</f>
        <v>#VALUE!</v>
      </c>
      <c r="AW15" t="e">
        <f>AND(class!B75,"AAAAAFOe9zA=")</f>
        <v>#VALUE!</v>
      </c>
      <c r="AX15" t="e">
        <f>AND(class!C75,"AAAAAFOe9zE=")</f>
        <v>#VALUE!</v>
      </c>
      <c r="AY15" t="e">
        <f>AND(class!D75,"AAAAAFOe9zI=")</f>
        <v>#VALUE!</v>
      </c>
      <c r="AZ15" t="e">
        <f>AND(class!E75,"AAAAAFOe9zM=")</f>
        <v>#VALUE!</v>
      </c>
      <c r="BA15" t="e">
        <f>AND(class!F75,"AAAAAFOe9zQ=")</f>
        <v>#VALUE!</v>
      </c>
      <c r="BB15" t="e">
        <f>AND(class!G75,"AAAAAFOe9zU=")</f>
        <v>#VALUE!</v>
      </c>
      <c r="BC15" t="e">
        <f>AND(class!H75,"AAAAAFOe9zY=")</f>
        <v>#VALUE!</v>
      </c>
      <c r="BD15" t="e">
        <f>AND(class!I75,"AAAAAFOe9zc=")</f>
        <v>#VALUE!</v>
      </c>
      <c r="BE15" t="e">
        <f>AND(class!J75,"AAAAAFOe9zg=")</f>
        <v>#VALUE!</v>
      </c>
      <c r="BF15" t="e">
        <f>AND(class!K75,"AAAAAFOe9zk=")</f>
        <v>#VALUE!</v>
      </c>
      <c r="BG15" t="e">
        <f>AND(class!L75,"AAAAAFOe9zo=")</f>
        <v>#VALUE!</v>
      </c>
      <c r="BH15" t="e">
        <f>AND(class!M75,"AAAAAFOe9zs=")</f>
        <v>#VALUE!</v>
      </c>
      <c r="BI15" t="e">
        <f>AND(class!N75,"AAAAAFOe9zw=")</f>
        <v>#VALUE!</v>
      </c>
      <c r="BJ15" t="e">
        <f>AND(class!O75,"AAAAAFOe9z0=")</f>
        <v>#VALUE!</v>
      </c>
      <c r="BK15" t="e">
        <f>AND(class!P75,"AAAAAFOe9z4=")</f>
        <v>#VALUE!</v>
      </c>
      <c r="BL15" t="e">
        <f>AND(class!Q75,"AAAAAFOe9z8=")</f>
        <v>#VALUE!</v>
      </c>
      <c r="BM15" t="e">
        <f>AND(class!R75,"AAAAAFOe90A=")</f>
        <v>#VALUE!</v>
      </c>
      <c r="BN15" t="e">
        <f>AND(class!S75,"AAAAAFOe90E=")</f>
        <v>#VALUE!</v>
      </c>
      <c r="BO15" t="e">
        <f>AND(class!T75,"AAAAAFOe90I=")</f>
        <v>#VALUE!</v>
      </c>
      <c r="BP15" t="e">
        <f>AND(class!U75,"AAAAAFOe90M=")</f>
        <v>#VALUE!</v>
      </c>
      <c r="BQ15" t="e">
        <f>AND(class!V75,"AAAAAFOe90Q=")</f>
        <v>#VALUE!</v>
      </c>
      <c r="BR15" t="e">
        <f>AND(class!W75,"AAAAAFOe90U=")</f>
        <v>#VALUE!</v>
      </c>
      <c r="BS15" t="e">
        <f>AND(class!X75,"AAAAAFOe90Y=")</f>
        <v>#VALUE!</v>
      </c>
      <c r="BT15" t="e">
        <f>AND(class!Y75,"AAAAAFOe90c=")</f>
        <v>#VALUE!</v>
      </c>
      <c r="BU15" t="e">
        <f>AND(class!Z75,"AAAAAFOe90g=")</f>
        <v>#VALUE!</v>
      </c>
      <c r="BV15" t="e">
        <f>AND(class!AA75,"AAAAAFOe90k=")</f>
        <v>#VALUE!</v>
      </c>
      <c r="BW15" t="e">
        <f>AND(class!AB75,"AAAAAFOe90o=")</f>
        <v>#VALUE!</v>
      </c>
      <c r="BX15" t="e">
        <f>AND(class!AC75,"AAAAAFOe90s=")</f>
        <v>#VALUE!</v>
      </c>
      <c r="BY15">
        <f>IF(class!76:76,"AAAAAFOe90w=",0)</f>
        <v>0</v>
      </c>
      <c r="BZ15" t="e">
        <f>AND(class!A76,"AAAAAFOe900=")</f>
        <v>#VALUE!</v>
      </c>
      <c r="CA15" t="e">
        <f>AND(class!B76,"AAAAAFOe904=")</f>
        <v>#VALUE!</v>
      </c>
      <c r="CB15" t="e">
        <f>AND(class!C76,"AAAAAFOe908=")</f>
        <v>#VALUE!</v>
      </c>
      <c r="CC15" t="e">
        <f>AND(class!D76,"AAAAAFOe91A=")</f>
        <v>#VALUE!</v>
      </c>
      <c r="CD15" t="e">
        <f>AND(class!E76,"AAAAAFOe91E=")</f>
        <v>#VALUE!</v>
      </c>
      <c r="CE15" t="e">
        <f>AND(class!F76,"AAAAAFOe91I=")</f>
        <v>#VALUE!</v>
      </c>
      <c r="CF15" t="e">
        <f>AND(class!G76,"AAAAAFOe91M=")</f>
        <v>#VALUE!</v>
      </c>
      <c r="CG15" t="e">
        <f>AND(class!H76,"AAAAAFOe91Q=")</f>
        <v>#VALUE!</v>
      </c>
      <c r="CH15" t="e">
        <f>AND(class!I76,"AAAAAFOe91U=")</f>
        <v>#VALUE!</v>
      </c>
      <c r="CI15" t="e">
        <f>AND(class!J76,"AAAAAFOe91Y=")</f>
        <v>#VALUE!</v>
      </c>
      <c r="CJ15" t="e">
        <f>AND(class!K76,"AAAAAFOe91c=")</f>
        <v>#VALUE!</v>
      </c>
      <c r="CK15" t="e">
        <f>AND(class!L76,"AAAAAFOe91g=")</f>
        <v>#VALUE!</v>
      </c>
      <c r="CL15" t="e">
        <f>AND(class!M76,"AAAAAFOe91k=")</f>
        <v>#VALUE!</v>
      </c>
      <c r="CM15" t="e">
        <f>AND(class!N76,"AAAAAFOe91o=")</f>
        <v>#VALUE!</v>
      </c>
      <c r="CN15" t="e">
        <f>AND(class!O76,"AAAAAFOe91s=")</f>
        <v>#VALUE!</v>
      </c>
      <c r="CO15" t="e">
        <f>AND(class!P76,"AAAAAFOe91w=")</f>
        <v>#VALUE!</v>
      </c>
      <c r="CP15" t="e">
        <f>AND(class!Q76,"AAAAAFOe910=")</f>
        <v>#VALUE!</v>
      </c>
      <c r="CQ15" t="e">
        <f>AND(class!R76,"AAAAAFOe914=")</f>
        <v>#VALUE!</v>
      </c>
      <c r="CR15" t="e">
        <f>AND(class!S76,"AAAAAFOe918=")</f>
        <v>#VALUE!</v>
      </c>
      <c r="CS15" t="e">
        <f>AND(class!T76,"AAAAAFOe92A=")</f>
        <v>#VALUE!</v>
      </c>
      <c r="CT15" t="e">
        <f>AND(class!U76,"AAAAAFOe92E=")</f>
        <v>#VALUE!</v>
      </c>
      <c r="CU15" t="e">
        <f>AND(class!V76,"AAAAAFOe92I=")</f>
        <v>#VALUE!</v>
      </c>
      <c r="CV15" t="e">
        <f>AND(class!W76,"AAAAAFOe92M=")</f>
        <v>#VALUE!</v>
      </c>
      <c r="CW15" t="e">
        <f>AND(class!X76,"AAAAAFOe92Q=")</f>
        <v>#VALUE!</v>
      </c>
      <c r="CX15" t="e">
        <f>AND(class!Y76,"AAAAAFOe92U=")</f>
        <v>#VALUE!</v>
      </c>
      <c r="CY15" t="e">
        <f>AND(class!Z76,"AAAAAFOe92Y=")</f>
        <v>#VALUE!</v>
      </c>
      <c r="CZ15" t="e">
        <f>AND(class!AA76,"AAAAAFOe92c=")</f>
        <v>#VALUE!</v>
      </c>
      <c r="DA15" t="e">
        <f>AND(class!AB76,"AAAAAFOe92g=")</f>
        <v>#VALUE!</v>
      </c>
      <c r="DB15" t="e">
        <f>AND(class!AC76,"AAAAAFOe92k=")</f>
        <v>#VALUE!</v>
      </c>
      <c r="DC15">
        <f>IF(class!77:77,"AAAAAFOe92o=",0)</f>
        <v>0</v>
      </c>
      <c r="DD15" t="e">
        <f>AND(class!A77,"AAAAAFOe92s=")</f>
        <v>#VALUE!</v>
      </c>
      <c r="DE15" t="e">
        <f>AND(class!B77,"AAAAAFOe92w=")</f>
        <v>#VALUE!</v>
      </c>
      <c r="DF15" t="e">
        <f>AND(class!C77,"AAAAAFOe920=")</f>
        <v>#VALUE!</v>
      </c>
      <c r="DG15" t="e">
        <f>AND(class!D77,"AAAAAFOe924=")</f>
        <v>#VALUE!</v>
      </c>
      <c r="DH15" t="e">
        <f>AND(class!E77,"AAAAAFOe928=")</f>
        <v>#VALUE!</v>
      </c>
      <c r="DI15" t="e">
        <f>AND(class!F77,"AAAAAFOe93A=")</f>
        <v>#VALUE!</v>
      </c>
      <c r="DJ15" t="e">
        <f>AND(class!G77,"AAAAAFOe93E=")</f>
        <v>#VALUE!</v>
      </c>
      <c r="DK15" t="e">
        <f>AND(class!H77,"AAAAAFOe93I=")</f>
        <v>#VALUE!</v>
      </c>
      <c r="DL15" t="e">
        <f>AND(class!I77,"AAAAAFOe93M=")</f>
        <v>#VALUE!</v>
      </c>
      <c r="DM15" t="e">
        <f>AND(class!J77,"AAAAAFOe93Q=")</f>
        <v>#VALUE!</v>
      </c>
      <c r="DN15" t="e">
        <f>AND(class!K77,"AAAAAFOe93U=")</f>
        <v>#VALUE!</v>
      </c>
      <c r="DO15" t="e">
        <f>AND(class!L77,"AAAAAFOe93Y=")</f>
        <v>#VALUE!</v>
      </c>
      <c r="DP15" t="e">
        <f>AND(class!M77,"AAAAAFOe93c=")</f>
        <v>#VALUE!</v>
      </c>
      <c r="DQ15" t="e">
        <f>AND(class!N77,"AAAAAFOe93g=")</f>
        <v>#VALUE!</v>
      </c>
      <c r="DR15" t="e">
        <f>AND(class!O77,"AAAAAFOe93k=")</f>
        <v>#VALUE!</v>
      </c>
      <c r="DS15" t="e">
        <f>AND(class!P77,"AAAAAFOe93o=")</f>
        <v>#VALUE!</v>
      </c>
      <c r="DT15" t="e">
        <f>AND(class!Q77,"AAAAAFOe93s=")</f>
        <v>#VALUE!</v>
      </c>
      <c r="DU15" t="e">
        <f>AND(class!R77,"AAAAAFOe93w=")</f>
        <v>#VALUE!</v>
      </c>
      <c r="DV15" t="e">
        <f>AND(class!S77,"AAAAAFOe930=")</f>
        <v>#VALUE!</v>
      </c>
      <c r="DW15" t="e">
        <f>AND(class!T77,"AAAAAFOe934=")</f>
        <v>#VALUE!</v>
      </c>
      <c r="DX15" t="e">
        <f>AND(class!U77,"AAAAAFOe938=")</f>
        <v>#VALUE!</v>
      </c>
      <c r="DY15" t="e">
        <f>AND(class!V77,"AAAAAFOe94A=")</f>
        <v>#VALUE!</v>
      </c>
      <c r="DZ15" t="e">
        <f>AND(class!W77,"AAAAAFOe94E=")</f>
        <v>#VALUE!</v>
      </c>
      <c r="EA15" t="e">
        <f>AND(class!X77,"AAAAAFOe94I=")</f>
        <v>#VALUE!</v>
      </c>
      <c r="EB15" t="e">
        <f>AND(class!Y77,"AAAAAFOe94M=")</f>
        <v>#VALUE!</v>
      </c>
      <c r="EC15" t="e">
        <f>AND(class!Z77,"AAAAAFOe94Q=")</f>
        <v>#VALUE!</v>
      </c>
      <c r="ED15" t="e">
        <f>AND(class!AA77,"AAAAAFOe94U=")</f>
        <v>#VALUE!</v>
      </c>
      <c r="EE15" t="e">
        <f>AND(class!AB77,"AAAAAFOe94Y=")</f>
        <v>#VALUE!</v>
      </c>
      <c r="EF15" t="e">
        <f>AND(class!AC77,"AAAAAFOe94c=")</f>
        <v>#VALUE!</v>
      </c>
      <c r="EG15">
        <f>IF(class!78:78,"AAAAAFOe94g=",0)</f>
        <v>0</v>
      </c>
      <c r="EH15" t="e">
        <f>AND(class!A78,"AAAAAFOe94k=")</f>
        <v>#VALUE!</v>
      </c>
      <c r="EI15" t="e">
        <f>AND(class!B78,"AAAAAFOe94o=")</f>
        <v>#VALUE!</v>
      </c>
      <c r="EJ15" t="e">
        <f>AND(class!C78,"AAAAAFOe94s=")</f>
        <v>#VALUE!</v>
      </c>
      <c r="EK15" t="e">
        <f>AND(class!D78,"AAAAAFOe94w=")</f>
        <v>#VALUE!</v>
      </c>
      <c r="EL15" t="e">
        <f>AND(class!E78,"AAAAAFOe940=")</f>
        <v>#VALUE!</v>
      </c>
      <c r="EM15" t="e">
        <f>AND(class!F78,"AAAAAFOe944=")</f>
        <v>#VALUE!</v>
      </c>
      <c r="EN15" t="e">
        <f>AND(class!G78,"AAAAAFOe948=")</f>
        <v>#VALUE!</v>
      </c>
      <c r="EO15" t="e">
        <f>AND(class!H78,"AAAAAFOe95A=")</f>
        <v>#VALUE!</v>
      </c>
      <c r="EP15" t="e">
        <f>AND(class!I78,"AAAAAFOe95E=")</f>
        <v>#VALUE!</v>
      </c>
      <c r="EQ15" t="e">
        <f>AND(class!J78,"AAAAAFOe95I=")</f>
        <v>#VALUE!</v>
      </c>
      <c r="ER15" t="e">
        <f>AND(class!K78,"AAAAAFOe95M=")</f>
        <v>#VALUE!</v>
      </c>
      <c r="ES15" t="e">
        <f>AND(class!L78,"AAAAAFOe95Q=")</f>
        <v>#VALUE!</v>
      </c>
      <c r="ET15" t="e">
        <f>AND(class!M78,"AAAAAFOe95U=")</f>
        <v>#VALUE!</v>
      </c>
      <c r="EU15" t="e">
        <f>AND(class!N78,"AAAAAFOe95Y=")</f>
        <v>#VALUE!</v>
      </c>
      <c r="EV15" t="e">
        <f>AND(class!O78,"AAAAAFOe95c=")</f>
        <v>#VALUE!</v>
      </c>
      <c r="EW15" t="e">
        <f>AND(class!P78,"AAAAAFOe95g=")</f>
        <v>#VALUE!</v>
      </c>
      <c r="EX15" t="e">
        <f>AND(class!Q78,"AAAAAFOe95k=")</f>
        <v>#VALUE!</v>
      </c>
      <c r="EY15" t="e">
        <f>AND(class!R78,"AAAAAFOe95o=")</f>
        <v>#VALUE!</v>
      </c>
      <c r="EZ15" t="e">
        <f>AND(class!S78,"AAAAAFOe95s=")</f>
        <v>#VALUE!</v>
      </c>
      <c r="FA15" t="e">
        <f>AND(class!T78,"AAAAAFOe95w=")</f>
        <v>#VALUE!</v>
      </c>
      <c r="FB15" t="e">
        <f>AND(class!U78,"AAAAAFOe950=")</f>
        <v>#VALUE!</v>
      </c>
      <c r="FC15" t="e">
        <f>AND(class!V78,"AAAAAFOe954=")</f>
        <v>#VALUE!</v>
      </c>
      <c r="FD15" t="e">
        <f>AND(class!W78,"AAAAAFOe958=")</f>
        <v>#VALUE!</v>
      </c>
      <c r="FE15" t="e">
        <f>AND(class!X78,"AAAAAFOe96A=")</f>
        <v>#VALUE!</v>
      </c>
      <c r="FF15" t="e">
        <f>AND(class!Y78,"AAAAAFOe96E=")</f>
        <v>#VALUE!</v>
      </c>
      <c r="FG15" t="e">
        <f>AND(class!Z78,"AAAAAFOe96I=")</f>
        <v>#VALUE!</v>
      </c>
      <c r="FH15" t="e">
        <f>AND(class!AA78,"AAAAAFOe96M=")</f>
        <v>#VALUE!</v>
      </c>
      <c r="FI15" t="e">
        <f>AND(class!AB78,"AAAAAFOe96Q=")</f>
        <v>#VALUE!</v>
      </c>
      <c r="FJ15" t="e">
        <f>AND(class!AC78,"AAAAAFOe96U=")</f>
        <v>#VALUE!</v>
      </c>
      <c r="FK15">
        <f>IF(class!79:79,"AAAAAFOe96Y=",0)</f>
        <v>0</v>
      </c>
      <c r="FL15" t="e">
        <f>AND(class!A79,"AAAAAFOe96c=")</f>
        <v>#VALUE!</v>
      </c>
      <c r="FM15" t="e">
        <f>AND(class!B79,"AAAAAFOe96g=")</f>
        <v>#VALUE!</v>
      </c>
      <c r="FN15" t="e">
        <f>AND(class!C79,"AAAAAFOe96k=")</f>
        <v>#VALUE!</v>
      </c>
      <c r="FO15" t="e">
        <f>AND(class!D79,"AAAAAFOe96o=")</f>
        <v>#VALUE!</v>
      </c>
      <c r="FP15" t="e">
        <f>AND(class!E79,"AAAAAFOe96s=")</f>
        <v>#VALUE!</v>
      </c>
      <c r="FQ15" t="e">
        <f>AND(class!F79,"AAAAAFOe96w=")</f>
        <v>#VALUE!</v>
      </c>
      <c r="FR15" t="e">
        <f>AND(class!G79,"AAAAAFOe960=")</f>
        <v>#VALUE!</v>
      </c>
      <c r="FS15" t="e">
        <f>AND(class!H79,"AAAAAFOe964=")</f>
        <v>#VALUE!</v>
      </c>
      <c r="FT15" t="e">
        <f>AND(class!I79,"AAAAAFOe968=")</f>
        <v>#VALUE!</v>
      </c>
      <c r="FU15" t="e">
        <f>AND(class!J79,"AAAAAFOe97A=")</f>
        <v>#VALUE!</v>
      </c>
      <c r="FV15" t="e">
        <f>AND(class!K79,"AAAAAFOe97E=")</f>
        <v>#VALUE!</v>
      </c>
      <c r="FW15" t="e">
        <f>AND(class!L79,"AAAAAFOe97I=")</f>
        <v>#VALUE!</v>
      </c>
      <c r="FX15" t="e">
        <f>AND(class!M79,"AAAAAFOe97M=")</f>
        <v>#VALUE!</v>
      </c>
      <c r="FY15" t="e">
        <f>AND(class!N79,"AAAAAFOe97Q=")</f>
        <v>#VALUE!</v>
      </c>
      <c r="FZ15" t="e">
        <f>AND(class!O79,"AAAAAFOe97U=")</f>
        <v>#VALUE!</v>
      </c>
      <c r="GA15" t="e">
        <f>AND(class!P79,"AAAAAFOe97Y=")</f>
        <v>#VALUE!</v>
      </c>
      <c r="GB15" t="e">
        <f>AND(class!Q79,"AAAAAFOe97c=")</f>
        <v>#VALUE!</v>
      </c>
      <c r="GC15" t="e">
        <f>AND(class!R79,"AAAAAFOe97g=")</f>
        <v>#VALUE!</v>
      </c>
      <c r="GD15" t="e">
        <f>AND(class!S79,"AAAAAFOe97k=")</f>
        <v>#VALUE!</v>
      </c>
      <c r="GE15" t="e">
        <f>AND(class!T79,"AAAAAFOe97o=")</f>
        <v>#VALUE!</v>
      </c>
      <c r="GF15" t="e">
        <f>AND(class!U79,"AAAAAFOe97s=")</f>
        <v>#VALUE!</v>
      </c>
      <c r="GG15" t="e">
        <f>AND(class!V79,"AAAAAFOe97w=")</f>
        <v>#VALUE!</v>
      </c>
      <c r="GH15" t="e">
        <f>AND(class!W79,"AAAAAFOe970=")</f>
        <v>#VALUE!</v>
      </c>
      <c r="GI15" t="e">
        <f>AND(class!X79,"AAAAAFOe974=")</f>
        <v>#VALUE!</v>
      </c>
      <c r="GJ15" t="e">
        <f>AND(class!Y79,"AAAAAFOe978=")</f>
        <v>#VALUE!</v>
      </c>
      <c r="GK15" t="e">
        <f>AND(class!Z79,"AAAAAFOe98A=")</f>
        <v>#VALUE!</v>
      </c>
      <c r="GL15" t="e">
        <f>AND(class!AA79,"AAAAAFOe98E=")</f>
        <v>#VALUE!</v>
      </c>
      <c r="GM15" t="e">
        <f>AND(class!AB79,"AAAAAFOe98I=")</f>
        <v>#VALUE!</v>
      </c>
      <c r="GN15" t="e">
        <f>AND(class!AC79,"AAAAAFOe98M=")</f>
        <v>#VALUE!</v>
      </c>
      <c r="GO15">
        <f>IF(class!80:80,"AAAAAFOe98Q=",0)</f>
        <v>0</v>
      </c>
      <c r="GP15" t="e">
        <f>AND(class!A80,"AAAAAFOe98U=")</f>
        <v>#VALUE!</v>
      </c>
      <c r="GQ15" t="e">
        <f>AND(class!B80,"AAAAAFOe98Y=")</f>
        <v>#VALUE!</v>
      </c>
      <c r="GR15" t="e">
        <f>AND(class!C80,"AAAAAFOe98c=")</f>
        <v>#VALUE!</v>
      </c>
      <c r="GS15" t="e">
        <f>AND(class!D80,"AAAAAFOe98g=")</f>
        <v>#VALUE!</v>
      </c>
      <c r="GT15" t="e">
        <f>AND(class!E80,"AAAAAFOe98k=")</f>
        <v>#VALUE!</v>
      </c>
      <c r="GU15" t="e">
        <f>AND(class!F80,"AAAAAFOe98o=")</f>
        <v>#VALUE!</v>
      </c>
      <c r="GV15" t="e">
        <f>AND(class!G80,"AAAAAFOe98s=")</f>
        <v>#VALUE!</v>
      </c>
      <c r="GW15" t="e">
        <f>AND(class!H80,"AAAAAFOe98w=")</f>
        <v>#VALUE!</v>
      </c>
      <c r="GX15" t="e">
        <f>AND(class!I80,"AAAAAFOe980=")</f>
        <v>#VALUE!</v>
      </c>
      <c r="GY15" t="e">
        <f>AND(class!J80,"AAAAAFOe984=")</f>
        <v>#VALUE!</v>
      </c>
      <c r="GZ15" t="e">
        <f>AND(class!K80,"AAAAAFOe988=")</f>
        <v>#VALUE!</v>
      </c>
      <c r="HA15" t="e">
        <f>AND(class!L80,"AAAAAFOe99A=")</f>
        <v>#VALUE!</v>
      </c>
      <c r="HB15" t="e">
        <f>AND(class!M80,"AAAAAFOe99E=")</f>
        <v>#VALUE!</v>
      </c>
      <c r="HC15" t="e">
        <f>AND(class!N80,"AAAAAFOe99I=")</f>
        <v>#VALUE!</v>
      </c>
      <c r="HD15" t="e">
        <f>AND(class!O80,"AAAAAFOe99M=")</f>
        <v>#VALUE!</v>
      </c>
      <c r="HE15" t="e">
        <f>AND(class!P80,"AAAAAFOe99Q=")</f>
        <v>#VALUE!</v>
      </c>
      <c r="HF15" t="e">
        <f>AND(class!Q80,"AAAAAFOe99U=")</f>
        <v>#VALUE!</v>
      </c>
      <c r="HG15" t="e">
        <f>AND(class!R80,"AAAAAFOe99Y=")</f>
        <v>#VALUE!</v>
      </c>
      <c r="HH15" t="e">
        <f>AND(class!S80,"AAAAAFOe99c=")</f>
        <v>#VALUE!</v>
      </c>
      <c r="HI15" t="e">
        <f>AND(class!T80,"AAAAAFOe99g=")</f>
        <v>#VALUE!</v>
      </c>
      <c r="HJ15" t="e">
        <f>AND(class!U80,"AAAAAFOe99k=")</f>
        <v>#VALUE!</v>
      </c>
      <c r="HK15" t="e">
        <f>AND(class!V80,"AAAAAFOe99o=")</f>
        <v>#VALUE!</v>
      </c>
      <c r="HL15" t="e">
        <f>AND(class!W80,"AAAAAFOe99s=")</f>
        <v>#VALUE!</v>
      </c>
      <c r="HM15" t="e">
        <f>AND(class!X80,"AAAAAFOe99w=")</f>
        <v>#VALUE!</v>
      </c>
      <c r="HN15" t="e">
        <f>AND(class!Y80,"AAAAAFOe990=")</f>
        <v>#VALUE!</v>
      </c>
      <c r="HO15" t="e">
        <f>AND(class!Z80,"AAAAAFOe994=")</f>
        <v>#VALUE!</v>
      </c>
      <c r="HP15" t="e">
        <f>AND(class!AA80,"AAAAAFOe998=")</f>
        <v>#VALUE!</v>
      </c>
      <c r="HQ15" t="e">
        <f>AND(class!AB80,"AAAAAFOe9+A=")</f>
        <v>#VALUE!</v>
      </c>
      <c r="HR15" t="e">
        <f>AND(class!AC80,"AAAAAFOe9+E=")</f>
        <v>#VALUE!</v>
      </c>
      <c r="HS15">
        <f>IF(class!81:81,"AAAAAFOe9+I=",0)</f>
        <v>0</v>
      </c>
      <c r="HT15" t="e">
        <f>AND(class!A81,"AAAAAFOe9+M=")</f>
        <v>#VALUE!</v>
      </c>
      <c r="HU15" t="e">
        <f>AND(class!B81,"AAAAAFOe9+Q=")</f>
        <v>#VALUE!</v>
      </c>
      <c r="HV15" t="e">
        <f>AND(class!C81,"AAAAAFOe9+U=")</f>
        <v>#VALUE!</v>
      </c>
      <c r="HW15" t="e">
        <f>AND(class!D81,"AAAAAFOe9+Y=")</f>
        <v>#VALUE!</v>
      </c>
      <c r="HX15" t="e">
        <f>AND(class!E81,"AAAAAFOe9+c=")</f>
        <v>#VALUE!</v>
      </c>
      <c r="HY15" t="e">
        <f>AND(class!F81,"AAAAAFOe9+g=")</f>
        <v>#VALUE!</v>
      </c>
      <c r="HZ15" t="e">
        <f>AND(class!G81,"AAAAAFOe9+k=")</f>
        <v>#VALUE!</v>
      </c>
      <c r="IA15" t="e">
        <f>AND(class!H81,"AAAAAFOe9+o=")</f>
        <v>#VALUE!</v>
      </c>
      <c r="IB15" t="e">
        <f>AND(class!I81,"AAAAAFOe9+s=")</f>
        <v>#VALUE!</v>
      </c>
      <c r="IC15" t="e">
        <f>AND(class!J81,"AAAAAFOe9+w=")</f>
        <v>#VALUE!</v>
      </c>
      <c r="ID15" t="e">
        <f>AND(class!K81,"AAAAAFOe9+0=")</f>
        <v>#VALUE!</v>
      </c>
      <c r="IE15" t="e">
        <f>AND(class!L81,"AAAAAFOe9+4=")</f>
        <v>#VALUE!</v>
      </c>
      <c r="IF15" t="e">
        <f>AND(class!M81,"AAAAAFOe9+8=")</f>
        <v>#VALUE!</v>
      </c>
      <c r="IG15" t="e">
        <f>AND(class!N81,"AAAAAFOe9/A=")</f>
        <v>#VALUE!</v>
      </c>
      <c r="IH15" t="e">
        <f>AND(class!O81,"AAAAAFOe9/E=")</f>
        <v>#VALUE!</v>
      </c>
      <c r="II15" t="e">
        <f>AND(class!P81,"AAAAAFOe9/I=")</f>
        <v>#VALUE!</v>
      </c>
      <c r="IJ15" t="e">
        <f>AND(class!Q81,"AAAAAFOe9/M=")</f>
        <v>#VALUE!</v>
      </c>
      <c r="IK15" t="e">
        <f>AND(class!R81,"AAAAAFOe9/Q=")</f>
        <v>#VALUE!</v>
      </c>
      <c r="IL15" t="e">
        <f>AND(class!S81,"AAAAAFOe9/U=")</f>
        <v>#VALUE!</v>
      </c>
      <c r="IM15" t="e">
        <f>AND(class!T81,"AAAAAFOe9/Y=")</f>
        <v>#VALUE!</v>
      </c>
      <c r="IN15" t="e">
        <f>AND(class!U81,"AAAAAFOe9/c=")</f>
        <v>#VALUE!</v>
      </c>
      <c r="IO15" t="e">
        <f>AND(class!V81,"AAAAAFOe9/g=")</f>
        <v>#VALUE!</v>
      </c>
      <c r="IP15" t="e">
        <f>AND(class!W81,"AAAAAFOe9/k=")</f>
        <v>#VALUE!</v>
      </c>
      <c r="IQ15" t="e">
        <f>AND(class!X81,"AAAAAFOe9/o=")</f>
        <v>#VALUE!</v>
      </c>
      <c r="IR15" t="e">
        <f>AND(class!Y81,"AAAAAFOe9/s=")</f>
        <v>#VALUE!</v>
      </c>
      <c r="IS15" t="e">
        <f>AND(class!Z81,"AAAAAFOe9/w=")</f>
        <v>#VALUE!</v>
      </c>
      <c r="IT15" t="e">
        <f>AND(class!AA81,"AAAAAFOe9/0=")</f>
        <v>#VALUE!</v>
      </c>
      <c r="IU15" t="e">
        <f>AND(class!AB81,"AAAAAFOe9/4=")</f>
        <v>#VALUE!</v>
      </c>
      <c r="IV15" t="e">
        <f>AND(class!AC81,"AAAAAFOe9/8=")</f>
        <v>#VALUE!</v>
      </c>
    </row>
    <row r="16" spans="1:256" x14ac:dyDescent="0.2">
      <c r="A16">
        <f>IF(class!82:82,"AAAAAH6+/wA=",0)</f>
        <v>0</v>
      </c>
      <c r="B16" t="e">
        <f>AND(class!A82,"AAAAAH6+/wE=")</f>
        <v>#VALUE!</v>
      </c>
      <c r="C16" t="e">
        <f>AND(class!B82,"AAAAAH6+/wI=")</f>
        <v>#VALUE!</v>
      </c>
      <c r="D16" t="e">
        <f>AND(class!C82,"AAAAAH6+/wM=")</f>
        <v>#VALUE!</v>
      </c>
      <c r="E16" t="e">
        <f>AND(class!D82,"AAAAAH6+/wQ=")</f>
        <v>#VALUE!</v>
      </c>
      <c r="F16" t="e">
        <f>AND(class!E82,"AAAAAH6+/wU=")</f>
        <v>#VALUE!</v>
      </c>
      <c r="G16" t="e">
        <f>AND(class!F82,"AAAAAH6+/wY=")</f>
        <v>#VALUE!</v>
      </c>
      <c r="H16" t="e">
        <f>AND(class!G82,"AAAAAH6+/wc=")</f>
        <v>#VALUE!</v>
      </c>
      <c r="I16" t="e">
        <f>AND(class!H82,"AAAAAH6+/wg=")</f>
        <v>#VALUE!</v>
      </c>
      <c r="J16" t="e">
        <f>AND(class!I82,"AAAAAH6+/wk=")</f>
        <v>#VALUE!</v>
      </c>
      <c r="K16" t="e">
        <f>AND(class!J82,"AAAAAH6+/wo=")</f>
        <v>#VALUE!</v>
      </c>
      <c r="L16" t="e">
        <f>AND(class!K82,"AAAAAH6+/ws=")</f>
        <v>#VALUE!</v>
      </c>
      <c r="M16" t="e">
        <f>AND(class!L82,"AAAAAH6+/ww=")</f>
        <v>#VALUE!</v>
      </c>
      <c r="N16" t="e">
        <f>AND(class!M82,"AAAAAH6+/w0=")</f>
        <v>#VALUE!</v>
      </c>
      <c r="O16" t="e">
        <f>AND(class!N82,"AAAAAH6+/w4=")</f>
        <v>#VALUE!</v>
      </c>
      <c r="P16" t="e">
        <f>AND(class!O82,"AAAAAH6+/w8=")</f>
        <v>#VALUE!</v>
      </c>
      <c r="Q16" t="e">
        <f>AND(class!P82,"AAAAAH6+/xA=")</f>
        <v>#VALUE!</v>
      </c>
      <c r="R16" t="e">
        <f>AND(class!Q82,"AAAAAH6+/xE=")</f>
        <v>#VALUE!</v>
      </c>
      <c r="S16" t="e">
        <f>AND(class!R82,"AAAAAH6+/xI=")</f>
        <v>#VALUE!</v>
      </c>
      <c r="T16" t="e">
        <f>AND(class!S82,"AAAAAH6+/xM=")</f>
        <v>#VALUE!</v>
      </c>
      <c r="U16" t="e">
        <f>AND(class!T82,"AAAAAH6+/xQ=")</f>
        <v>#VALUE!</v>
      </c>
      <c r="V16" t="e">
        <f>AND(class!U82,"AAAAAH6+/xU=")</f>
        <v>#VALUE!</v>
      </c>
      <c r="W16" t="e">
        <f>AND(class!V82,"AAAAAH6+/xY=")</f>
        <v>#VALUE!</v>
      </c>
      <c r="X16" t="e">
        <f>AND(class!W82,"AAAAAH6+/xc=")</f>
        <v>#VALUE!</v>
      </c>
      <c r="Y16" t="e">
        <f>AND(class!X82,"AAAAAH6+/xg=")</f>
        <v>#VALUE!</v>
      </c>
      <c r="Z16" t="e">
        <f>AND(class!Y82,"AAAAAH6+/xk=")</f>
        <v>#VALUE!</v>
      </c>
      <c r="AA16" t="e">
        <f>AND(class!Z82,"AAAAAH6+/xo=")</f>
        <v>#VALUE!</v>
      </c>
      <c r="AB16" t="e">
        <f>AND(class!AA82,"AAAAAH6+/xs=")</f>
        <v>#VALUE!</v>
      </c>
      <c r="AC16" t="e">
        <f>AND(class!AB82,"AAAAAH6+/xw=")</f>
        <v>#VALUE!</v>
      </c>
      <c r="AD16" t="e">
        <f>AND(class!AC82,"AAAAAH6+/x0=")</f>
        <v>#VALUE!</v>
      </c>
      <c r="AE16">
        <f>IF(class!83:83,"AAAAAH6+/x4=",0)</f>
        <v>0</v>
      </c>
      <c r="AF16" t="e">
        <f>AND(class!A83,"AAAAAH6+/x8=")</f>
        <v>#VALUE!</v>
      </c>
      <c r="AG16" t="e">
        <f>AND(class!B83,"AAAAAH6+/yA=")</f>
        <v>#VALUE!</v>
      </c>
      <c r="AH16" t="e">
        <f>AND(class!C83,"AAAAAH6+/yE=")</f>
        <v>#VALUE!</v>
      </c>
      <c r="AI16" t="e">
        <f>AND(class!D83,"AAAAAH6+/yI=")</f>
        <v>#VALUE!</v>
      </c>
      <c r="AJ16" t="e">
        <f>AND(class!E83,"AAAAAH6+/yM=")</f>
        <v>#VALUE!</v>
      </c>
      <c r="AK16" t="e">
        <f>AND(class!F83,"AAAAAH6+/yQ=")</f>
        <v>#VALUE!</v>
      </c>
      <c r="AL16" t="e">
        <f>AND(class!G83,"AAAAAH6+/yU=")</f>
        <v>#VALUE!</v>
      </c>
      <c r="AM16" t="e">
        <f>AND(class!H83,"AAAAAH6+/yY=")</f>
        <v>#VALUE!</v>
      </c>
      <c r="AN16" t="e">
        <f>AND(class!I83,"AAAAAH6+/yc=")</f>
        <v>#VALUE!</v>
      </c>
      <c r="AO16" t="e">
        <f>AND(class!J83,"AAAAAH6+/yg=")</f>
        <v>#VALUE!</v>
      </c>
      <c r="AP16" t="e">
        <f>AND(class!K83,"AAAAAH6+/yk=")</f>
        <v>#VALUE!</v>
      </c>
      <c r="AQ16" t="e">
        <f>AND(class!L83,"AAAAAH6+/yo=")</f>
        <v>#VALUE!</v>
      </c>
      <c r="AR16" t="e">
        <f>AND(class!M83,"AAAAAH6+/ys=")</f>
        <v>#VALUE!</v>
      </c>
      <c r="AS16" t="e">
        <f>AND(class!N83,"AAAAAH6+/yw=")</f>
        <v>#VALUE!</v>
      </c>
      <c r="AT16" t="e">
        <f>AND(class!O83,"AAAAAH6+/y0=")</f>
        <v>#VALUE!</v>
      </c>
      <c r="AU16" t="e">
        <f>AND(class!P83,"AAAAAH6+/y4=")</f>
        <v>#VALUE!</v>
      </c>
      <c r="AV16" t="e">
        <f>AND(class!Q83,"AAAAAH6+/y8=")</f>
        <v>#VALUE!</v>
      </c>
      <c r="AW16" t="e">
        <f>AND(class!R83,"AAAAAH6+/zA=")</f>
        <v>#VALUE!</v>
      </c>
      <c r="AX16" t="e">
        <f>AND(class!S83,"AAAAAH6+/zE=")</f>
        <v>#VALUE!</v>
      </c>
      <c r="AY16" t="e">
        <f>AND(class!T83,"AAAAAH6+/zI=")</f>
        <v>#VALUE!</v>
      </c>
      <c r="AZ16" t="e">
        <f>AND(class!U83,"AAAAAH6+/zM=")</f>
        <v>#VALUE!</v>
      </c>
      <c r="BA16" t="e">
        <f>AND(class!V83,"AAAAAH6+/zQ=")</f>
        <v>#VALUE!</v>
      </c>
      <c r="BB16" t="e">
        <f>AND(class!W83,"AAAAAH6+/zU=")</f>
        <v>#VALUE!</v>
      </c>
      <c r="BC16" t="e">
        <f>AND(class!X83,"AAAAAH6+/zY=")</f>
        <v>#VALUE!</v>
      </c>
      <c r="BD16" t="e">
        <f>AND(class!Y83,"AAAAAH6+/zc=")</f>
        <v>#VALUE!</v>
      </c>
      <c r="BE16" t="e">
        <f>AND(class!Z83,"AAAAAH6+/zg=")</f>
        <v>#VALUE!</v>
      </c>
      <c r="BF16" t="e">
        <f>AND(class!AA83,"AAAAAH6+/zk=")</f>
        <v>#VALUE!</v>
      </c>
      <c r="BG16" t="e">
        <f>AND(class!AB83,"AAAAAH6+/zo=")</f>
        <v>#VALUE!</v>
      </c>
      <c r="BH16" t="e">
        <f>AND(class!AC83,"AAAAAH6+/zs=")</f>
        <v>#VALUE!</v>
      </c>
      <c r="BI16">
        <f>IF(class!84:84,"AAAAAH6+/zw=",0)</f>
        <v>0</v>
      </c>
      <c r="BJ16" t="e">
        <f>AND(class!A84,"AAAAAH6+/z0=")</f>
        <v>#VALUE!</v>
      </c>
      <c r="BK16" t="e">
        <f>AND(class!B84,"AAAAAH6+/z4=")</f>
        <v>#VALUE!</v>
      </c>
      <c r="BL16" t="e">
        <f>AND(class!C84,"AAAAAH6+/z8=")</f>
        <v>#VALUE!</v>
      </c>
      <c r="BM16" t="e">
        <f>AND(class!D84,"AAAAAH6+/0A=")</f>
        <v>#VALUE!</v>
      </c>
      <c r="BN16" t="e">
        <f>AND(class!E84,"AAAAAH6+/0E=")</f>
        <v>#VALUE!</v>
      </c>
      <c r="BO16" t="e">
        <f>AND(class!F84,"AAAAAH6+/0I=")</f>
        <v>#VALUE!</v>
      </c>
      <c r="BP16" t="e">
        <f>AND(class!G84,"AAAAAH6+/0M=")</f>
        <v>#VALUE!</v>
      </c>
      <c r="BQ16" t="e">
        <f>AND(class!H84,"AAAAAH6+/0Q=")</f>
        <v>#VALUE!</v>
      </c>
      <c r="BR16" t="e">
        <f>AND(class!I84,"AAAAAH6+/0U=")</f>
        <v>#VALUE!</v>
      </c>
      <c r="BS16" t="e">
        <f>AND(class!J84,"AAAAAH6+/0Y=")</f>
        <v>#VALUE!</v>
      </c>
      <c r="BT16" t="e">
        <f>AND(class!K84,"AAAAAH6+/0c=")</f>
        <v>#VALUE!</v>
      </c>
      <c r="BU16" t="e">
        <f>AND(class!L84,"AAAAAH6+/0g=")</f>
        <v>#VALUE!</v>
      </c>
      <c r="BV16" t="e">
        <f>AND(class!M84,"AAAAAH6+/0k=")</f>
        <v>#VALUE!</v>
      </c>
      <c r="BW16" t="e">
        <f>AND(class!N84,"AAAAAH6+/0o=")</f>
        <v>#VALUE!</v>
      </c>
      <c r="BX16" t="e">
        <f>AND(class!O84,"AAAAAH6+/0s=")</f>
        <v>#VALUE!</v>
      </c>
      <c r="BY16" t="e">
        <f>AND(class!P84,"AAAAAH6+/0w=")</f>
        <v>#VALUE!</v>
      </c>
      <c r="BZ16" t="e">
        <f>AND(class!Q84,"AAAAAH6+/00=")</f>
        <v>#VALUE!</v>
      </c>
      <c r="CA16" t="e">
        <f>AND(class!R84,"AAAAAH6+/04=")</f>
        <v>#VALUE!</v>
      </c>
      <c r="CB16" t="e">
        <f>AND(class!S84,"AAAAAH6+/08=")</f>
        <v>#VALUE!</v>
      </c>
      <c r="CC16" t="e">
        <f>AND(class!T84,"AAAAAH6+/1A=")</f>
        <v>#VALUE!</v>
      </c>
      <c r="CD16" t="e">
        <f>AND(class!U84,"AAAAAH6+/1E=")</f>
        <v>#VALUE!</v>
      </c>
      <c r="CE16" t="e">
        <f>AND(class!V84,"AAAAAH6+/1I=")</f>
        <v>#VALUE!</v>
      </c>
      <c r="CF16" t="e">
        <f>AND(class!W84,"AAAAAH6+/1M=")</f>
        <v>#VALUE!</v>
      </c>
      <c r="CG16" t="e">
        <f>AND(class!X84,"AAAAAH6+/1Q=")</f>
        <v>#VALUE!</v>
      </c>
      <c r="CH16" t="e">
        <f>AND(class!Y84,"AAAAAH6+/1U=")</f>
        <v>#VALUE!</v>
      </c>
      <c r="CI16" t="e">
        <f>AND(class!Z84,"AAAAAH6+/1Y=")</f>
        <v>#VALUE!</v>
      </c>
      <c r="CJ16" t="e">
        <f>AND(class!AA84,"AAAAAH6+/1c=")</f>
        <v>#VALUE!</v>
      </c>
      <c r="CK16" t="e">
        <f>AND(class!AB84,"AAAAAH6+/1g=")</f>
        <v>#VALUE!</v>
      </c>
      <c r="CL16" t="e">
        <f>AND(class!AC84,"AAAAAH6+/1k=")</f>
        <v>#VALUE!</v>
      </c>
      <c r="CM16">
        <f>IF(class!85:85,"AAAAAH6+/1o=",0)</f>
        <v>0</v>
      </c>
      <c r="CN16" t="e">
        <f>AND(class!A85,"AAAAAH6+/1s=")</f>
        <v>#VALUE!</v>
      </c>
      <c r="CO16" t="e">
        <f>AND(class!B85,"AAAAAH6+/1w=")</f>
        <v>#VALUE!</v>
      </c>
      <c r="CP16" t="e">
        <f>AND(class!C85,"AAAAAH6+/10=")</f>
        <v>#VALUE!</v>
      </c>
      <c r="CQ16" t="e">
        <f>AND(class!D85,"AAAAAH6+/14=")</f>
        <v>#VALUE!</v>
      </c>
      <c r="CR16" t="e">
        <f>AND(class!E85,"AAAAAH6+/18=")</f>
        <v>#VALUE!</v>
      </c>
      <c r="CS16" t="e">
        <f>AND(class!F85,"AAAAAH6+/2A=")</f>
        <v>#VALUE!</v>
      </c>
      <c r="CT16" t="e">
        <f>AND(class!G85,"AAAAAH6+/2E=")</f>
        <v>#VALUE!</v>
      </c>
      <c r="CU16" t="e">
        <f>AND(class!H85,"AAAAAH6+/2I=")</f>
        <v>#VALUE!</v>
      </c>
      <c r="CV16" t="e">
        <f>AND(class!I85,"AAAAAH6+/2M=")</f>
        <v>#VALUE!</v>
      </c>
      <c r="CW16" t="e">
        <f>AND(class!J85,"AAAAAH6+/2Q=")</f>
        <v>#VALUE!</v>
      </c>
      <c r="CX16" t="e">
        <f>AND(class!K85,"AAAAAH6+/2U=")</f>
        <v>#VALUE!</v>
      </c>
      <c r="CY16" t="e">
        <f>AND(class!L85,"AAAAAH6+/2Y=")</f>
        <v>#VALUE!</v>
      </c>
      <c r="CZ16" t="e">
        <f>AND(class!M85,"AAAAAH6+/2c=")</f>
        <v>#VALUE!</v>
      </c>
      <c r="DA16" t="e">
        <f>AND(class!N85,"AAAAAH6+/2g=")</f>
        <v>#VALUE!</v>
      </c>
      <c r="DB16" t="e">
        <f>AND(class!O85,"AAAAAH6+/2k=")</f>
        <v>#VALUE!</v>
      </c>
      <c r="DC16" t="e">
        <f>AND(class!P85,"AAAAAH6+/2o=")</f>
        <v>#VALUE!</v>
      </c>
      <c r="DD16" t="e">
        <f>AND(class!Q85,"AAAAAH6+/2s=")</f>
        <v>#VALUE!</v>
      </c>
      <c r="DE16" t="e">
        <f>AND(class!R85,"AAAAAH6+/2w=")</f>
        <v>#VALUE!</v>
      </c>
      <c r="DF16" t="e">
        <f>AND(class!S85,"AAAAAH6+/20=")</f>
        <v>#VALUE!</v>
      </c>
      <c r="DG16" t="e">
        <f>AND(class!T85,"AAAAAH6+/24=")</f>
        <v>#VALUE!</v>
      </c>
      <c r="DH16" t="e">
        <f>AND(class!U85,"AAAAAH6+/28=")</f>
        <v>#VALUE!</v>
      </c>
      <c r="DI16" t="e">
        <f>AND(class!V85,"AAAAAH6+/3A=")</f>
        <v>#VALUE!</v>
      </c>
      <c r="DJ16" t="e">
        <f>AND(class!W85,"AAAAAH6+/3E=")</f>
        <v>#VALUE!</v>
      </c>
      <c r="DK16" t="e">
        <f>AND(class!X85,"AAAAAH6+/3I=")</f>
        <v>#VALUE!</v>
      </c>
      <c r="DL16" t="e">
        <f>AND(class!Y85,"AAAAAH6+/3M=")</f>
        <v>#VALUE!</v>
      </c>
      <c r="DM16" t="e">
        <f>AND(class!Z85,"AAAAAH6+/3Q=")</f>
        <v>#VALUE!</v>
      </c>
      <c r="DN16" t="e">
        <f>AND(class!AA85,"AAAAAH6+/3U=")</f>
        <v>#VALUE!</v>
      </c>
      <c r="DO16" t="e">
        <f>AND(class!AB85,"AAAAAH6+/3Y=")</f>
        <v>#VALUE!</v>
      </c>
      <c r="DP16" t="e">
        <f>AND(class!AC85,"AAAAAH6+/3c=")</f>
        <v>#VALUE!</v>
      </c>
      <c r="DQ16">
        <f>IF(class!86:86,"AAAAAH6+/3g=",0)</f>
        <v>0</v>
      </c>
      <c r="DR16" t="e">
        <f>AND(class!A86,"AAAAAH6+/3k=")</f>
        <v>#VALUE!</v>
      </c>
      <c r="DS16" t="e">
        <f>AND(class!B86,"AAAAAH6+/3o=")</f>
        <v>#VALUE!</v>
      </c>
      <c r="DT16" t="e">
        <f>AND(class!C86,"AAAAAH6+/3s=")</f>
        <v>#VALUE!</v>
      </c>
      <c r="DU16" t="e">
        <f>AND(class!D86,"AAAAAH6+/3w=")</f>
        <v>#VALUE!</v>
      </c>
      <c r="DV16" t="e">
        <f>AND(class!E86,"AAAAAH6+/30=")</f>
        <v>#VALUE!</v>
      </c>
      <c r="DW16" t="e">
        <f>AND(class!F86,"AAAAAH6+/34=")</f>
        <v>#VALUE!</v>
      </c>
      <c r="DX16" t="e">
        <f>AND(class!G86,"AAAAAH6+/38=")</f>
        <v>#VALUE!</v>
      </c>
      <c r="DY16" t="e">
        <f>AND(class!H86,"AAAAAH6+/4A=")</f>
        <v>#VALUE!</v>
      </c>
      <c r="DZ16" t="e">
        <f>AND(class!I86,"AAAAAH6+/4E=")</f>
        <v>#VALUE!</v>
      </c>
      <c r="EA16" t="e">
        <f>AND(class!J86,"AAAAAH6+/4I=")</f>
        <v>#VALUE!</v>
      </c>
      <c r="EB16" t="e">
        <f>AND(class!K86,"AAAAAH6+/4M=")</f>
        <v>#VALUE!</v>
      </c>
      <c r="EC16" t="e">
        <f>AND(class!L86,"AAAAAH6+/4Q=")</f>
        <v>#VALUE!</v>
      </c>
      <c r="ED16" t="e">
        <f>AND(class!M86,"AAAAAH6+/4U=")</f>
        <v>#VALUE!</v>
      </c>
      <c r="EE16" t="e">
        <f>AND(class!N86,"AAAAAH6+/4Y=")</f>
        <v>#VALUE!</v>
      </c>
      <c r="EF16" t="e">
        <f>AND(class!O86,"AAAAAH6+/4c=")</f>
        <v>#VALUE!</v>
      </c>
      <c r="EG16" t="e">
        <f>AND(class!P86,"AAAAAH6+/4g=")</f>
        <v>#VALUE!</v>
      </c>
      <c r="EH16" t="e">
        <f>AND(class!Q86,"AAAAAH6+/4k=")</f>
        <v>#VALUE!</v>
      </c>
      <c r="EI16" t="e">
        <f>AND(class!R86,"AAAAAH6+/4o=")</f>
        <v>#VALUE!</v>
      </c>
      <c r="EJ16" t="e">
        <f>AND(class!S86,"AAAAAH6+/4s=")</f>
        <v>#VALUE!</v>
      </c>
      <c r="EK16" t="e">
        <f>AND(class!T86,"AAAAAH6+/4w=")</f>
        <v>#VALUE!</v>
      </c>
      <c r="EL16" t="e">
        <f>AND(class!U86,"AAAAAH6+/40=")</f>
        <v>#VALUE!</v>
      </c>
      <c r="EM16" t="e">
        <f>AND(class!V86,"AAAAAH6+/44=")</f>
        <v>#VALUE!</v>
      </c>
      <c r="EN16" t="e">
        <f>AND(class!W86,"AAAAAH6+/48=")</f>
        <v>#VALUE!</v>
      </c>
      <c r="EO16" t="e">
        <f>AND(class!X86,"AAAAAH6+/5A=")</f>
        <v>#VALUE!</v>
      </c>
      <c r="EP16" t="e">
        <f>AND(class!Y86,"AAAAAH6+/5E=")</f>
        <v>#VALUE!</v>
      </c>
      <c r="EQ16" t="e">
        <f>AND(class!Z86,"AAAAAH6+/5I=")</f>
        <v>#VALUE!</v>
      </c>
      <c r="ER16" t="e">
        <f>AND(class!AA86,"AAAAAH6+/5M=")</f>
        <v>#VALUE!</v>
      </c>
      <c r="ES16" t="e">
        <f>AND(class!AB86,"AAAAAH6+/5Q=")</f>
        <v>#VALUE!</v>
      </c>
      <c r="ET16" t="e">
        <f>AND(class!AC86,"AAAAAH6+/5U=")</f>
        <v>#VALUE!</v>
      </c>
      <c r="EU16">
        <f>IF(class!87:87,"AAAAAH6+/5Y=",0)</f>
        <v>0</v>
      </c>
      <c r="EV16" t="e">
        <f>AND(class!A87,"AAAAAH6+/5c=")</f>
        <v>#VALUE!</v>
      </c>
      <c r="EW16" t="e">
        <f>AND(class!B87,"AAAAAH6+/5g=")</f>
        <v>#VALUE!</v>
      </c>
      <c r="EX16" t="e">
        <f>AND(class!C87,"AAAAAH6+/5k=")</f>
        <v>#VALUE!</v>
      </c>
      <c r="EY16" t="e">
        <f>AND(class!D87,"AAAAAH6+/5o=")</f>
        <v>#VALUE!</v>
      </c>
      <c r="EZ16" t="e">
        <f>AND(class!E87,"AAAAAH6+/5s=")</f>
        <v>#VALUE!</v>
      </c>
      <c r="FA16" t="e">
        <f>AND(class!F87,"AAAAAH6+/5w=")</f>
        <v>#VALUE!</v>
      </c>
      <c r="FB16" t="e">
        <f>AND(class!G87,"AAAAAH6+/50=")</f>
        <v>#VALUE!</v>
      </c>
      <c r="FC16" t="e">
        <f>AND(class!H87,"AAAAAH6+/54=")</f>
        <v>#VALUE!</v>
      </c>
      <c r="FD16" t="e">
        <f>AND(class!I87,"AAAAAH6+/58=")</f>
        <v>#VALUE!</v>
      </c>
      <c r="FE16" t="e">
        <f>AND(class!J87,"AAAAAH6+/6A=")</f>
        <v>#VALUE!</v>
      </c>
      <c r="FF16" t="e">
        <f>AND(class!K87,"AAAAAH6+/6E=")</f>
        <v>#VALUE!</v>
      </c>
      <c r="FG16" t="e">
        <f>AND(class!L87,"AAAAAH6+/6I=")</f>
        <v>#VALUE!</v>
      </c>
      <c r="FH16" t="e">
        <f>AND(class!M87,"AAAAAH6+/6M=")</f>
        <v>#VALUE!</v>
      </c>
      <c r="FI16" t="e">
        <f>AND(class!N87,"AAAAAH6+/6Q=")</f>
        <v>#VALUE!</v>
      </c>
      <c r="FJ16" t="e">
        <f>AND(class!O87,"AAAAAH6+/6U=")</f>
        <v>#VALUE!</v>
      </c>
      <c r="FK16" t="e">
        <f>AND(class!P87,"AAAAAH6+/6Y=")</f>
        <v>#VALUE!</v>
      </c>
      <c r="FL16" t="e">
        <f>AND(class!Q87,"AAAAAH6+/6c=")</f>
        <v>#VALUE!</v>
      </c>
      <c r="FM16" t="e">
        <f>AND(class!R87,"AAAAAH6+/6g=")</f>
        <v>#VALUE!</v>
      </c>
      <c r="FN16" t="e">
        <f>AND(class!S87,"AAAAAH6+/6k=")</f>
        <v>#VALUE!</v>
      </c>
      <c r="FO16" t="e">
        <f>AND(class!T87,"AAAAAH6+/6o=")</f>
        <v>#VALUE!</v>
      </c>
      <c r="FP16" t="e">
        <f>AND(class!U87,"AAAAAH6+/6s=")</f>
        <v>#VALUE!</v>
      </c>
      <c r="FQ16" t="e">
        <f>AND(class!V87,"AAAAAH6+/6w=")</f>
        <v>#VALUE!</v>
      </c>
      <c r="FR16" t="e">
        <f>AND(class!W87,"AAAAAH6+/60=")</f>
        <v>#VALUE!</v>
      </c>
      <c r="FS16" t="e">
        <f>AND(class!X87,"AAAAAH6+/64=")</f>
        <v>#VALUE!</v>
      </c>
      <c r="FT16" t="e">
        <f>AND(class!Y87,"AAAAAH6+/68=")</f>
        <v>#VALUE!</v>
      </c>
      <c r="FU16" t="e">
        <f>AND(class!Z87,"AAAAAH6+/7A=")</f>
        <v>#VALUE!</v>
      </c>
      <c r="FV16" t="e">
        <f>AND(class!AA87,"AAAAAH6+/7E=")</f>
        <v>#VALUE!</v>
      </c>
      <c r="FW16" t="e">
        <f>AND(class!AB87,"AAAAAH6+/7I=")</f>
        <v>#VALUE!</v>
      </c>
      <c r="FX16" t="e">
        <f>AND(class!AC87,"AAAAAH6+/7M=")</f>
        <v>#VALUE!</v>
      </c>
      <c r="FY16">
        <f>IF(class!88:88,"AAAAAH6+/7Q=",0)</f>
        <v>0</v>
      </c>
      <c r="FZ16" t="e">
        <f>AND(class!A88,"AAAAAH6+/7U=")</f>
        <v>#VALUE!</v>
      </c>
      <c r="GA16" t="e">
        <f>AND(class!B88,"AAAAAH6+/7Y=")</f>
        <v>#VALUE!</v>
      </c>
      <c r="GB16" t="e">
        <f>AND(class!C88,"AAAAAH6+/7c=")</f>
        <v>#VALUE!</v>
      </c>
      <c r="GC16" t="e">
        <f>AND(class!D88,"AAAAAH6+/7g=")</f>
        <v>#VALUE!</v>
      </c>
      <c r="GD16" t="e">
        <f>AND(class!E88,"AAAAAH6+/7k=")</f>
        <v>#VALUE!</v>
      </c>
      <c r="GE16" t="e">
        <f>AND(class!F88,"AAAAAH6+/7o=")</f>
        <v>#VALUE!</v>
      </c>
      <c r="GF16" t="e">
        <f>AND(class!G88,"AAAAAH6+/7s=")</f>
        <v>#VALUE!</v>
      </c>
      <c r="GG16" t="e">
        <f>AND(class!H88,"AAAAAH6+/7w=")</f>
        <v>#VALUE!</v>
      </c>
      <c r="GH16" t="e">
        <f>AND(class!I88,"AAAAAH6+/70=")</f>
        <v>#VALUE!</v>
      </c>
      <c r="GI16" t="e">
        <f>AND(class!J88,"AAAAAH6+/74=")</f>
        <v>#VALUE!</v>
      </c>
      <c r="GJ16" t="e">
        <f>AND(class!K88,"AAAAAH6+/78=")</f>
        <v>#VALUE!</v>
      </c>
      <c r="GK16" t="e">
        <f>AND(class!L88,"AAAAAH6+/8A=")</f>
        <v>#VALUE!</v>
      </c>
      <c r="GL16" t="e">
        <f>AND(class!M88,"AAAAAH6+/8E=")</f>
        <v>#VALUE!</v>
      </c>
      <c r="GM16" t="e">
        <f>AND(class!N88,"AAAAAH6+/8I=")</f>
        <v>#VALUE!</v>
      </c>
      <c r="GN16" t="e">
        <f>AND(class!O88,"AAAAAH6+/8M=")</f>
        <v>#VALUE!</v>
      </c>
      <c r="GO16" t="e">
        <f>AND(class!P88,"AAAAAH6+/8Q=")</f>
        <v>#VALUE!</v>
      </c>
      <c r="GP16" t="e">
        <f>AND(class!Q88,"AAAAAH6+/8U=")</f>
        <v>#VALUE!</v>
      </c>
      <c r="GQ16" t="e">
        <f>AND(class!R88,"AAAAAH6+/8Y=")</f>
        <v>#VALUE!</v>
      </c>
      <c r="GR16" t="e">
        <f>AND(class!S88,"AAAAAH6+/8c=")</f>
        <v>#VALUE!</v>
      </c>
      <c r="GS16" t="e">
        <f>AND(class!T88,"AAAAAH6+/8g=")</f>
        <v>#VALUE!</v>
      </c>
      <c r="GT16" t="e">
        <f>AND(class!U88,"AAAAAH6+/8k=")</f>
        <v>#VALUE!</v>
      </c>
      <c r="GU16" t="e">
        <f>AND(class!V88,"AAAAAH6+/8o=")</f>
        <v>#VALUE!</v>
      </c>
      <c r="GV16" t="e">
        <f>AND(class!W88,"AAAAAH6+/8s=")</f>
        <v>#VALUE!</v>
      </c>
      <c r="GW16" t="e">
        <f>AND(class!X88,"AAAAAH6+/8w=")</f>
        <v>#VALUE!</v>
      </c>
      <c r="GX16" t="e">
        <f>AND(class!Y88,"AAAAAH6+/80=")</f>
        <v>#VALUE!</v>
      </c>
      <c r="GY16" t="e">
        <f>AND(class!Z88,"AAAAAH6+/84=")</f>
        <v>#VALUE!</v>
      </c>
      <c r="GZ16" t="e">
        <f>AND(class!AA88,"AAAAAH6+/88=")</f>
        <v>#VALUE!</v>
      </c>
      <c r="HA16" t="e">
        <f>AND(class!AB88,"AAAAAH6+/9A=")</f>
        <v>#VALUE!</v>
      </c>
      <c r="HB16" t="e">
        <f>AND(class!AC88,"AAAAAH6+/9E=")</f>
        <v>#VALUE!</v>
      </c>
      <c r="HC16">
        <f>IF(class!89:89,"AAAAAH6+/9I=",0)</f>
        <v>0</v>
      </c>
      <c r="HD16" t="e">
        <f>AND(class!A89,"AAAAAH6+/9M=")</f>
        <v>#VALUE!</v>
      </c>
      <c r="HE16" t="e">
        <f>AND(class!B89,"AAAAAH6+/9Q=")</f>
        <v>#VALUE!</v>
      </c>
      <c r="HF16" t="e">
        <f>AND(class!C89,"AAAAAH6+/9U=")</f>
        <v>#VALUE!</v>
      </c>
      <c r="HG16" t="e">
        <f>AND(class!D89,"AAAAAH6+/9Y=")</f>
        <v>#VALUE!</v>
      </c>
      <c r="HH16" t="e">
        <f>AND(class!E89,"AAAAAH6+/9c=")</f>
        <v>#VALUE!</v>
      </c>
      <c r="HI16" t="e">
        <f>AND(class!F89,"AAAAAH6+/9g=")</f>
        <v>#VALUE!</v>
      </c>
      <c r="HJ16" t="e">
        <f>AND(class!G89,"AAAAAH6+/9k=")</f>
        <v>#VALUE!</v>
      </c>
      <c r="HK16" t="e">
        <f>AND(class!H89,"AAAAAH6+/9o=")</f>
        <v>#VALUE!</v>
      </c>
      <c r="HL16" t="e">
        <f>AND(class!I89,"AAAAAH6+/9s=")</f>
        <v>#VALUE!</v>
      </c>
      <c r="HM16" t="e">
        <f>AND(class!J89,"AAAAAH6+/9w=")</f>
        <v>#VALUE!</v>
      </c>
      <c r="HN16" t="e">
        <f>AND(class!K89,"AAAAAH6+/90=")</f>
        <v>#VALUE!</v>
      </c>
      <c r="HO16" t="e">
        <f>AND(class!L89,"AAAAAH6+/94=")</f>
        <v>#VALUE!</v>
      </c>
      <c r="HP16" t="e">
        <f>AND(class!M89,"AAAAAH6+/98=")</f>
        <v>#VALUE!</v>
      </c>
      <c r="HQ16" t="e">
        <f>AND(class!N89,"AAAAAH6+/+A=")</f>
        <v>#VALUE!</v>
      </c>
      <c r="HR16" t="e">
        <f>AND(class!O89,"AAAAAH6+/+E=")</f>
        <v>#VALUE!</v>
      </c>
      <c r="HS16" t="e">
        <f>AND(class!P89,"AAAAAH6+/+I=")</f>
        <v>#VALUE!</v>
      </c>
      <c r="HT16" t="e">
        <f>AND(class!Q89,"AAAAAH6+/+M=")</f>
        <v>#VALUE!</v>
      </c>
      <c r="HU16" t="e">
        <f>AND(class!R89,"AAAAAH6+/+Q=")</f>
        <v>#VALUE!</v>
      </c>
      <c r="HV16" t="e">
        <f>AND(class!S89,"AAAAAH6+/+U=")</f>
        <v>#VALUE!</v>
      </c>
      <c r="HW16" t="e">
        <f>AND(class!T89,"AAAAAH6+/+Y=")</f>
        <v>#VALUE!</v>
      </c>
      <c r="HX16" t="e">
        <f>AND(class!U89,"AAAAAH6+/+c=")</f>
        <v>#VALUE!</v>
      </c>
      <c r="HY16" t="e">
        <f>AND(class!V89,"AAAAAH6+/+g=")</f>
        <v>#VALUE!</v>
      </c>
      <c r="HZ16" t="e">
        <f>AND(class!W89,"AAAAAH6+/+k=")</f>
        <v>#VALUE!</v>
      </c>
      <c r="IA16" t="e">
        <f>AND(class!X89,"AAAAAH6+/+o=")</f>
        <v>#VALUE!</v>
      </c>
      <c r="IB16" t="e">
        <f>AND(class!Y89,"AAAAAH6+/+s=")</f>
        <v>#VALUE!</v>
      </c>
      <c r="IC16" t="e">
        <f>AND(class!Z89,"AAAAAH6+/+w=")</f>
        <v>#VALUE!</v>
      </c>
      <c r="ID16" t="e">
        <f>AND(class!AA89,"AAAAAH6+/+0=")</f>
        <v>#VALUE!</v>
      </c>
      <c r="IE16" t="e">
        <f>AND(class!AB89,"AAAAAH6+/+4=")</f>
        <v>#VALUE!</v>
      </c>
      <c r="IF16" t="e">
        <f>AND(class!AC89,"AAAAAH6+/+8=")</f>
        <v>#VALUE!</v>
      </c>
      <c r="IG16">
        <f>IF(class!90:90,"AAAAAH6+//A=",0)</f>
        <v>0</v>
      </c>
      <c r="IH16" t="e">
        <f>AND(class!A90,"AAAAAH6+//E=")</f>
        <v>#VALUE!</v>
      </c>
      <c r="II16" t="e">
        <f>AND(class!B90,"AAAAAH6+//I=")</f>
        <v>#VALUE!</v>
      </c>
      <c r="IJ16" t="e">
        <f>AND(class!C90,"AAAAAH6+//M=")</f>
        <v>#VALUE!</v>
      </c>
      <c r="IK16" t="e">
        <f>AND(class!D90,"AAAAAH6+//Q=")</f>
        <v>#VALUE!</v>
      </c>
      <c r="IL16" t="e">
        <f>AND(class!E90,"AAAAAH6+//U=")</f>
        <v>#VALUE!</v>
      </c>
      <c r="IM16" t="e">
        <f>AND(class!F90,"AAAAAH6+//Y=")</f>
        <v>#VALUE!</v>
      </c>
      <c r="IN16" t="e">
        <f>AND(class!G90,"AAAAAH6+//c=")</f>
        <v>#VALUE!</v>
      </c>
      <c r="IO16" t="e">
        <f>AND(class!H90,"AAAAAH6+//g=")</f>
        <v>#VALUE!</v>
      </c>
      <c r="IP16" t="e">
        <f>AND(class!I90,"AAAAAH6+//k=")</f>
        <v>#VALUE!</v>
      </c>
      <c r="IQ16" t="e">
        <f>AND(class!J90,"AAAAAH6+//o=")</f>
        <v>#VALUE!</v>
      </c>
      <c r="IR16" t="e">
        <f>AND(class!K90,"AAAAAH6+//s=")</f>
        <v>#VALUE!</v>
      </c>
      <c r="IS16" t="e">
        <f>AND(class!L90,"AAAAAH6+//w=")</f>
        <v>#VALUE!</v>
      </c>
      <c r="IT16" t="e">
        <f>AND(class!M90,"AAAAAH6+//0=")</f>
        <v>#VALUE!</v>
      </c>
      <c r="IU16" t="e">
        <f>AND(class!N90,"AAAAAH6+//4=")</f>
        <v>#VALUE!</v>
      </c>
      <c r="IV16" t="e">
        <f>AND(class!O90,"AAAAAH6+//8=")</f>
        <v>#VALUE!</v>
      </c>
    </row>
    <row r="17" spans="1:256" x14ac:dyDescent="0.2">
      <c r="A17" t="e">
        <f>AND(class!P90,"AAAAAH7spwA=")</f>
        <v>#VALUE!</v>
      </c>
      <c r="B17" t="e">
        <f>AND(class!Q90,"AAAAAH7spwE=")</f>
        <v>#VALUE!</v>
      </c>
      <c r="C17" t="e">
        <f>AND(class!R90,"AAAAAH7spwI=")</f>
        <v>#VALUE!</v>
      </c>
      <c r="D17" t="e">
        <f>AND(class!S90,"AAAAAH7spwM=")</f>
        <v>#VALUE!</v>
      </c>
      <c r="E17" t="e">
        <f>AND(class!T90,"AAAAAH7spwQ=")</f>
        <v>#VALUE!</v>
      </c>
      <c r="F17" t="e">
        <f>AND(class!U90,"AAAAAH7spwU=")</f>
        <v>#VALUE!</v>
      </c>
      <c r="G17" t="e">
        <f>AND(class!V90,"AAAAAH7spwY=")</f>
        <v>#VALUE!</v>
      </c>
      <c r="H17" t="e">
        <f>AND(class!W90,"AAAAAH7spwc=")</f>
        <v>#VALUE!</v>
      </c>
      <c r="I17" t="e">
        <f>AND(class!X90,"AAAAAH7spwg=")</f>
        <v>#VALUE!</v>
      </c>
      <c r="J17" t="e">
        <f>AND(class!Y90,"AAAAAH7spwk=")</f>
        <v>#VALUE!</v>
      </c>
      <c r="K17" t="e">
        <f>AND(class!Z90,"AAAAAH7spwo=")</f>
        <v>#VALUE!</v>
      </c>
      <c r="L17" t="e">
        <f>AND(class!AA90,"AAAAAH7spws=")</f>
        <v>#VALUE!</v>
      </c>
      <c r="M17" t="e">
        <f>AND(class!AB90,"AAAAAH7spww=")</f>
        <v>#VALUE!</v>
      </c>
      <c r="N17" t="e">
        <f>AND(class!AC90,"AAAAAH7spw0=")</f>
        <v>#VALUE!</v>
      </c>
      <c r="O17">
        <f>IF(class!91:91,"AAAAAH7spw4=",0)</f>
        <v>0</v>
      </c>
      <c r="P17" t="e">
        <f>AND(class!A91,"AAAAAH7spw8=")</f>
        <v>#VALUE!</v>
      </c>
      <c r="Q17" t="e">
        <f>AND(class!B91,"AAAAAH7spxA=")</f>
        <v>#VALUE!</v>
      </c>
      <c r="R17" t="e">
        <f>AND(class!C91,"AAAAAH7spxE=")</f>
        <v>#VALUE!</v>
      </c>
      <c r="S17" t="e">
        <f>AND(class!D91,"AAAAAH7spxI=")</f>
        <v>#VALUE!</v>
      </c>
      <c r="T17" t="e">
        <f>AND(class!E91,"AAAAAH7spxM=")</f>
        <v>#VALUE!</v>
      </c>
      <c r="U17" t="e">
        <f>AND(class!F91,"AAAAAH7spxQ=")</f>
        <v>#VALUE!</v>
      </c>
      <c r="V17" t="e">
        <f>AND(class!G91,"AAAAAH7spxU=")</f>
        <v>#VALUE!</v>
      </c>
      <c r="W17" t="e">
        <f>AND(class!H91,"AAAAAH7spxY=")</f>
        <v>#VALUE!</v>
      </c>
      <c r="X17" t="e">
        <f>AND(class!I91,"AAAAAH7spxc=")</f>
        <v>#VALUE!</v>
      </c>
      <c r="Y17" t="e">
        <f>AND(class!J91,"AAAAAH7spxg=")</f>
        <v>#VALUE!</v>
      </c>
      <c r="Z17" t="e">
        <f>AND(class!K91,"AAAAAH7spxk=")</f>
        <v>#VALUE!</v>
      </c>
      <c r="AA17" t="e">
        <f>AND(class!L91,"AAAAAH7spxo=")</f>
        <v>#VALUE!</v>
      </c>
      <c r="AB17" t="e">
        <f>AND(class!M91,"AAAAAH7spxs=")</f>
        <v>#VALUE!</v>
      </c>
      <c r="AC17" t="e">
        <f>AND(class!N91,"AAAAAH7spxw=")</f>
        <v>#VALUE!</v>
      </c>
      <c r="AD17" t="e">
        <f>AND(class!O91,"AAAAAH7spx0=")</f>
        <v>#VALUE!</v>
      </c>
      <c r="AE17" t="e">
        <f>AND(class!P91,"AAAAAH7spx4=")</f>
        <v>#VALUE!</v>
      </c>
      <c r="AF17" t="e">
        <f>AND(class!Q91,"AAAAAH7spx8=")</f>
        <v>#VALUE!</v>
      </c>
      <c r="AG17" t="e">
        <f>AND(class!R91,"AAAAAH7spyA=")</f>
        <v>#VALUE!</v>
      </c>
      <c r="AH17" t="e">
        <f>AND(class!S91,"AAAAAH7spyE=")</f>
        <v>#VALUE!</v>
      </c>
      <c r="AI17" t="e">
        <f>AND(class!T91,"AAAAAH7spyI=")</f>
        <v>#VALUE!</v>
      </c>
      <c r="AJ17" t="e">
        <f>AND(class!U91,"AAAAAH7spyM=")</f>
        <v>#VALUE!</v>
      </c>
      <c r="AK17" t="e">
        <f>AND(class!V91,"AAAAAH7spyQ=")</f>
        <v>#VALUE!</v>
      </c>
      <c r="AL17" t="e">
        <f>AND(class!W91,"AAAAAH7spyU=")</f>
        <v>#VALUE!</v>
      </c>
      <c r="AM17" t="e">
        <f>AND(class!X91,"AAAAAH7spyY=")</f>
        <v>#VALUE!</v>
      </c>
      <c r="AN17" t="e">
        <f>AND(class!Y91,"AAAAAH7spyc=")</f>
        <v>#VALUE!</v>
      </c>
      <c r="AO17" t="e">
        <f>AND(class!Z91,"AAAAAH7spyg=")</f>
        <v>#VALUE!</v>
      </c>
      <c r="AP17" t="e">
        <f>AND(class!AA91,"AAAAAH7spyk=")</f>
        <v>#VALUE!</v>
      </c>
      <c r="AQ17" t="e">
        <f>AND(class!AB91,"AAAAAH7spyo=")</f>
        <v>#VALUE!</v>
      </c>
      <c r="AR17" t="e">
        <f>AND(class!AC91,"AAAAAH7spys=")</f>
        <v>#VALUE!</v>
      </c>
      <c r="AS17">
        <f>IF(class!92:92,"AAAAAH7spyw=",0)</f>
        <v>0</v>
      </c>
      <c r="AT17" t="e">
        <f>AND(class!A92,"AAAAAH7spy0=")</f>
        <v>#VALUE!</v>
      </c>
      <c r="AU17" t="e">
        <f>AND(class!B92,"AAAAAH7spy4=")</f>
        <v>#VALUE!</v>
      </c>
      <c r="AV17" t="e">
        <f>AND(class!C92,"AAAAAH7spy8=")</f>
        <v>#VALUE!</v>
      </c>
      <c r="AW17" t="e">
        <f>AND(class!D92,"AAAAAH7spzA=")</f>
        <v>#VALUE!</v>
      </c>
      <c r="AX17" t="e">
        <f>AND(class!E92,"AAAAAH7spzE=")</f>
        <v>#VALUE!</v>
      </c>
      <c r="AY17" t="e">
        <f>AND(class!F92,"AAAAAH7spzI=")</f>
        <v>#VALUE!</v>
      </c>
      <c r="AZ17" t="e">
        <f>AND(class!G92,"AAAAAH7spzM=")</f>
        <v>#VALUE!</v>
      </c>
      <c r="BA17" t="e">
        <f>AND(class!H92,"AAAAAH7spzQ=")</f>
        <v>#VALUE!</v>
      </c>
      <c r="BB17" t="e">
        <f>AND(class!I92,"AAAAAH7spzU=")</f>
        <v>#VALUE!</v>
      </c>
      <c r="BC17" t="e">
        <f>AND(class!J92,"AAAAAH7spzY=")</f>
        <v>#VALUE!</v>
      </c>
      <c r="BD17" t="e">
        <f>AND(class!K92,"AAAAAH7spzc=")</f>
        <v>#VALUE!</v>
      </c>
      <c r="BE17" t="e">
        <f>AND(class!L92,"AAAAAH7spzg=")</f>
        <v>#VALUE!</v>
      </c>
      <c r="BF17" t="e">
        <f>AND(class!M92,"AAAAAH7spzk=")</f>
        <v>#VALUE!</v>
      </c>
      <c r="BG17" t="e">
        <f>AND(class!N92,"AAAAAH7spzo=")</f>
        <v>#VALUE!</v>
      </c>
      <c r="BH17" t="e">
        <f>AND(class!O92,"AAAAAH7spzs=")</f>
        <v>#VALUE!</v>
      </c>
      <c r="BI17" t="e">
        <f>AND(class!P92,"AAAAAH7spzw=")</f>
        <v>#VALUE!</v>
      </c>
      <c r="BJ17" t="e">
        <f>AND(class!Q92,"AAAAAH7spz0=")</f>
        <v>#VALUE!</v>
      </c>
      <c r="BK17" t="e">
        <f>AND(class!R92,"AAAAAH7spz4=")</f>
        <v>#VALUE!</v>
      </c>
      <c r="BL17" t="e">
        <f>AND(class!S92,"AAAAAH7spz8=")</f>
        <v>#VALUE!</v>
      </c>
      <c r="BM17" t="e">
        <f>AND(class!T92,"AAAAAH7sp0A=")</f>
        <v>#VALUE!</v>
      </c>
      <c r="BN17" t="e">
        <f>AND(class!U92,"AAAAAH7sp0E=")</f>
        <v>#VALUE!</v>
      </c>
      <c r="BO17" t="e">
        <f>AND(class!V92,"AAAAAH7sp0I=")</f>
        <v>#VALUE!</v>
      </c>
      <c r="BP17" t="e">
        <f>AND(class!W92,"AAAAAH7sp0M=")</f>
        <v>#VALUE!</v>
      </c>
      <c r="BQ17" t="e">
        <f>AND(class!X92,"AAAAAH7sp0Q=")</f>
        <v>#VALUE!</v>
      </c>
      <c r="BR17" t="e">
        <f>AND(class!Y92,"AAAAAH7sp0U=")</f>
        <v>#VALUE!</v>
      </c>
      <c r="BS17" t="e">
        <f>AND(class!Z92,"AAAAAH7sp0Y=")</f>
        <v>#VALUE!</v>
      </c>
      <c r="BT17" t="e">
        <f>AND(class!AA92,"AAAAAH7sp0c=")</f>
        <v>#VALUE!</v>
      </c>
      <c r="BU17" t="e">
        <f>AND(class!AB92,"AAAAAH7sp0g=")</f>
        <v>#VALUE!</v>
      </c>
      <c r="BV17" t="e">
        <f>AND(class!AC92,"AAAAAH7sp0k=")</f>
        <v>#VALUE!</v>
      </c>
      <c r="BW17">
        <f>IF(class!93:93,"AAAAAH7sp0o=",0)</f>
        <v>0</v>
      </c>
      <c r="BX17" t="e">
        <f>AND(class!A93,"AAAAAH7sp0s=")</f>
        <v>#VALUE!</v>
      </c>
      <c r="BY17" t="e">
        <f>AND(class!B93,"AAAAAH7sp0w=")</f>
        <v>#VALUE!</v>
      </c>
      <c r="BZ17" t="e">
        <f>AND(class!C93,"AAAAAH7sp00=")</f>
        <v>#VALUE!</v>
      </c>
      <c r="CA17" t="e">
        <f>AND(class!D93,"AAAAAH7sp04=")</f>
        <v>#VALUE!</v>
      </c>
      <c r="CB17" t="e">
        <f>AND(class!E93,"AAAAAH7sp08=")</f>
        <v>#VALUE!</v>
      </c>
      <c r="CC17" t="e">
        <f>AND(class!F93,"AAAAAH7sp1A=")</f>
        <v>#VALUE!</v>
      </c>
      <c r="CD17" t="e">
        <f>AND(class!G93,"AAAAAH7sp1E=")</f>
        <v>#VALUE!</v>
      </c>
      <c r="CE17" t="e">
        <f>AND(class!H93,"AAAAAH7sp1I=")</f>
        <v>#VALUE!</v>
      </c>
      <c r="CF17" t="e">
        <f>AND(class!I93,"AAAAAH7sp1M=")</f>
        <v>#VALUE!</v>
      </c>
      <c r="CG17" t="e">
        <f>AND(class!J93,"AAAAAH7sp1Q=")</f>
        <v>#VALUE!</v>
      </c>
      <c r="CH17" t="e">
        <f>AND(class!K93,"AAAAAH7sp1U=")</f>
        <v>#VALUE!</v>
      </c>
      <c r="CI17" t="e">
        <f>AND(class!L93,"AAAAAH7sp1Y=")</f>
        <v>#VALUE!</v>
      </c>
      <c r="CJ17" t="e">
        <f>AND(class!M93,"AAAAAH7sp1c=")</f>
        <v>#VALUE!</v>
      </c>
      <c r="CK17" t="e">
        <f>AND(class!N93,"AAAAAH7sp1g=")</f>
        <v>#VALUE!</v>
      </c>
      <c r="CL17" t="e">
        <f>AND(class!O93,"AAAAAH7sp1k=")</f>
        <v>#VALUE!</v>
      </c>
      <c r="CM17" t="e">
        <f>AND(class!P93,"AAAAAH7sp1o=")</f>
        <v>#VALUE!</v>
      </c>
      <c r="CN17" t="e">
        <f>AND(class!Q93,"AAAAAH7sp1s=")</f>
        <v>#VALUE!</v>
      </c>
      <c r="CO17" t="e">
        <f>AND(class!R93,"AAAAAH7sp1w=")</f>
        <v>#VALUE!</v>
      </c>
      <c r="CP17" t="e">
        <f>AND(class!S93,"AAAAAH7sp10=")</f>
        <v>#VALUE!</v>
      </c>
      <c r="CQ17" t="e">
        <f>AND(class!T93,"AAAAAH7sp14=")</f>
        <v>#VALUE!</v>
      </c>
      <c r="CR17" t="e">
        <f>AND(class!U93,"AAAAAH7sp18=")</f>
        <v>#VALUE!</v>
      </c>
      <c r="CS17" t="e">
        <f>AND(class!V93,"AAAAAH7sp2A=")</f>
        <v>#VALUE!</v>
      </c>
      <c r="CT17" t="e">
        <f>AND(class!W93,"AAAAAH7sp2E=")</f>
        <v>#VALUE!</v>
      </c>
      <c r="CU17" t="e">
        <f>AND(class!X93,"AAAAAH7sp2I=")</f>
        <v>#VALUE!</v>
      </c>
      <c r="CV17" t="e">
        <f>AND(class!Y93,"AAAAAH7sp2M=")</f>
        <v>#VALUE!</v>
      </c>
      <c r="CW17" t="e">
        <f>AND(class!Z93,"AAAAAH7sp2Q=")</f>
        <v>#VALUE!</v>
      </c>
      <c r="CX17" t="e">
        <f>AND(class!AA93,"AAAAAH7sp2U=")</f>
        <v>#VALUE!</v>
      </c>
      <c r="CY17" t="e">
        <f>AND(class!AB93,"AAAAAH7sp2Y=")</f>
        <v>#VALUE!</v>
      </c>
      <c r="CZ17" t="e">
        <f>AND(class!AC93,"AAAAAH7sp2c=")</f>
        <v>#VALUE!</v>
      </c>
      <c r="DA17">
        <f>IF(class!94:94,"AAAAAH7sp2g=",0)</f>
        <v>0</v>
      </c>
      <c r="DB17" t="e">
        <f>AND(class!A94,"AAAAAH7sp2k=")</f>
        <v>#VALUE!</v>
      </c>
      <c r="DC17" t="e">
        <f>AND(class!B94,"AAAAAH7sp2o=")</f>
        <v>#VALUE!</v>
      </c>
      <c r="DD17" t="e">
        <f>AND(class!C94,"AAAAAH7sp2s=")</f>
        <v>#VALUE!</v>
      </c>
      <c r="DE17" t="e">
        <f>AND(class!D94,"AAAAAH7sp2w=")</f>
        <v>#VALUE!</v>
      </c>
      <c r="DF17" t="e">
        <f>AND(class!E94,"AAAAAH7sp20=")</f>
        <v>#VALUE!</v>
      </c>
      <c r="DG17" t="e">
        <f>AND(class!F94,"AAAAAH7sp24=")</f>
        <v>#VALUE!</v>
      </c>
      <c r="DH17" t="e">
        <f>AND(class!G94,"AAAAAH7sp28=")</f>
        <v>#VALUE!</v>
      </c>
      <c r="DI17" t="e">
        <f>AND(class!H94,"AAAAAH7sp3A=")</f>
        <v>#VALUE!</v>
      </c>
      <c r="DJ17" t="e">
        <f>AND(class!I94,"AAAAAH7sp3E=")</f>
        <v>#VALUE!</v>
      </c>
      <c r="DK17" t="e">
        <f>AND(class!J94,"AAAAAH7sp3I=")</f>
        <v>#VALUE!</v>
      </c>
      <c r="DL17" t="e">
        <f>AND(class!K94,"AAAAAH7sp3M=")</f>
        <v>#VALUE!</v>
      </c>
      <c r="DM17" t="e">
        <f>AND(class!L94,"AAAAAH7sp3Q=")</f>
        <v>#VALUE!</v>
      </c>
      <c r="DN17" t="e">
        <f>AND(class!M94,"AAAAAH7sp3U=")</f>
        <v>#VALUE!</v>
      </c>
      <c r="DO17" t="e">
        <f>AND(class!N94,"AAAAAH7sp3Y=")</f>
        <v>#VALUE!</v>
      </c>
      <c r="DP17" t="e">
        <f>AND(class!O94,"AAAAAH7sp3c=")</f>
        <v>#VALUE!</v>
      </c>
      <c r="DQ17" t="e">
        <f>AND(class!P94,"AAAAAH7sp3g=")</f>
        <v>#VALUE!</v>
      </c>
      <c r="DR17" t="e">
        <f>AND(class!Q94,"AAAAAH7sp3k=")</f>
        <v>#VALUE!</v>
      </c>
      <c r="DS17" t="e">
        <f>AND(class!R94,"AAAAAH7sp3o=")</f>
        <v>#VALUE!</v>
      </c>
      <c r="DT17" t="e">
        <f>AND(class!S94,"AAAAAH7sp3s=")</f>
        <v>#VALUE!</v>
      </c>
      <c r="DU17" t="e">
        <f>AND(class!T94,"AAAAAH7sp3w=")</f>
        <v>#VALUE!</v>
      </c>
      <c r="DV17" t="e">
        <f>AND(class!U94,"AAAAAH7sp30=")</f>
        <v>#VALUE!</v>
      </c>
      <c r="DW17" t="e">
        <f>AND(class!V94,"AAAAAH7sp34=")</f>
        <v>#VALUE!</v>
      </c>
      <c r="DX17" t="e">
        <f>AND(class!W94,"AAAAAH7sp38=")</f>
        <v>#VALUE!</v>
      </c>
      <c r="DY17" t="e">
        <f>AND(class!X94,"AAAAAH7sp4A=")</f>
        <v>#VALUE!</v>
      </c>
      <c r="DZ17" t="e">
        <f>AND(class!Y94,"AAAAAH7sp4E=")</f>
        <v>#VALUE!</v>
      </c>
      <c r="EA17" t="e">
        <f>AND(class!Z94,"AAAAAH7sp4I=")</f>
        <v>#VALUE!</v>
      </c>
      <c r="EB17" t="e">
        <f>AND(class!AA94,"AAAAAH7sp4M=")</f>
        <v>#VALUE!</v>
      </c>
      <c r="EC17" t="e">
        <f>AND(class!AB94,"AAAAAH7sp4Q=")</f>
        <v>#VALUE!</v>
      </c>
      <c r="ED17" t="e">
        <f>AND(class!AC94,"AAAAAH7sp4U=")</f>
        <v>#VALUE!</v>
      </c>
      <c r="EE17">
        <f>IF(class!95:95,"AAAAAH7sp4Y=",0)</f>
        <v>0</v>
      </c>
      <c r="EF17" t="e">
        <f>AND(class!A95,"AAAAAH7sp4c=")</f>
        <v>#VALUE!</v>
      </c>
      <c r="EG17" t="e">
        <f>AND(class!B95,"AAAAAH7sp4g=")</f>
        <v>#VALUE!</v>
      </c>
      <c r="EH17" t="e">
        <f>AND(class!C95,"AAAAAH7sp4k=")</f>
        <v>#VALUE!</v>
      </c>
      <c r="EI17" t="e">
        <f>AND(class!D95,"AAAAAH7sp4o=")</f>
        <v>#VALUE!</v>
      </c>
      <c r="EJ17" t="e">
        <f>AND(class!E95,"AAAAAH7sp4s=")</f>
        <v>#VALUE!</v>
      </c>
      <c r="EK17" t="e">
        <f>AND(class!F95,"AAAAAH7sp4w=")</f>
        <v>#VALUE!</v>
      </c>
      <c r="EL17" t="e">
        <f>AND(class!G95,"AAAAAH7sp40=")</f>
        <v>#VALUE!</v>
      </c>
      <c r="EM17" t="e">
        <f>AND(class!H95,"AAAAAH7sp44=")</f>
        <v>#VALUE!</v>
      </c>
      <c r="EN17" t="e">
        <f>AND(class!I95,"AAAAAH7sp48=")</f>
        <v>#VALUE!</v>
      </c>
      <c r="EO17" t="e">
        <f>AND(class!J95,"AAAAAH7sp5A=")</f>
        <v>#VALUE!</v>
      </c>
      <c r="EP17" t="e">
        <f>AND(class!K95,"AAAAAH7sp5E=")</f>
        <v>#VALUE!</v>
      </c>
      <c r="EQ17" t="e">
        <f>AND(class!L95,"AAAAAH7sp5I=")</f>
        <v>#VALUE!</v>
      </c>
      <c r="ER17" t="e">
        <f>AND(class!M95,"AAAAAH7sp5M=")</f>
        <v>#VALUE!</v>
      </c>
      <c r="ES17" t="e">
        <f>AND(class!N95,"AAAAAH7sp5Q=")</f>
        <v>#VALUE!</v>
      </c>
      <c r="ET17" t="e">
        <f>AND(class!O95,"AAAAAH7sp5U=")</f>
        <v>#VALUE!</v>
      </c>
      <c r="EU17" t="e">
        <f>AND(class!P95,"AAAAAH7sp5Y=")</f>
        <v>#VALUE!</v>
      </c>
      <c r="EV17" t="e">
        <f>AND(class!Q95,"AAAAAH7sp5c=")</f>
        <v>#VALUE!</v>
      </c>
      <c r="EW17" t="e">
        <f>AND(class!R95,"AAAAAH7sp5g=")</f>
        <v>#VALUE!</v>
      </c>
      <c r="EX17" t="e">
        <f>AND(class!S95,"AAAAAH7sp5k=")</f>
        <v>#VALUE!</v>
      </c>
      <c r="EY17" t="e">
        <f>AND(class!T95,"AAAAAH7sp5o=")</f>
        <v>#VALUE!</v>
      </c>
      <c r="EZ17" t="e">
        <f>AND(class!U95,"AAAAAH7sp5s=")</f>
        <v>#VALUE!</v>
      </c>
      <c r="FA17" t="e">
        <f>AND(class!V95,"AAAAAH7sp5w=")</f>
        <v>#VALUE!</v>
      </c>
      <c r="FB17" t="e">
        <f>AND(class!W95,"AAAAAH7sp50=")</f>
        <v>#VALUE!</v>
      </c>
      <c r="FC17" t="e">
        <f>AND(class!X95,"AAAAAH7sp54=")</f>
        <v>#VALUE!</v>
      </c>
      <c r="FD17" t="e">
        <f>AND(class!Y95,"AAAAAH7sp58=")</f>
        <v>#VALUE!</v>
      </c>
      <c r="FE17" t="e">
        <f>AND(class!Z95,"AAAAAH7sp6A=")</f>
        <v>#VALUE!</v>
      </c>
      <c r="FF17" t="e">
        <f>AND(class!AA95,"AAAAAH7sp6E=")</f>
        <v>#VALUE!</v>
      </c>
      <c r="FG17" t="e">
        <f>AND(class!AB95,"AAAAAH7sp6I=")</f>
        <v>#VALUE!</v>
      </c>
      <c r="FH17" t="e">
        <f>AND(class!AC95,"AAAAAH7sp6M=")</f>
        <v>#VALUE!</v>
      </c>
      <c r="FI17">
        <f>IF(class!96:96,"AAAAAH7sp6Q=",0)</f>
        <v>0</v>
      </c>
      <c r="FJ17" t="e">
        <f>AND(class!A96,"AAAAAH7sp6U=")</f>
        <v>#VALUE!</v>
      </c>
      <c r="FK17" t="e">
        <f>AND(class!B96,"AAAAAH7sp6Y=")</f>
        <v>#VALUE!</v>
      </c>
      <c r="FL17" t="e">
        <f>AND(class!C96,"AAAAAH7sp6c=")</f>
        <v>#VALUE!</v>
      </c>
      <c r="FM17" t="e">
        <f>AND(class!D96,"AAAAAH7sp6g=")</f>
        <v>#VALUE!</v>
      </c>
      <c r="FN17" t="e">
        <f>AND(class!E96,"AAAAAH7sp6k=")</f>
        <v>#VALUE!</v>
      </c>
      <c r="FO17" t="e">
        <f>AND(class!F96,"AAAAAH7sp6o=")</f>
        <v>#VALUE!</v>
      </c>
      <c r="FP17" t="e">
        <f>AND(class!G96,"AAAAAH7sp6s=")</f>
        <v>#VALUE!</v>
      </c>
      <c r="FQ17" t="e">
        <f>AND(class!H96,"AAAAAH7sp6w=")</f>
        <v>#VALUE!</v>
      </c>
      <c r="FR17" t="e">
        <f>AND(class!I96,"AAAAAH7sp60=")</f>
        <v>#VALUE!</v>
      </c>
      <c r="FS17" t="e">
        <f>AND(class!J96,"AAAAAH7sp64=")</f>
        <v>#VALUE!</v>
      </c>
      <c r="FT17" t="e">
        <f>AND(class!K96,"AAAAAH7sp68=")</f>
        <v>#VALUE!</v>
      </c>
      <c r="FU17" t="e">
        <f>AND(class!L96,"AAAAAH7sp7A=")</f>
        <v>#VALUE!</v>
      </c>
      <c r="FV17" t="e">
        <f>AND(class!M96,"AAAAAH7sp7E=")</f>
        <v>#VALUE!</v>
      </c>
      <c r="FW17" t="e">
        <f>AND(class!N96,"AAAAAH7sp7I=")</f>
        <v>#VALUE!</v>
      </c>
      <c r="FX17" t="e">
        <f>AND(class!O96,"AAAAAH7sp7M=")</f>
        <v>#VALUE!</v>
      </c>
      <c r="FY17" t="e">
        <f>AND(class!P96,"AAAAAH7sp7Q=")</f>
        <v>#VALUE!</v>
      </c>
      <c r="FZ17" t="e">
        <f>AND(class!Q96,"AAAAAH7sp7U=")</f>
        <v>#VALUE!</v>
      </c>
      <c r="GA17" t="e">
        <f>AND(class!R96,"AAAAAH7sp7Y=")</f>
        <v>#VALUE!</v>
      </c>
      <c r="GB17" t="e">
        <f>AND(class!S96,"AAAAAH7sp7c=")</f>
        <v>#VALUE!</v>
      </c>
      <c r="GC17" t="e">
        <f>AND(class!T96,"AAAAAH7sp7g=")</f>
        <v>#VALUE!</v>
      </c>
      <c r="GD17" t="e">
        <f>AND(class!U96,"AAAAAH7sp7k=")</f>
        <v>#VALUE!</v>
      </c>
      <c r="GE17" t="e">
        <f>AND(class!V96,"AAAAAH7sp7o=")</f>
        <v>#VALUE!</v>
      </c>
      <c r="GF17" t="e">
        <f>AND(class!W96,"AAAAAH7sp7s=")</f>
        <v>#VALUE!</v>
      </c>
      <c r="GG17" t="e">
        <f>AND(class!X96,"AAAAAH7sp7w=")</f>
        <v>#VALUE!</v>
      </c>
      <c r="GH17" t="e">
        <f>AND(class!Y96,"AAAAAH7sp70=")</f>
        <v>#VALUE!</v>
      </c>
      <c r="GI17" t="e">
        <f>AND(class!Z96,"AAAAAH7sp74=")</f>
        <v>#VALUE!</v>
      </c>
      <c r="GJ17" t="e">
        <f>AND(class!AA96,"AAAAAH7sp78=")</f>
        <v>#VALUE!</v>
      </c>
      <c r="GK17" t="e">
        <f>AND(class!AB96,"AAAAAH7sp8A=")</f>
        <v>#VALUE!</v>
      </c>
      <c r="GL17" t="e">
        <f>AND(class!AC96,"AAAAAH7sp8E=")</f>
        <v>#VALUE!</v>
      </c>
      <c r="GM17">
        <f>IF(class!97:97,"AAAAAH7sp8I=",0)</f>
        <v>0</v>
      </c>
      <c r="GN17" t="e">
        <f>AND(class!A97,"AAAAAH7sp8M=")</f>
        <v>#VALUE!</v>
      </c>
      <c r="GO17" t="e">
        <f>AND(class!B97,"AAAAAH7sp8Q=")</f>
        <v>#VALUE!</v>
      </c>
      <c r="GP17" t="e">
        <f>AND(class!C97,"AAAAAH7sp8U=")</f>
        <v>#VALUE!</v>
      </c>
      <c r="GQ17" t="e">
        <f>AND(class!D97,"AAAAAH7sp8Y=")</f>
        <v>#VALUE!</v>
      </c>
      <c r="GR17" t="e">
        <f>AND(class!E97,"AAAAAH7sp8c=")</f>
        <v>#VALUE!</v>
      </c>
      <c r="GS17" t="e">
        <f>AND(class!F97,"AAAAAH7sp8g=")</f>
        <v>#VALUE!</v>
      </c>
      <c r="GT17" t="e">
        <f>AND(class!G97,"AAAAAH7sp8k=")</f>
        <v>#VALUE!</v>
      </c>
      <c r="GU17" t="e">
        <f>AND(class!H97,"AAAAAH7sp8o=")</f>
        <v>#VALUE!</v>
      </c>
      <c r="GV17" t="e">
        <f>AND(class!I97,"AAAAAH7sp8s=")</f>
        <v>#VALUE!</v>
      </c>
      <c r="GW17" t="e">
        <f>AND(class!J97,"AAAAAH7sp8w=")</f>
        <v>#VALUE!</v>
      </c>
      <c r="GX17" t="e">
        <f>AND(class!K97,"AAAAAH7sp80=")</f>
        <v>#VALUE!</v>
      </c>
      <c r="GY17" t="e">
        <f>AND(class!L97,"AAAAAH7sp84=")</f>
        <v>#VALUE!</v>
      </c>
      <c r="GZ17" t="e">
        <f>AND(class!M97,"AAAAAH7sp88=")</f>
        <v>#VALUE!</v>
      </c>
      <c r="HA17" t="e">
        <f>AND(class!N97,"AAAAAH7sp9A=")</f>
        <v>#VALUE!</v>
      </c>
      <c r="HB17" t="e">
        <f>AND(class!O97,"AAAAAH7sp9E=")</f>
        <v>#VALUE!</v>
      </c>
      <c r="HC17" t="e">
        <f>AND(class!P97,"AAAAAH7sp9I=")</f>
        <v>#VALUE!</v>
      </c>
      <c r="HD17" t="e">
        <f>AND(class!Q97,"AAAAAH7sp9M=")</f>
        <v>#VALUE!</v>
      </c>
      <c r="HE17" t="e">
        <f>AND(class!R97,"AAAAAH7sp9Q=")</f>
        <v>#VALUE!</v>
      </c>
      <c r="HF17" t="e">
        <f>AND(class!S97,"AAAAAH7sp9U=")</f>
        <v>#VALUE!</v>
      </c>
      <c r="HG17" t="e">
        <f>AND(class!T97,"AAAAAH7sp9Y=")</f>
        <v>#VALUE!</v>
      </c>
      <c r="HH17" t="e">
        <f>AND(class!U97,"AAAAAH7sp9c=")</f>
        <v>#VALUE!</v>
      </c>
      <c r="HI17" t="e">
        <f>AND(class!V97,"AAAAAH7sp9g=")</f>
        <v>#VALUE!</v>
      </c>
      <c r="HJ17" t="e">
        <f>AND(class!W97,"AAAAAH7sp9k=")</f>
        <v>#VALUE!</v>
      </c>
      <c r="HK17" t="e">
        <f>AND(class!X97,"AAAAAH7sp9o=")</f>
        <v>#VALUE!</v>
      </c>
      <c r="HL17" t="e">
        <f>AND(class!Y97,"AAAAAH7sp9s=")</f>
        <v>#VALUE!</v>
      </c>
      <c r="HM17" t="e">
        <f>AND(class!Z97,"AAAAAH7sp9w=")</f>
        <v>#VALUE!</v>
      </c>
      <c r="HN17" t="e">
        <f>AND(class!AA97,"AAAAAH7sp90=")</f>
        <v>#VALUE!</v>
      </c>
      <c r="HO17" t="e">
        <f>AND(class!AB97,"AAAAAH7sp94=")</f>
        <v>#VALUE!</v>
      </c>
      <c r="HP17" t="e">
        <f>AND(class!AC97,"AAAAAH7sp98=")</f>
        <v>#VALUE!</v>
      </c>
      <c r="HQ17">
        <f>IF(class!98:98,"AAAAAH7sp+A=",0)</f>
        <v>0</v>
      </c>
      <c r="HR17" t="e">
        <f>AND(class!A98,"AAAAAH7sp+E=")</f>
        <v>#VALUE!</v>
      </c>
      <c r="HS17" t="e">
        <f>AND(class!B98,"AAAAAH7sp+I=")</f>
        <v>#VALUE!</v>
      </c>
      <c r="HT17" t="e">
        <f>AND(class!C98,"AAAAAH7sp+M=")</f>
        <v>#VALUE!</v>
      </c>
      <c r="HU17" t="e">
        <f>AND(class!D98,"AAAAAH7sp+Q=")</f>
        <v>#VALUE!</v>
      </c>
      <c r="HV17" t="e">
        <f>AND(class!E98,"AAAAAH7sp+U=")</f>
        <v>#VALUE!</v>
      </c>
      <c r="HW17" t="e">
        <f>AND(class!F98,"AAAAAH7sp+Y=")</f>
        <v>#VALUE!</v>
      </c>
      <c r="HX17" t="e">
        <f>AND(class!G98,"AAAAAH7sp+c=")</f>
        <v>#VALUE!</v>
      </c>
      <c r="HY17" t="e">
        <f>AND(class!H98,"AAAAAH7sp+g=")</f>
        <v>#VALUE!</v>
      </c>
      <c r="HZ17" t="e">
        <f>AND(class!I98,"AAAAAH7sp+k=")</f>
        <v>#VALUE!</v>
      </c>
      <c r="IA17" t="e">
        <f>AND(class!J98,"AAAAAH7sp+o=")</f>
        <v>#VALUE!</v>
      </c>
      <c r="IB17" t="e">
        <f>AND(class!K98,"AAAAAH7sp+s=")</f>
        <v>#VALUE!</v>
      </c>
      <c r="IC17" t="e">
        <f>AND(class!L98,"AAAAAH7sp+w=")</f>
        <v>#VALUE!</v>
      </c>
      <c r="ID17" t="e">
        <f>AND(class!M98,"AAAAAH7sp+0=")</f>
        <v>#VALUE!</v>
      </c>
      <c r="IE17" t="e">
        <f>AND(class!N98,"AAAAAH7sp+4=")</f>
        <v>#VALUE!</v>
      </c>
      <c r="IF17" t="e">
        <f>AND(class!O98,"AAAAAH7sp+8=")</f>
        <v>#VALUE!</v>
      </c>
      <c r="IG17" t="e">
        <f>AND(class!P98,"AAAAAH7sp/A=")</f>
        <v>#VALUE!</v>
      </c>
      <c r="IH17" t="e">
        <f>AND(class!Q98,"AAAAAH7sp/E=")</f>
        <v>#VALUE!</v>
      </c>
      <c r="II17" t="e">
        <f>AND(class!R98,"AAAAAH7sp/I=")</f>
        <v>#VALUE!</v>
      </c>
      <c r="IJ17" t="e">
        <f>AND(class!S98,"AAAAAH7sp/M=")</f>
        <v>#VALUE!</v>
      </c>
      <c r="IK17" t="e">
        <f>AND(class!T98,"AAAAAH7sp/Q=")</f>
        <v>#VALUE!</v>
      </c>
      <c r="IL17" t="e">
        <f>AND(class!U98,"AAAAAH7sp/U=")</f>
        <v>#VALUE!</v>
      </c>
      <c r="IM17" t="e">
        <f>AND(class!V98,"AAAAAH7sp/Y=")</f>
        <v>#VALUE!</v>
      </c>
      <c r="IN17" t="e">
        <f>AND(class!W98,"AAAAAH7sp/c=")</f>
        <v>#VALUE!</v>
      </c>
      <c r="IO17" t="e">
        <f>AND(class!X98,"AAAAAH7sp/g=")</f>
        <v>#VALUE!</v>
      </c>
      <c r="IP17" t="e">
        <f>AND(class!Y98,"AAAAAH7sp/k=")</f>
        <v>#VALUE!</v>
      </c>
      <c r="IQ17" t="e">
        <f>AND(class!Z98,"AAAAAH7sp/o=")</f>
        <v>#VALUE!</v>
      </c>
      <c r="IR17" t="e">
        <f>AND(class!AA98,"AAAAAH7sp/s=")</f>
        <v>#VALUE!</v>
      </c>
      <c r="IS17" t="e">
        <f>AND(class!AB98,"AAAAAH7sp/w=")</f>
        <v>#VALUE!</v>
      </c>
      <c r="IT17" t="e">
        <f>AND(class!AC98,"AAAAAH7sp/0=")</f>
        <v>#VALUE!</v>
      </c>
      <c r="IU17">
        <f>IF(class!99:99,"AAAAAH7sp/4=",0)</f>
        <v>0</v>
      </c>
      <c r="IV17" t="e">
        <f>AND(class!A99,"AAAAAH7sp/8=")</f>
        <v>#VALUE!</v>
      </c>
    </row>
    <row r="18" spans="1:256" x14ac:dyDescent="0.2">
      <c r="A18" t="e">
        <f>AND(class!B99,"AAAAAHv6+AA=")</f>
        <v>#VALUE!</v>
      </c>
      <c r="B18" t="e">
        <f>AND(class!C99,"AAAAAHv6+AE=")</f>
        <v>#VALUE!</v>
      </c>
      <c r="C18" t="e">
        <f>AND(class!D99,"AAAAAHv6+AI=")</f>
        <v>#VALUE!</v>
      </c>
      <c r="D18" t="e">
        <f>AND(class!E99,"AAAAAHv6+AM=")</f>
        <v>#VALUE!</v>
      </c>
      <c r="E18" t="e">
        <f>AND(class!F99,"AAAAAHv6+AQ=")</f>
        <v>#VALUE!</v>
      </c>
      <c r="F18" t="e">
        <f>AND(class!G99,"AAAAAHv6+AU=")</f>
        <v>#VALUE!</v>
      </c>
      <c r="G18" t="e">
        <f>AND(class!H99,"AAAAAHv6+AY=")</f>
        <v>#VALUE!</v>
      </c>
      <c r="H18" t="e">
        <f>AND(class!I99,"AAAAAHv6+Ac=")</f>
        <v>#VALUE!</v>
      </c>
      <c r="I18" t="e">
        <f>AND(class!J99,"AAAAAHv6+Ag=")</f>
        <v>#VALUE!</v>
      </c>
      <c r="J18" t="e">
        <f>AND(class!K99,"AAAAAHv6+Ak=")</f>
        <v>#VALUE!</v>
      </c>
      <c r="K18" t="e">
        <f>AND(class!L99,"AAAAAHv6+Ao=")</f>
        <v>#VALUE!</v>
      </c>
      <c r="L18" t="e">
        <f>AND(class!M99,"AAAAAHv6+As=")</f>
        <v>#VALUE!</v>
      </c>
      <c r="M18" t="e">
        <f>AND(class!N99,"AAAAAHv6+Aw=")</f>
        <v>#VALUE!</v>
      </c>
      <c r="N18" t="e">
        <f>AND(class!O99,"AAAAAHv6+A0=")</f>
        <v>#VALUE!</v>
      </c>
      <c r="O18" t="e">
        <f>AND(class!P99,"AAAAAHv6+A4=")</f>
        <v>#VALUE!</v>
      </c>
      <c r="P18" t="e">
        <f>AND(class!Q99,"AAAAAHv6+A8=")</f>
        <v>#VALUE!</v>
      </c>
      <c r="Q18" t="e">
        <f>AND(class!R99,"AAAAAHv6+BA=")</f>
        <v>#VALUE!</v>
      </c>
      <c r="R18" t="e">
        <f>AND(class!S99,"AAAAAHv6+BE=")</f>
        <v>#VALUE!</v>
      </c>
      <c r="S18" t="e">
        <f>AND(class!T99,"AAAAAHv6+BI=")</f>
        <v>#VALUE!</v>
      </c>
      <c r="T18" t="e">
        <f>AND(class!U99,"AAAAAHv6+BM=")</f>
        <v>#VALUE!</v>
      </c>
      <c r="U18" t="e">
        <f>AND(class!V99,"AAAAAHv6+BQ=")</f>
        <v>#VALUE!</v>
      </c>
      <c r="V18" t="e">
        <f>AND(class!W99,"AAAAAHv6+BU=")</f>
        <v>#VALUE!</v>
      </c>
      <c r="W18" t="e">
        <f>AND(class!X99,"AAAAAHv6+BY=")</f>
        <v>#VALUE!</v>
      </c>
      <c r="X18" t="e">
        <f>AND(class!Y99,"AAAAAHv6+Bc=")</f>
        <v>#VALUE!</v>
      </c>
      <c r="Y18" t="e">
        <f>AND(class!Z99,"AAAAAHv6+Bg=")</f>
        <v>#VALUE!</v>
      </c>
      <c r="Z18" t="e">
        <f>AND(class!AA99,"AAAAAHv6+Bk=")</f>
        <v>#VALUE!</v>
      </c>
      <c r="AA18" t="e">
        <f>AND(class!AB99,"AAAAAHv6+Bo=")</f>
        <v>#VALUE!</v>
      </c>
      <c r="AB18" t="e">
        <f>AND(class!AC99,"AAAAAHv6+Bs=")</f>
        <v>#VALUE!</v>
      </c>
      <c r="AC18">
        <f>IF(class!100:100,"AAAAAHv6+Bw=",0)</f>
        <v>0</v>
      </c>
      <c r="AD18" t="e">
        <f>AND(class!A100,"AAAAAHv6+B0=")</f>
        <v>#VALUE!</v>
      </c>
      <c r="AE18" t="e">
        <f>AND(class!B100,"AAAAAHv6+B4=")</f>
        <v>#VALUE!</v>
      </c>
      <c r="AF18" t="e">
        <f>AND(class!C100,"AAAAAHv6+B8=")</f>
        <v>#VALUE!</v>
      </c>
      <c r="AG18" t="e">
        <f>AND(class!D100,"AAAAAHv6+CA=")</f>
        <v>#VALUE!</v>
      </c>
      <c r="AH18" t="e">
        <f>AND(class!E100,"AAAAAHv6+CE=")</f>
        <v>#VALUE!</v>
      </c>
      <c r="AI18" t="e">
        <f>AND(class!F100,"AAAAAHv6+CI=")</f>
        <v>#VALUE!</v>
      </c>
      <c r="AJ18" t="e">
        <f>AND(class!G100,"AAAAAHv6+CM=")</f>
        <v>#VALUE!</v>
      </c>
      <c r="AK18" t="e">
        <f>AND(class!H100,"AAAAAHv6+CQ=")</f>
        <v>#VALUE!</v>
      </c>
      <c r="AL18" t="e">
        <f>AND(class!I100,"AAAAAHv6+CU=")</f>
        <v>#VALUE!</v>
      </c>
      <c r="AM18" t="e">
        <f>AND(class!J100,"AAAAAHv6+CY=")</f>
        <v>#VALUE!</v>
      </c>
      <c r="AN18" t="e">
        <f>AND(class!K100,"AAAAAHv6+Cc=")</f>
        <v>#VALUE!</v>
      </c>
      <c r="AO18" t="e">
        <f>AND(class!L100,"AAAAAHv6+Cg=")</f>
        <v>#VALUE!</v>
      </c>
      <c r="AP18" t="e">
        <f>AND(class!M100,"AAAAAHv6+Ck=")</f>
        <v>#VALUE!</v>
      </c>
      <c r="AQ18" t="e">
        <f>AND(class!N100,"AAAAAHv6+Co=")</f>
        <v>#VALUE!</v>
      </c>
      <c r="AR18" t="e">
        <f>AND(class!O100,"AAAAAHv6+Cs=")</f>
        <v>#VALUE!</v>
      </c>
      <c r="AS18" t="e">
        <f>AND(class!P100,"AAAAAHv6+Cw=")</f>
        <v>#VALUE!</v>
      </c>
      <c r="AT18" t="e">
        <f>AND(class!Q100,"AAAAAHv6+C0=")</f>
        <v>#VALUE!</v>
      </c>
      <c r="AU18" t="e">
        <f>AND(class!R100,"AAAAAHv6+C4=")</f>
        <v>#VALUE!</v>
      </c>
      <c r="AV18" t="e">
        <f>AND(class!S100,"AAAAAHv6+C8=")</f>
        <v>#VALUE!</v>
      </c>
      <c r="AW18" t="e">
        <f>AND(class!T100,"AAAAAHv6+DA=")</f>
        <v>#VALUE!</v>
      </c>
      <c r="AX18" t="e">
        <f>AND(class!U100,"AAAAAHv6+DE=")</f>
        <v>#VALUE!</v>
      </c>
      <c r="AY18" t="e">
        <f>AND(class!V100,"AAAAAHv6+DI=")</f>
        <v>#VALUE!</v>
      </c>
      <c r="AZ18" t="e">
        <f>AND(class!W100,"AAAAAHv6+DM=")</f>
        <v>#VALUE!</v>
      </c>
      <c r="BA18" t="e">
        <f>AND(class!X100,"AAAAAHv6+DQ=")</f>
        <v>#VALUE!</v>
      </c>
      <c r="BB18" t="e">
        <f>AND(class!Y100,"AAAAAHv6+DU=")</f>
        <v>#VALUE!</v>
      </c>
      <c r="BC18" t="e">
        <f>AND(class!Z100,"AAAAAHv6+DY=")</f>
        <v>#VALUE!</v>
      </c>
      <c r="BD18" t="e">
        <f>AND(class!AA100,"AAAAAHv6+Dc=")</f>
        <v>#VALUE!</v>
      </c>
      <c r="BE18" t="e">
        <f>AND(class!AB100,"AAAAAHv6+Dg=")</f>
        <v>#VALUE!</v>
      </c>
      <c r="BF18" t="e">
        <f>AND(class!AC100,"AAAAAHv6+Dk=")</f>
        <v>#VALUE!</v>
      </c>
      <c r="BG18">
        <f>IF(class!101:101,"AAAAAHv6+Do=",0)</f>
        <v>0</v>
      </c>
      <c r="BH18" t="e">
        <f>AND(class!A101,"AAAAAHv6+Ds=")</f>
        <v>#VALUE!</v>
      </c>
      <c r="BI18" t="e">
        <f>AND(class!B101,"AAAAAHv6+Dw=")</f>
        <v>#VALUE!</v>
      </c>
      <c r="BJ18" t="e">
        <f>AND(class!C101,"AAAAAHv6+D0=")</f>
        <v>#VALUE!</v>
      </c>
      <c r="BK18" t="e">
        <f>AND(class!D101,"AAAAAHv6+D4=")</f>
        <v>#VALUE!</v>
      </c>
      <c r="BL18" t="e">
        <f>AND(class!E101,"AAAAAHv6+D8=")</f>
        <v>#VALUE!</v>
      </c>
      <c r="BM18" t="e">
        <f>AND(class!F101,"AAAAAHv6+EA=")</f>
        <v>#VALUE!</v>
      </c>
      <c r="BN18" t="e">
        <f>AND(class!G101,"AAAAAHv6+EE=")</f>
        <v>#VALUE!</v>
      </c>
      <c r="BO18" t="e">
        <f>AND(class!H101,"AAAAAHv6+EI=")</f>
        <v>#VALUE!</v>
      </c>
      <c r="BP18" t="e">
        <f>AND(class!I101,"AAAAAHv6+EM=")</f>
        <v>#VALUE!</v>
      </c>
      <c r="BQ18" t="e">
        <f>AND(class!J101,"AAAAAHv6+EQ=")</f>
        <v>#VALUE!</v>
      </c>
      <c r="BR18" t="e">
        <f>AND(class!K101,"AAAAAHv6+EU=")</f>
        <v>#VALUE!</v>
      </c>
      <c r="BS18" t="e">
        <f>AND(class!L101,"AAAAAHv6+EY=")</f>
        <v>#VALUE!</v>
      </c>
      <c r="BT18" t="e">
        <f>AND(class!M101,"AAAAAHv6+Ec=")</f>
        <v>#VALUE!</v>
      </c>
      <c r="BU18" t="e">
        <f>AND(class!N101,"AAAAAHv6+Eg=")</f>
        <v>#VALUE!</v>
      </c>
      <c r="BV18" t="e">
        <f>AND(class!O101,"AAAAAHv6+Ek=")</f>
        <v>#VALUE!</v>
      </c>
      <c r="BW18" t="e">
        <f>AND(class!P101,"AAAAAHv6+Eo=")</f>
        <v>#VALUE!</v>
      </c>
      <c r="BX18" t="e">
        <f>AND(class!Q101,"AAAAAHv6+Es=")</f>
        <v>#VALUE!</v>
      </c>
      <c r="BY18" t="e">
        <f>AND(class!R101,"AAAAAHv6+Ew=")</f>
        <v>#VALUE!</v>
      </c>
      <c r="BZ18" t="e">
        <f>AND(class!S101,"AAAAAHv6+E0=")</f>
        <v>#VALUE!</v>
      </c>
      <c r="CA18" t="e">
        <f>AND(class!T101,"AAAAAHv6+E4=")</f>
        <v>#VALUE!</v>
      </c>
      <c r="CB18" t="e">
        <f>AND(class!U101,"AAAAAHv6+E8=")</f>
        <v>#VALUE!</v>
      </c>
      <c r="CC18" t="e">
        <f>AND(class!V101,"AAAAAHv6+FA=")</f>
        <v>#VALUE!</v>
      </c>
      <c r="CD18" t="e">
        <f>AND(class!W101,"AAAAAHv6+FE=")</f>
        <v>#VALUE!</v>
      </c>
      <c r="CE18" t="e">
        <f>AND(class!X101,"AAAAAHv6+FI=")</f>
        <v>#VALUE!</v>
      </c>
      <c r="CF18" t="e">
        <f>AND(class!Y101,"AAAAAHv6+FM=")</f>
        <v>#VALUE!</v>
      </c>
      <c r="CG18" t="e">
        <f>AND(class!Z101,"AAAAAHv6+FQ=")</f>
        <v>#VALUE!</v>
      </c>
      <c r="CH18" t="e">
        <f>AND(class!AA101,"AAAAAHv6+FU=")</f>
        <v>#VALUE!</v>
      </c>
      <c r="CI18" t="e">
        <f>AND(class!AB101,"AAAAAHv6+FY=")</f>
        <v>#VALUE!</v>
      </c>
      <c r="CJ18" t="e">
        <f>AND(class!AC101,"AAAAAHv6+Fc=")</f>
        <v>#VALUE!</v>
      </c>
      <c r="CK18">
        <f>IF(class!102:102,"AAAAAHv6+Fg=",0)</f>
        <v>0</v>
      </c>
      <c r="CL18" t="e">
        <f>AND(class!A102,"AAAAAHv6+Fk=")</f>
        <v>#VALUE!</v>
      </c>
      <c r="CM18" t="e">
        <f>AND(class!B102,"AAAAAHv6+Fo=")</f>
        <v>#VALUE!</v>
      </c>
      <c r="CN18" t="e">
        <f>AND(class!C102,"AAAAAHv6+Fs=")</f>
        <v>#VALUE!</v>
      </c>
      <c r="CO18" t="e">
        <f>AND(class!D102,"AAAAAHv6+Fw=")</f>
        <v>#VALUE!</v>
      </c>
      <c r="CP18" t="e">
        <f>AND(class!E102,"AAAAAHv6+F0=")</f>
        <v>#VALUE!</v>
      </c>
      <c r="CQ18" t="e">
        <f>AND(class!F102,"AAAAAHv6+F4=")</f>
        <v>#VALUE!</v>
      </c>
      <c r="CR18" t="e">
        <f>AND(class!G102,"AAAAAHv6+F8=")</f>
        <v>#VALUE!</v>
      </c>
      <c r="CS18" t="e">
        <f>AND(class!H102,"AAAAAHv6+GA=")</f>
        <v>#VALUE!</v>
      </c>
      <c r="CT18" t="e">
        <f>AND(class!I102,"AAAAAHv6+GE=")</f>
        <v>#VALUE!</v>
      </c>
      <c r="CU18" t="e">
        <f>AND(class!J102,"AAAAAHv6+GI=")</f>
        <v>#VALUE!</v>
      </c>
      <c r="CV18" t="e">
        <f>AND(class!K102,"AAAAAHv6+GM=")</f>
        <v>#VALUE!</v>
      </c>
      <c r="CW18" t="e">
        <f>AND(class!L102,"AAAAAHv6+GQ=")</f>
        <v>#VALUE!</v>
      </c>
      <c r="CX18" t="e">
        <f>AND(class!M102,"AAAAAHv6+GU=")</f>
        <v>#VALUE!</v>
      </c>
      <c r="CY18" t="e">
        <f>AND(class!N102,"AAAAAHv6+GY=")</f>
        <v>#VALUE!</v>
      </c>
      <c r="CZ18" t="e">
        <f>AND(class!O102,"AAAAAHv6+Gc=")</f>
        <v>#VALUE!</v>
      </c>
      <c r="DA18" t="e">
        <f>AND(class!P102,"AAAAAHv6+Gg=")</f>
        <v>#VALUE!</v>
      </c>
      <c r="DB18" t="e">
        <f>AND(class!Q102,"AAAAAHv6+Gk=")</f>
        <v>#VALUE!</v>
      </c>
      <c r="DC18" t="e">
        <f>AND(class!R102,"AAAAAHv6+Go=")</f>
        <v>#VALUE!</v>
      </c>
      <c r="DD18" t="e">
        <f>AND(class!S102,"AAAAAHv6+Gs=")</f>
        <v>#VALUE!</v>
      </c>
      <c r="DE18" t="e">
        <f>AND(class!T102,"AAAAAHv6+Gw=")</f>
        <v>#VALUE!</v>
      </c>
      <c r="DF18" t="e">
        <f>AND(class!U102,"AAAAAHv6+G0=")</f>
        <v>#VALUE!</v>
      </c>
      <c r="DG18" t="e">
        <f>AND(class!V102,"AAAAAHv6+G4=")</f>
        <v>#VALUE!</v>
      </c>
      <c r="DH18" t="e">
        <f>AND(class!W102,"AAAAAHv6+G8=")</f>
        <v>#VALUE!</v>
      </c>
      <c r="DI18" t="e">
        <f>AND(class!X102,"AAAAAHv6+HA=")</f>
        <v>#VALUE!</v>
      </c>
      <c r="DJ18" t="e">
        <f>AND(class!Y102,"AAAAAHv6+HE=")</f>
        <v>#VALUE!</v>
      </c>
      <c r="DK18" t="e">
        <f>AND(class!Z102,"AAAAAHv6+HI=")</f>
        <v>#VALUE!</v>
      </c>
      <c r="DL18" t="e">
        <f>AND(class!AA102,"AAAAAHv6+HM=")</f>
        <v>#VALUE!</v>
      </c>
      <c r="DM18" t="e">
        <f>AND(class!AB102,"AAAAAHv6+HQ=")</f>
        <v>#VALUE!</v>
      </c>
      <c r="DN18" t="e">
        <f>AND(class!AC102,"AAAAAHv6+HU=")</f>
        <v>#VALUE!</v>
      </c>
      <c r="DO18">
        <f>IF(class!103:103,"AAAAAHv6+HY=",0)</f>
        <v>0</v>
      </c>
      <c r="DP18" t="e">
        <f>AND(class!A103,"AAAAAHv6+Hc=")</f>
        <v>#VALUE!</v>
      </c>
      <c r="DQ18" t="e">
        <f>AND(class!B103,"AAAAAHv6+Hg=")</f>
        <v>#VALUE!</v>
      </c>
      <c r="DR18" t="e">
        <f>AND(class!C103,"AAAAAHv6+Hk=")</f>
        <v>#VALUE!</v>
      </c>
      <c r="DS18" t="e">
        <f>AND(class!D103,"AAAAAHv6+Ho=")</f>
        <v>#VALUE!</v>
      </c>
      <c r="DT18" t="e">
        <f>AND(class!E103,"AAAAAHv6+Hs=")</f>
        <v>#VALUE!</v>
      </c>
      <c r="DU18" t="e">
        <f>AND(class!F103,"AAAAAHv6+Hw=")</f>
        <v>#VALUE!</v>
      </c>
      <c r="DV18" t="e">
        <f>AND(class!G103,"AAAAAHv6+H0=")</f>
        <v>#VALUE!</v>
      </c>
      <c r="DW18" t="e">
        <f>AND(class!H103,"AAAAAHv6+H4=")</f>
        <v>#VALUE!</v>
      </c>
      <c r="DX18" t="e">
        <f>AND(class!I103,"AAAAAHv6+H8=")</f>
        <v>#VALUE!</v>
      </c>
      <c r="DY18" t="e">
        <f>AND(class!J103,"AAAAAHv6+IA=")</f>
        <v>#VALUE!</v>
      </c>
      <c r="DZ18" t="e">
        <f>AND(class!K103,"AAAAAHv6+IE=")</f>
        <v>#VALUE!</v>
      </c>
      <c r="EA18" t="e">
        <f>AND(class!L103,"AAAAAHv6+II=")</f>
        <v>#VALUE!</v>
      </c>
      <c r="EB18" t="e">
        <f>AND(class!M103,"AAAAAHv6+IM=")</f>
        <v>#VALUE!</v>
      </c>
      <c r="EC18" t="e">
        <f>AND(class!N103,"AAAAAHv6+IQ=")</f>
        <v>#VALUE!</v>
      </c>
      <c r="ED18" t="e">
        <f>AND(class!O103,"AAAAAHv6+IU=")</f>
        <v>#VALUE!</v>
      </c>
      <c r="EE18" t="e">
        <f>AND(class!P103,"AAAAAHv6+IY=")</f>
        <v>#VALUE!</v>
      </c>
      <c r="EF18" t="e">
        <f>AND(class!Q103,"AAAAAHv6+Ic=")</f>
        <v>#VALUE!</v>
      </c>
      <c r="EG18" t="e">
        <f>AND(class!R103,"AAAAAHv6+Ig=")</f>
        <v>#VALUE!</v>
      </c>
      <c r="EH18" t="e">
        <f>AND(class!S103,"AAAAAHv6+Ik=")</f>
        <v>#VALUE!</v>
      </c>
      <c r="EI18" t="e">
        <f>AND(class!T103,"AAAAAHv6+Io=")</f>
        <v>#VALUE!</v>
      </c>
      <c r="EJ18" t="e">
        <f>AND(class!U103,"AAAAAHv6+Is=")</f>
        <v>#VALUE!</v>
      </c>
      <c r="EK18" t="e">
        <f>AND(class!V103,"AAAAAHv6+Iw=")</f>
        <v>#VALUE!</v>
      </c>
      <c r="EL18" t="e">
        <f>AND(class!W103,"AAAAAHv6+I0=")</f>
        <v>#VALUE!</v>
      </c>
      <c r="EM18" t="e">
        <f>AND(class!X103,"AAAAAHv6+I4=")</f>
        <v>#VALUE!</v>
      </c>
      <c r="EN18" t="e">
        <f>AND(class!Y103,"AAAAAHv6+I8=")</f>
        <v>#VALUE!</v>
      </c>
      <c r="EO18" t="e">
        <f>AND(class!Z103,"AAAAAHv6+JA=")</f>
        <v>#VALUE!</v>
      </c>
      <c r="EP18" t="e">
        <f>AND(class!AA103,"AAAAAHv6+JE=")</f>
        <v>#VALUE!</v>
      </c>
      <c r="EQ18" t="e">
        <f>AND(class!AB103,"AAAAAHv6+JI=")</f>
        <v>#VALUE!</v>
      </c>
      <c r="ER18" t="e">
        <f>AND(class!AC103,"AAAAAHv6+JM=")</f>
        <v>#VALUE!</v>
      </c>
      <c r="ES18">
        <f>IF(class!104:104,"AAAAAHv6+JQ=",0)</f>
        <v>0</v>
      </c>
      <c r="ET18" t="e">
        <f>AND(class!A104,"AAAAAHv6+JU=")</f>
        <v>#VALUE!</v>
      </c>
      <c r="EU18" t="e">
        <f>AND(class!B104,"AAAAAHv6+JY=")</f>
        <v>#VALUE!</v>
      </c>
      <c r="EV18" t="e">
        <f>AND(class!C104,"AAAAAHv6+Jc=")</f>
        <v>#VALUE!</v>
      </c>
      <c r="EW18" t="e">
        <f>AND(class!D104,"AAAAAHv6+Jg=")</f>
        <v>#VALUE!</v>
      </c>
      <c r="EX18" t="e">
        <f>AND(class!E104,"AAAAAHv6+Jk=")</f>
        <v>#VALUE!</v>
      </c>
      <c r="EY18" t="e">
        <f>AND(class!F104,"AAAAAHv6+Jo=")</f>
        <v>#VALUE!</v>
      </c>
      <c r="EZ18" t="e">
        <f>AND(class!G104,"AAAAAHv6+Js=")</f>
        <v>#VALUE!</v>
      </c>
      <c r="FA18" t="e">
        <f>AND(class!H104,"AAAAAHv6+Jw=")</f>
        <v>#VALUE!</v>
      </c>
      <c r="FB18" t="e">
        <f>AND(class!I104,"AAAAAHv6+J0=")</f>
        <v>#VALUE!</v>
      </c>
      <c r="FC18" t="e">
        <f>AND(class!J104,"AAAAAHv6+J4=")</f>
        <v>#VALUE!</v>
      </c>
      <c r="FD18" t="e">
        <f>AND(class!K104,"AAAAAHv6+J8=")</f>
        <v>#VALUE!</v>
      </c>
      <c r="FE18" t="e">
        <f>AND(class!L104,"AAAAAHv6+KA=")</f>
        <v>#VALUE!</v>
      </c>
      <c r="FF18" t="e">
        <f>AND(class!M104,"AAAAAHv6+KE=")</f>
        <v>#VALUE!</v>
      </c>
      <c r="FG18" t="e">
        <f>AND(class!N104,"AAAAAHv6+KI=")</f>
        <v>#VALUE!</v>
      </c>
      <c r="FH18" t="e">
        <f>AND(class!O104,"AAAAAHv6+KM=")</f>
        <v>#VALUE!</v>
      </c>
      <c r="FI18" t="e">
        <f>AND(class!P104,"AAAAAHv6+KQ=")</f>
        <v>#VALUE!</v>
      </c>
      <c r="FJ18" t="e">
        <f>AND(class!Q104,"AAAAAHv6+KU=")</f>
        <v>#VALUE!</v>
      </c>
      <c r="FK18" t="e">
        <f>AND(class!R104,"AAAAAHv6+KY=")</f>
        <v>#VALUE!</v>
      </c>
      <c r="FL18" t="e">
        <f>AND(class!S104,"AAAAAHv6+Kc=")</f>
        <v>#VALUE!</v>
      </c>
      <c r="FM18" t="e">
        <f>AND(class!T104,"AAAAAHv6+Kg=")</f>
        <v>#VALUE!</v>
      </c>
      <c r="FN18" t="e">
        <f>AND(class!U104,"AAAAAHv6+Kk=")</f>
        <v>#VALUE!</v>
      </c>
      <c r="FO18" t="e">
        <f>AND(class!V104,"AAAAAHv6+Ko=")</f>
        <v>#VALUE!</v>
      </c>
      <c r="FP18" t="e">
        <f>AND(class!W104,"AAAAAHv6+Ks=")</f>
        <v>#VALUE!</v>
      </c>
      <c r="FQ18" t="e">
        <f>AND(class!X104,"AAAAAHv6+Kw=")</f>
        <v>#VALUE!</v>
      </c>
      <c r="FR18" t="e">
        <f>AND(class!Y104,"AAAAAHv6+K0=")</f>
        <v>#VALUE!</v>
      </c>
      <c r="FS18" t="e">
        <f>AND(class!Z104,"AAAAAHv6+K4=")</f>
        <v>#VALUE!</v>
      </c>
      <c r="FT18" t="e">
        <f>AND(class!AA104,"AAAAAHv6+K8=")</f>
        <v>#VALUE!</v>
      </c>
      <c r="FU18" t="e">
        <f>AND(class!AB104,"AAAAAHv6+LA=")</f>
        <v>#VALUE!</v>
      </c>
      <c r="FV18" t="e">
        <f>AND(class!AC104,"AAAAAHv6+LE=")</f>
        <v>#VALUE!</v>
      </c>
      <c r="FW18">
        <f>IF(class!105:105,"AAAAAHv6+LI=",0)</f>
        <v>0</v>
      </c>
      <c r="FX18" t="e">
        <f>AND(class!A105,"AAAAAHv6+LM=")</f>
        <v>#VALUE!</v>
      </c>
      <c r="FY18" t="e">
        <f>AND(class!B105,"AAAAAHv6+LQ=")</f>
        <v>#VALUE!</v>
      </c>
      <c r="FZ18" t="e">
        <f>AND(class!C105,"AAAAAHv6+LU=")</f>
        <v>#VALUE!</v>
      </c>
      <c r="GA18" t="e">
        <f>AND(class!D105,"AAAAAHv6+LY=")</f>
        <v>#VALUE!</v>
      </c>
      <c r="GB18" t="e">
        <f>AND(class!E105,"AAAAAHv6+Lc=")</f>
        <v>#VALUE!</v>
      </c>
      <c r="GC18" t="e">
        <f>AND(class!F105,"AAAAAHv6+Lg=")</f>
        <v>#VALUE!</v>
      </c>
      <c r="GD18" t="e">
        <f>AND(class!G105,"AAAAAHv6+Lk=")</f>
        <v>#VALUE!</v>
      </c>
      <c r="GE18" t="e">
        <f>AND(class!H105,"AAAAAHv6+Lo=")</f>
        <v>#VALUE!</v>
      </c>
      <c r="GF18" t="e">
        <f>AND(class!I105,"AAAAAHv6+Ls=")</f>
        <v>#VALUE!</v>
      </c>
      <c r="GG18" t="e">
        <f>AND(class!J105,"AAAAAHv6+Lw=")</f>
        <v>#VALUE!</v>
      </c>
      <c r="GH18" t="e">
        <f>AND(class!K105,"AAAAAHv6+L0=")</f>
        <v>#VALUE!</v>
      </c>
      <c r="GI18" t="e">
        <f>AND(class!L105,"AAAAAHv6+L4=")</f>
        <v>#VALUE!</v>
      </c>
      <c r="GJ18" t="e">
        <f>AND(class!M105,"AAAAAHv6+L8=")</f>
        <v>#VALUE!</v>
      </c>
      <c r="GK18" t="e">
        <f>AND(class!N105,"AAAAAHv6+MA=")</f>
        <v>#VALUE!</v>
      </c>
      <c r="GL18" t="e">
        <f>AND(class!O105,"AAAAAHv6+ME=")</f>
        <v>#VALUE!</v>
      </c>
      <c r="GM18" t="e">
        <f>AND(class!P105,"AAAAAHv6+MI=")</f>
        <v>#VALUE!</v>
      </c>
      <c r="GN18" t="e">
        <f>AND(class!Q105,"AAAAAHv6+MM=")</f>
        <v>#VALUE!</v>
      </c>
      <c r="GO18" t="e">
        <f>AND(class!R105,"AAAAAHv6+MQ=")</f>
        <v>#VALUE!</v>
      </c>
      <c r="GP18" t="e">
        <f>AND(class!S105,"AAAAAHv6+MU=")</f>
        <v>#VALUE!</v>
      </c>
      <c r="GQ18" t="e">
        <f>AND(class!T105,"AAAAAHv6+MY=")</f>
        <v>#VALUE!</v>
      </c>
      <c r="GR18" t="e">
        <f>AND(class!U105,"AAAAAHv6+Mc=")</f>
        <v>#VALUE!</v>
      </c>
      <c r="GS18" t="e">
        <f>AND(class!V105,"AAAAAHv6+Mg=")</f>
        <v>#VALUE!</v>
      </c>
      <c r="GT18" t="e">
        <f>AND(class!W105,"AAAAAHv6+Mk=")</f>
        <v>#VALUE!</v>
      </c>
      <c r="GU18" t="e">
        <f>AND(class!X105,"AAAAAHv6+Mo=")</f>
        <v>#VALUE!</v>
      </c>
      <c r="GV18" t="e">
        <f>AND(class!Y105,"AAAAAHv6+Ms=")</f>
        <v>#VALUE!</v>
      </c>
      <c r="GW18" t="e">
        <f>AND(class!Z105,"AAAAAHv6+Mw=")</f>
        <v>#VALUE!</v>
      </c>
      <c r="GX18" t="e">
        <f>AND(class!AA105,"AAAAAHv6+M0=")</f>
        <v>#VALUE!</v>
      </c>
      <c r="GY18" t="e">
        <f>AND(class!AB105,"AAAAAHv6+M4=")</f>
        <v>#VALUE!</v>
      </c>
      <c r="GZ18" t="e">
        <f>AND(class!AC105,"AAAAAHv6+M8=")</f>
        <v>#VALUE!</v>
      </c>
      <c r="HA18">
        <f>IF(class!106:106,"AAAAAHv6+NA=",0)</f>
        <v>0</v>
      </c>
      <c r="HB18" t="e">
        <f>AND(class!A106,"AAAAAHv6+NE=")</f>
        <v>#VALUE!</v>
      </c>
      <c r="HC18" t="e">
        <f>AND(class!B106,"AAAAAHv6+NI=")</f>
        <v>#VALUE!</v>
      </c>
      <c r="HD18" t="e">
        <f>AND(class!C106,"AAAAAHv6+NM=")</f>
        <v>#VALUE!</v>
      </c>
      <c r="HE18" t="e">
        <f>AND(class!D106,"AAAAAHv6+NQ=")</f>
        <v>#VALUE!</v>
      </c>
      <c r="HF18" t="e">
        <f>AND(class!E106,"AAAAAHv6+NU=")</f>
        <v>#VALUE!</v>
      </c>
      <c r="HG18" t="e">
        <f>AND(class!F106,"AAAAAHv6+NY=")</f>
        <v>#VALUE!</v>
      </c>
      <c r="HH18" t="e">
        <f>AND(class!G106,"AAAAAHv6+Nc=")</f>
        <v>#VALUE!</v>
      </c>
      <c r="HI18" t="e">
        <f>AND(class!H106,"AAAAAHv6+Ng=")</f>
        <v>#VALUE!</v>
      </c>
      <c r="HJ18" t="e">
        <f>AND(class!I106,"AAAAAHv6+Nk=")</f>
        <v>#VALUE!</v>
      </c>
      <c r="HK18" t="e">
        <f>AND(class!J106,"AAAAAHv6+No=")</f>
        <v>#VALUE!</v>
      </c>
      <c r="HL18" t="e">
        <f>AND(class!K106,"AAAAAHv6+Ns=")</f>
        <v>#VALUE!</v>
      </c>
      <c r="HM18" t="e">
        <f>AND(class!L106,"AAAAAHv6+Nw=")</f>
        <v>#VALUE!</v>
      </c>
      <c r="HN18" t="e">
        <f>AND(class!M106,"AAAAAHv6+N0=")</f>
        <v>#VALUE!</v>
      </c>
      <c r="HO18" t="e">
        <f>AND(class!N106,"AAAAAHv6+N4=")</f>
        <v>#VALUE!</v>
      </c>
      <c r="HP18" t="e">
        <f>AND(class!O106,"AAAAAHv6+N8=")</f>
        <v>#VALUE!</v>
      </c>
      <c r="HQ18" t="e">
        <f>AND(class!P106,"AAAAAHv6+OA=")</f>
        <v>#VALUE!</v>
      </c>
      <c r="HR18" t="e">
        <f>AND(class!Q106,"AAAAAHv6+OE=")</f>
        <v>#VALUE!</v>
      </c>
      <c r="HS18" t="e">
        <f>AND(class!R106,"AAAAAHv6+OI=")</f>
        <v>#VALUE!</v>
      </c>
      <c r="HT18" t="e">
        <f>AND(class!S106,"AAAAAHv6+OM=")</f>
        <v>#VALUE!</v>
      </c>
      <c r="HU18" t="e">
        <f>AND(class!T106,"AAAAAHv6+OQ=")</f>
        <v>#VALUE!</v>
      </c>
      <c r="HV18" t="e">
        <f>AND(class!U106,"AAAAAHv6+OU=")</f>
        <v>#VALUE!</v>
      </c>
      <c r="HW18" t="e">
        <f>AND(class!V106,"AAAAAHv6+OY=")</f>
        <v>#VALUE!</v>
      </c>
      <c r="HX18" t="e">
        <f>AND(class!W106,"AAAAAHv6+Oc=")</f>
        <v>#VALUE!</v>
      </c>
      <c r="HY18" t="e">
        <f>AND(class!X106,"AAAAAHv6+Og=")</f>
        <v>#VALUE!</v>
      </c>
      <c r="HZ18" t="e">
        <f>AND(class!Y106,"AAAAAHv6+Ok=")</f>
        <v>#VALUE!</v>
      </c>
      <c r="IA18" t="e">
        <f>AND(class!Z106,"AAAAAHv6+Oo=")</f>
        <v>#VALUE!</v>
      </c>
      <c r="IB18" t="e">
        <f>AND(class!AA106,"AAAAAHv6+Os=")</f>
        <v>#VALUE!</v>
      </c>
      <c r="IC18" t="e">
        <f>AND(class!AB106,"AAAAAHv6+Ow=")</f>
        <v>#VALUE!</v>
      </c>
      <c r="ID18" t="e">
        <f>AND(class!AC106,"AAAAAHv6+O0=")</f>
        <v>#VALUE!</v>
      </c>
      <c r="IE18">
        <f>IF(class!107:107,"AAAAAHv6+O4=",0)</f>
        <v>0</v>
      </c>
      <c r="IF18" t="e">
        <f>AND(class!A107,"AAAAAHv6+O8=")</f>
        <v>#VALUE!</v>
      </c>
      <c r="IG18" t="e">
        <f>AND(class!B107,"AAAAAHv6+PA=")</f>
        <v>#VALUE!</v>
      </c>
      <c r="IH18" t="e">
        <f>AND(class!C107,"AAAAAHv6+PE=")</f>
        <v>#VALUE!</v>
      </c>
      <c r="II18" t="e">
        <f>AND(class!D107,"AAAAAHv6+PI=")</f>
        <v>#VALUE!</v>
      </c>
      <c r="IJ18" t="e">
        <f>AND(class!E107,"AAAAAHv6+PM=")</f>
        <v>#VALUE!</v>
      </c>
      <c r="IK18" t="e">
        <f>AND(class!F107,"AAAAAHv6+PQ=")</f>
        <v>#VALUE!</v>
      </c>
      <c r="IL18" t="e">
        <f>AND(class!G107,"AAAAAHv6+PU=")</f>
        <v>#VALUE!</v>
      </c>
      <c r="IM18" t="e">
        <f>AND(class!H107,"AAAAAHv6+PY=")</f>
        <v>#VALUE!</v>
      </c>
      <c r="IN18" t="e">
        <f>AND(class!I107,"AAAAAHv6+Pc=")</f>
        <v>#VALUE!</v>
      </c>
      <c r="IO18" t="e">
        <f>AND(class!J107,"AAAAAHv6+Pg=")</f>
        <v>#VALUE!</v>
      </c>
      <c r="IP18" t="e">
        <f>AND(class!K107,"AAAAAHv6+Pk=")</f>
        <v>#VALUE!</v>
      </c>
      <c r="IQ18" t="e">
        <f>AND(class!L107,"AAAAAHv6+Po=")</f>
        <v>#VALUE!</v>
      </c>
      <c r="IR18" t="e">
        <f>AND(class!M107,"AAAAAHv6+Ps=")</f>
        <v>#VALUE!</v>
      </c>
      <c r="IS18" t="e">
        <f>AND(class!N107,"AAAAAHv6+Pw=")</f>
        <v>#VALUE!</v>
      </c>
      <c r="IT18" t="e">
        <f>AND(class!O107,"AAAAAHv6+P0=")</f>
        <v>#VALUE!</v>
      </c>
      <c r="IU18" t="e">
        <f>AND(class!P107,"AAAAAHv6+P4=")</f>
        <v>#VALUE!</v>
      </c>
      <c r="IV18" t="e">
        <f>AND(class!Q107,"AAAAAHv6+P8=")</f>
        <v>#VALUE!</v>
      </c>
    </row>
    <row r="19" spans="1:256" x14ac:dyDescent="0.2">
      <c r="A19" t="e">
        <f>AND(class!R107,"AAAAAH3X3wA=")</f>
        <v>#VALUE!</v>
      </c>
      <c r="B19" t="e">
        <f>AND(class!S107,"AAAAAH3X3wE=")</f>
        <v>#VALUE!</v>
      </c>
      <c r="C19" t="e">
        <f>AND(class!T107,"AAAAAH3X3wI=")</f>
        <v>#VALUE!</v>
      </c>
      <c r="D19" t="e">
        <f>AND(class!U107,"AAAAAH3X3wM=")</f>
        <v>#VALUE!</v>
      </c>
      <c r="E19" t="e">
        <f>AND(class!V107,"AAAAAH3X3wQ=")</f>
        <v>#VALUE!</v>
      </c>
      <c r="F19" t="e">
        <f>AND(class!W107,"AAAAAH3X3wU=")</f>
        <v>#VALUE!</v>
      </c>
      <c r="G19" t="e">
        <f>AND(class!X107,"AAAAAH3X3wY=")</f>
        <v>#VALUE!</v>
      </c>
      <c r="H19" t="e">
        <f>AND(class!Y107,"AAAAAH3X3wc=")</f>
        <v>#VALUE!</v>
      </c>
      <c r="I19" t="e">
        <f>AND(class!Z107,"AAAAAH3X3wg=")</f>
        <v>#VALUE!</v>
      </c>
      <c r="J19" t="e">
        <f>AND(class!AA107,"AAAAAH3X3wk=")</f>
        <v>#VALUE!</v>
      </c>
      <c r="K19" t="e">
        <f>AND(class!AB107,"AAAAAH3X3wo=")</f>
        <v>#VALUE!</v>
      </c>
      <c r="L19" t="e">
        <f>AND(class!AC107,"AAAAAH3X3ws=")</f>
        <v>#VALUE!</v>
      </c>
      <c r="M19">
        <f>IF(class!108:108,"AAAAAH3X3ww=",0)</f>
        <v>0</v>
      </c>
      <c r="N19" t="e">
        <f>AND(class!A108,"AAAAAH3X3w0=")</f>
        <v>#VALUE!</v>
      </c>
      <c r="O19" t="e">
        <f>AND(class!B108,"AAAAAH3X3w4=")</f>
        <v>#VALUE!</v>
      </c>
      <c r="P19" t="e">
        <f>AND(class!C108,"AAAAAH3X3w8=")</f>
        <v>#VALUE!</v>
      </c>
      <c r="Q19" t="e">
        <f>AND(class!D108,"AAAAAH3X3xA=")</f>
        <v>#VALUE!</v>
      </c>
      <c r="R19" t="e">
        <f>AND(class!E108,"AAAAAH3X3xE=")</f>
        <v>#VALUE!</v>
      </c>
      <c r="S19" t="e">
        <f>AND(class!F108,"AAAAAH3X3xI=")</f>
        <v>#VALUE!</v>
      </c>
      <c r="T19" t="e">
        <f>AND(class!G108,"AAAAAH3X3xM=")</f>
        <v>#VALUE!</v>
      </c>
      <c r="U19" t="e">
        <f>AND(class!H108,"AAAAAH3X3xQ=")</f>
        <v>#VALUE!</v>
      </c>
      <c r="V19" t="e">
        <f>AND(class!I108,"AAAAAH3X3xU=")</f>
        <v>#VALUE!</v>
      </c>
      <c r="W19" t="e">
        <f>AND(class!J108,"AAAAAH3X3xY=")</f>
        <v>#VALUE!</v>
      </c>
      <c r="X19" t="e">
        <f>AND(class!K108,"AAAAAH3X3xc=")</f>
        <v>#VALUE!</v>
      </c>
      <c r="Y19" t="e">
        <f>AND(class!L108,"AAAAAH3X3xg=")</f>
        <v>#VALUE!</v>
      </c>
      <c r="Z19" t="e">
        <f>AND(class!M108,"AAAAAH3X3xk=")</f>
        <v>#VALUE!</v>
      </c>
      <c r="AA19" t="e">
        <f>AND(class!N108,"AAAAAH3X3xo=")</f>
        <v>#VALUE!</v>
      </c>
      <c r="AB19" t="e">
        <f>AND(class!O108,"AAAAAH3X3xs=")</f>
        <v>#VALUE!</v>
      </c>
      <c r="AC19" t="e">
        <f>AND(class!P108,"AAAAAH3X3xw=")</f>
        <v>#VALUE!</v>
      </c>
      <c r="AD19" t="e">
        <f>AND(class!Q108,"AAAAAH3X3x0=")</f>
        <v>#VALUE!</v>
      </c>
      <c r="AE19" t="e">
        <f>AND(class!R108,"AAAAAH3X3x4=")</f>
        <v>#VALUE!</v>
      </c>
      <c r="AF19" t="e">
        <f>AND(class!S108,"AAAAAH3X3x8=")</f>
        <v>#VALUE!</v>
      </c>
      <c r="AG19" t="e">
        <f>AND(class!T108,"AAAAAH3X3yA=")</f>
        <v>#VALUE!</v>
      </c>
      <c r="AH19" t="e">
        <f>AND(class!U108,"AAAAAH3X3yE=")</f>
        <v>#VALUE!</v>
      </c>
      <c r="AI19" t="e">
        <f>AND(class!V108,"AAAAAH3X3yI=")</f>
        <v>#VALUE!</v>
      </c>
      <c r="AJ19" t="e">
        <f>AND(class!W108,"AAAAAH3X3yM=")</f>
        <v>#VALUE!</v>
      </c>
      <c r="AK19" t="e">
        <f>AND(class!X108,"AAAAAH3X3yQ=")</f>
        <v>#VALUE!</v>
      </c>
      <c r="AL19" t="e">
        <f>AND(class!Y108,"AAAAAH3X3yU=")</f>
        <v>#VALUE!</v>
      </c>
      <c r="AM19" t="e">
        <f>AND(class!Z108,"AAAAAH3X3yY=")</f>
        <v>#VALUE!</v>
      </c>
      <c r="AN19" t="e">
        <f>AND(class!AA108,"AAAAAH3X3yc=")</f>
        <v>#VALUE!</v>
      </c>
      <c r="AO19" t="e">
        <f>AND(class!AB108,"AAAAAH3X3yg=")</f>
        <v>#VALUE!</v>
      </c>
      <c r="AP19" t="e">
        <f>AND(class!AC108,"AAAAAH3X3yk=")</f>
        <v>#VALUE!</v>
      </c>
      <c r="AQ19">
        <f>IF(class!109:109,"AAAAAH3X3yo=",0)</f>
        <v>0</v>
      </c>
      <c r="AR19" t="e">
        <f>AND(class!A109,"AAAAAH3X3ys=")</f>
        <v>#VALUE!</v>
      </c>
      <c r="AS19" t="e">
        <f>AND(class!B109,"AAAAAH3X3yw=")</f>
        <v>#VALUE!</v>
      </c>
      <c r="AT19" t="e">
        <f>AND(class!C109,"AAAAAH3X3y0=")</f>
        <v>#VALUE!</v>
      </c>
      <c r="AU19" t="e">
        <f>AND(class!D109,"AAAAAH3X3y4=")</f>
        <v>#VALUE!</v>
      </c>
      <c r="AV19" t="e">
        <f>AND(class!E109,"AAAAAH3X3y8=")</f>
        <v>#VALUE!</v>
      </c>
      <c r="AW19" t="e">
        <f>AND(class!F109,"AAAAAH3X3zA=")</f>
        <v>#VALUE!</v>
      </c>
      <c r="AX19" t="e">
        <f>AND(class!G109,"AAAAAH3X3zE=")</f>
        <v>#VALUE!</v>
      </c>
      <c r="AY19" t="e">
        <f>AND(class!H109,"AAAAAH3X3zI=")</f>
        <v>#VALUE!</v>
      </c>
      <c r="AZ19" t="e">
        <f>AND(class!I109,"AAAAAH3X3zM=")</f>
        <v>#VALUE!</v>
      </c>
      <c r="BA19" t="e">
        <f>AND(class!J109,"AAAAAH3X3zQ=")</f>
        <v>#VALUE!</v>
      </c>
      <c r="BB19" t="e">
        <f>AND(class!K109,"AAAAAH3X3zU=")</f>
        <v>#VALUE!</v>
      </c>
      <c r="BC19" t="e">
        <f>AND(class!L109,"AAAAAH3X3zY=")</f>
        <v>#VALUE!</v>
      </c>
      <c r="BD19" t="e">
        <f>AND(class!M109,"AAAAAH3X3zc=")</f>
        <v>#VALUE!</v>
      </c>
      <c r="BE19" t="e">
        <f>AND(class!N109,"AAAAAH3X3zg=")</f>
        <v>#VALUE!</v>
      </c>
      <c r="BF19" t="e">
        <f>AND(class!O109,"AAAAAH3X3zk=")</f>
        <v>#VALUE!</v>
      </c>
      <c r="BG19" t="e">
        <f>AND(class!P109,"AAAAAH3X3zo=")</f>
        <v>#VALUE!</v>
      </c>
      <c r="BH19" t="e">
        <f>AND(class!Q109,"AAAAAH3X3zs=")</f>
        <v>#VALUE!</v>
      </c>
      <c r="BI19" t="e">
        <f>AND(class!R109,"AAAAAH3X3zw=")</f>
        <v>#VALUE!</v>
      </c>
      <c r="BJ19" t="e">
        <f>AND(class!S109,"AAAAAH3X3z0=")</f>
        <v>#VALUE!</v>
      </c>
      <c r="BK19" t="e">
        <f>AND(class!T109,"AAAAAH3X3z4=")</f>
        <v>#VALUE!</v>
      </c>
      <c r="BL19" t="e">
        <f>AND(class!U109,"AAAAAH3X3z8=")</f>
        <v>#VALUE!</v>
      </c>
      <c r="BM19" t="e">
        <f>AND(class!V109,"AAAAAH3X30A=")</f>
        <v>#VALUE!</v>
      </c>
      <c r="BN19" t="e">
        <f>AND(class!W109,"AAAAAH3X30E=")</f>
        <v>#VALUE!</v>
      </c>
      <c r="BO19" t="e">
        <f>AND(class!X109,"AAAAAH3X30I=")</f>
        <v>#VALUE!</v>
      </c>
      <c r="BP19" t="e">
        <f>AND(class!Y109,"AAAAAH3X30M=")</f>
        <v>#VALUE!</v>
      </c>
      <c r="BQ19" t="e">
        <f>AND(class!Z109,"AAAAAH3X30Q=")</f>
        <v>#VALUE!</v>
      </c>
      <c r="BR19" t="e">
        <f>AND(class!AA109,"AAAAAH3X30U=")</f>
        <v>#VALUE!</v>
      </c>
      <c r="BS19" t="e">
        <f>AND(class!AB109,"AAAAAH3X30Y=")</f>
        <v>#VALUE!</v>
      </c>
      <c r="BT19" t="e">
        <f>AND(class!AC109,"AAAAAH3X30c=")</f>
        <v>#VALUE!</v>
      </c>
      <c r="BU19">
        <f>IF(class!110:110,"AAAAAH3X30g=",0)</f>
        <v>0</v>
      </c>
      <c r="BV19" t="e">
        <f>AND(class!A110,"AAAAAH3X30k=")</f>
        <v>#VALUE!</v>
      </c>
      <c r="BW19" t="e">
        <f>AND(class!B110,"AAAAAH3X30o=")</f>
        <v>#VALUE!</v>
      </c>
      <c r="BX19" t="e">
        <f>AND(class!C110,"AAAAAH3X30s=")</f>
        <v>#VALUE!</v>
      </c>
      <c r="BY19" t="e">
        <f>AND(class!D110,"AAAAAH3X30w=")</f>
        <v>#VALUE!</v>
      </c>
      <c r="BZ19" t="e">
        <f>AND(class!E110,"AAAAAH3X300=")</f>
        <v>#VALUE!</v>
      </c>
      <c r="CA19" t="e">
        <f>AND(class!F110,"AAAAAH3X304=")</f>
        <v>#VALUE!</v>
      </c>
      <c r="CB19" t="e">
        <f>AND(class!G110,"AAAAAH3X308=")</f>
        <v>#VALUE!</v>
      </c>
      <c r="CC19" t="e">
        <f>AND(class!H110,"AAAAAH3X31A=")</f>
        <v>#VALUE!</v>
      </c>
      <c r="CD19" t="e">
        <f>AND(class!I110,"AAAAAH3X31E=")</f>
        <v>#VALUE!</v>
      </c>
      <c r="CE19" t="e">
        <f>AND(class!J110,"AAAAAH3X31I=")</f>
        <v>#VALUE!</v>
      </c>
      <c r="CF19" t="e">
        <f>AND(class!K110,"AAAAAH3X31M=")</f>
        <v>#VALUE!</v>
      </c>
      <c r="CG19" t="e">
        <f>AND(class!L110,"AAAAAH3X31Q=")</f>
        <v>#VALUE!</v>
      </c>
      <c r="CH19" t="e">
        <f>AND(class!M110,"AAAAAH3X31U=")</f>
        <v>#VALUE!</v>
      </c>
      <c r="CI19" t="e">
        <f>AND(class!N110,"AAAAAH3X31Y=")</f>
        <v>#VALUE!</v>
      </c>
      <c r="CJ19" t="e">
        <f>AND(class!O110,"AAAAAH3X31c=")</f>
        <v>#VALUE!</v>
      </c>
      <c r="CK19" t="e">
        <f>AND(class!P110,"AAAAAH3X31g=")</f>
        <v>#VALUE!</v>
      </c>
      <c r="CL19" t="e">
        <f>AND(class!Q110,"AAAAAH3X31k=")</f>
        <v>#VALUE!</v>
      </c>
      <c r="CM19" t="e">
        <f>AND(class!R110,"AAAAAH3X31o=")</f>
        <v>#VALUE!</v>
      </c>
      <c r="CN19" t="e">
        <f>AND(class!S110,"AAAAAH3X31s=")</f>
        <v>#VALUE!</v>
      </c>
      <c r="CO19" t="e">
        <f>AND(class!T110,"AAAAAH3X31w=")</f>
        <v>#VALUE!</v>
      </c>
      <c r="CP19" t="e">
        <f>AND(class!U110,"AAAAAH3X310=")</f>
        <v>#VALUE!</v>
      </c>
      <c r="CQ19" t="e">
        <f>AND(class!V110,"AAAAAH3X314=")</f>
        <v>#VALUE!</v>
      </c>
      <c r="CR19" t="e">
        <f>AND(class!W110,"AAAAAH3X318=")</f>
        <v>#VALUE!</v>
      </c>
      <c r="CS19" t="e">
        <f>AND(class!X110,"AAAAAH3X32A=")</f>
        <v>#VALUE!</v>
      </c>
      <c r="CT19" t="e">
        <f>AND(class!Y110,"AAAAAH3X32E=")</f>
        <v>#VALUE!</v>
      </c>
      <c r="CU19" t="e">
        <f>AND(class!Z110,"AAAAAH3X32I=")</f>
        <v>#VALUE!</v>
      </c>
      <c r="CV19" t="e">
        <f>AND(class!AA110,"AAAAAH3X32M=")</f>
        <v>#VALUE!</v>
      </c>
      <c r="CW19" t="e">
        <f>AND(class!AB110,"AAAAAH3X32Q=")</f>
        <v>#VALUE!</v>
      </c>
      <c r="CX19" t="e">
        <f>AND(class!AC110,"AAAAAH3X32U=")</f>
        <v>#VALUE!</v>
      </c>
      <c r="CY19">
        <f>IF(class!111:111,"AAAAAH3X32Y=",0)</f>
        <v>0</v>
      </c>
      <c r="CZ19" t="e">
        <f>AND(class!A111,"AAAAAH3X32c=")</f>
        <v>#VALUE!</v>
      </c>
      <c r="DA19" t="e">
        <f>AND(class!B111,"AAAAAH3X32g=")</f>
        <v>#VALUE!</v>
      </c>
      <c r="DB19" t="e">
        <f>AND(class!C111,"AAAAAH3X32k=")</f>
        <v>#VALUE!</v>
      </c>
      <c r="DC19" t="e">
        <f>AND(class!D111,"AAAAAH3X32o=")</f>
        <v>#VALUE!</v>
      </c>
      <c r="DD19" t="e">
        <f>AND(class!E111,"AAAAAH3X32s=")</f>
        <v>#VALUE!</v>
      </c>
      <c r="DE19" t="e">
        <f>AND(class!F111,"AAAAAH3X32w=")</f>
        <v>#VALUE!</v>
      </c>
      <c r="DF19" t="e">
        <f>AND(class!G111,"AAAAAH3X320=")</f>
        <v>#VALUE!</v>
      </c>
      <c r="DG19" t="e">
        <f>AND(class!H111,"AAAAAH3X324=")</f>
        <v>#VALUE!</v>
      </c>
      <c r="DH19" t="e">
        <f>AND(class!I111,"AAAAAH3X328=")</f>
        <v>#VALUE!</v>
      </c>
      <c r="DI19" t="e">
        <f>AND(class!J111,"AAAAAH3X33A=")</f>
        <v>#VALUE!</v>
      </c>
      <c r="DJ19" t="e">
        <f>AND(class!K111,"AAAAAH3X33E=")</f>
        <v>#VALUE!</v>
      </c>
      <c r="DK19" t="e">
        <f>AND(class!L111,"AAAAAH3X33I=")</f>
        <v>#VALUE!</v>
      </c>
      <c r="DL19" t="e">
        <f>AND(class!M111,"AAAAAH3X33M=")</f>
        <v>#VALUE!</v>
      </c>
      <c r="DM19" t="e">
        <f>AND(class!N111,"AAAAAH3X33Q=")</f>
        <v>#VALUE!</v>
      </c>
      <c r="DN19" t="e">
        <f>AND(class!O111,"AAAAAH3X33U=")</f>
        <v>#VALUE!</v>
      </c>
      <c r="DO19" t="e">
        <f>AND(class!P111,"AAAAAH3X33Y=")</f>
        <v>#VALUE!</v>
      </c>
      <c r="DP19" t="e">
        <f>AND(class!Q111,"AAAAAH3X33c=")</f>
        <v>#VALUE!</v>
      </c>
      <c r="DQ19" t="e">
        <f>AND(class!R111,"AAAAAH3X33g=")</f>
        <v>#VALUE!</v>
      </c>
      <c r="DR19" t="e">
        <f>AND(class!S111,"AAAAAH3X33k=")</f>
        <v>#VALUE!</v>
      </c>
      <c r="DS19" t="e">
        <f>AND(class!T111,"AAAAAH3X33o=")</f>
        <v>#VALUE!</v>
      </c>
      <c r="DT19" t="e">
        <f>AND(class!U111,"AAAAAH3X33s=")</f>
        <v>#VALUE!</v>
      </c>
      <c r="DU19" t="e">
        <f>AND(class!V111,"AAAAAH3X33w=")</f>
        <v>#VALUE!</v>
      </c>
      <c r="DV19" t="e">
        <f>AND(class!W111,"AAAAAH3X330=")</f>
        <v>#VALUE!</v>
      </c>
      <c r="DW19" t="e">
        <f>AND(class!X111,"AAAAAH3X334=")</f>
        <v>#VALUE!</v>
      </c>
      <c r="DX19" t="e">
        <f>AND(class!Y111,"AAAAAH3X338=")</f>
        <v>#VALUE!</v>
      </c>
      <c r="DY19" t="e">
        <f>AND(class!Z111,"AAAAAH3X34A=")</f>
        <v>#VALUE!</v>
      </c>
      <c r="DZ19" t="e">
        <f>AND(class!AA111,"AAAAAH3X34E=")</f>
        <v>#VALUE!</v>
      </c>
      <c r="EA19" t="e">
        <f>AND(class!AB111,"AAAAAH3X34I=")</f>
        <v>#VALUE!</v>
      </c>
      <c r="EB19" t="e">
        <f>AND(class!AC111,"AAAAAH3X34M=")</f>
        <v>#VALUE!</v>
      </c>
      <c r="EC19">
        <f>IF(class!112:112,"AAAAAH3X34Q=",0)</f>
        <v>0</v>
      </c>
      <c r="ED19" t="e">
        <f>AND(class!A112,"AAAAAH3X34U=")</f>
        <v>#VALUE!</v>
      </c>
      <c r="EE19" t="e">
        <f>AND(class!B112,"AAAAAH3X34Y=")</f>
        <v>#VALUE!</v>
      </c>
      <c r="EF19" t="e">
        <f>AND(class!C112,"AAAAAH3X34c=")</f>
        <v>#VALUE!</v>
      </c>
      <c r="EG19" t="e">
        <f>AND(class!D112,"AAAAAH3X34g=")</f>
        <v>#VALUE!</v>
      </c>
      <c r="EH19" t="e">
        <f>AND(class!E112,"AAAAAH3X34k=")</f>
        <v>#VALUE!</v>
      </c>
      <c r="EI19" t="e">
        <f>AND(class!F112,"AAAAAH3X34o=")</f>
        <v>#VALUE!</v>
      </c>
      <c r="EJ19" t="e">
        <f>AND(class!G112,"AAAAAH3X34s=")</f>
        <v>#VALUE!</v>
      </c>
      <c r="EK19" t="e">
        <f>AND(class!H112,"AAAAAH3X34w=")</f>
        <v>#VALUE!</v>
      </c>
      <c r="EL19" t="e">
        <f>AND(class!I112,"AAAAAH3X340=")</f>
        <v>#VALUE!</v>
      </c>
      <c r="EM19" t="e">
        <f>AND(class!J112,"AAAAAH3X344=")</f>
        <v>#VALUE!</v>
      </c>
      <c r="EN19" t="e">
        <f>AND(class!K112,"AAAAAH3X348=")</f>
        <v>#VALUE!</v>
      </c>
      <c r="EO19" t="e">
        <f>AND(class!L112,"AAAAAH3X35A=")</f>
        <v>#VALUE!</v>
      </c>
      <c r="EP19" t="e">
        <f>AND(class!M112,"AAAAAH3X35E=")</f>
        <v>#VALUE!</v>
      </c>
      <c r="EQ19" t="e">
        <f>AND(class!N112,"AAAAAH3X35I=")</f>
        <v>#VALUE!</v>
      </c>
      <c r="ER19" t="e">
        <f>AND(class!O112,"AAAAAH3X35M=")</f>
        <v>#VALUE!</v>
      </c>
      <c r="ES19" t="e">
        <f>AND(class!P112,"AAAAAH3X35Q=")</f>
        <v>#VALUE!</v>
      </c>
      <c r="ET19" t="e">
        <f>AND(class!Q112,"AAAAAH3X35U=")</f>
        <v>#VALUE!</v>
      </c>
      <c r="EU19" t="e">
        <f>AND(class!R112,"AAAAAH3X35Y=")</f>
        <v>#VALUE!</v>
      </c>
      <c r="EV19" t="e">
        <f>AND(class!S112,"AAAAAH3X35c=")</f>
        <v>#VALUE!</v>
      </c>
      <c r="EW19" t="e">
        <f>AND(class!T112,"AAAAAH3X35g=")</f>
        <v>#VALUE!</v>
      </c>
      <c r="EX19" t="e">
        <f>AND(class!U112,"AAAAAH3X35k=")</f>
        <v>#VALUE!</v>
      </c>
      <c r="EY19" t="e">
        <f>AND(class!V112,"AAAAAH3X35o=")</f>
        <v>#VALUE!</v>
      </c>
      <c r="EZ19" t="e">
        <f>AND(class!W112,"AAAAAH3X35s=")</f>
        <v>#VALUE!</v>
      </c>
      <c r="FA19" t="e">
        <f>AND(class!X112,"AAAAAH3X35w=")</f>
        <v>#VALUE!</v>
      </c>
      <c r="FB19" t="e">
        <f>AND(class!Y112,"AAAAAH3X350=")</f>
        <v>#VALUE!</v>
      </c>
      <c r="FC19" t="e">
        <f>AND(class!Z112,"AAAAAH3X354=")</f>
        <v>#VALUE!</v>
      </c>
      <c r="FD19" t="e">
        <f>AND(class!AA112,"AAAAAH3X358=")</f>
        <v>#VALUE!</v>
      </c>
      <c r="FE19" t="e">
        <f>AND(class!AB112,"AAAAAH3X36A=")</f>
        <v>#VALUE!</v>
      </c>
      <c r="FF19" t="e">
        <f>AND(class!AC112,"AAAAAH3X36E=")</f>
        <v>#VALUE!</v>
      </c>
      <c r="FG19">
        <f>IF(class!113:113,"AAAAAH3X36I=",0)</f>
        <v>0</v>
      </c>
      <c r="FH19" t="e">
        <f>AND(class!A113,"AAAAAH3X36M=")</f>
        <v>#VALUE!</v>
      </c>
      <c r="FI19" t="e">
        <f>AND(class!B113,"AAAAAH3X36Q=")</f>
        <v>#VALUE!</v>
      </c>
      <c r="FJ19" t="e">
        <f>AND(class!C113,"AAAAAH3X36U=")</f>
        <v>#VALUE!</v>
      </c>
      <c r="FK19" t="e">
        <f>AND(class!D113,"AAAAAH3X36Y=")</f>
        <v>#VALUE!</v>
      </c>
      <c r="FL19" t="e">
        <f>AND(class!E113,"AAAAAH3X36c=")</f>
        <v>#VALUE!</v>
      </c>
      <c r="FM19" t="e">
        <f>AND(class!F113,"AAAAAH3X36g=")</f>
        <v>#VALUE!</v>
      </c>
      <c r="FN19" t="e">
        <f>AND(class!G113,"AAAAAH3X36k=")</f>
        <v>#VALUE!</v>
      </c>
      <c r="FO19" t="e">
        <f>AND(class!H113,"AAAAAH3X36o=")</f>
        <v>#VALUE!</v>
      </c>
      <c r="FP19" t="e">
        <f>AND(class!I113,"AAAAAH3X36s=")</f>
        <v>#VALUE!</v>
      </c>
      <c r="FQ19" t="e">
        <f>AND(class!J113,"AAAAAH3X36w=")</f>
        <v>#VALUE!</v>
      </c>
      <c r="FR19" t="e">
        <f>AND(class!K113,"AAAAAH3X360=")</f>
        <v>#VALUE!</v>
      </c>
      <c r="FS19" t="e">
        <f>AND(class!L113,"AAAAAH3X364=")</f>
        <v>#VALUE!</v>
      </c>
      <c r="FT19" t="e">
        <f>AND(class!M113,"AAAAAH3X368=")</f>
        <v>#VALUE!</v>
      </c>
      <c r="FU19" t="e">
        <f>AND(class!N113,"AAAAAH3X37A=")</f>
        <v>#VALUE!</v>
      </c>
      <c r="FV19" t="e">
        <f>AND(class!O113,"AAAAAH3X37E=")</f>
        <v>#VALUE!</v>
      </c>
      <c r="FW19" t="e">
        <f>AND(class!P113,"AAAAAH3X37I=")</f>
        <v>#VALUE!</v>
      </c>
      <c r="FX19" t="e">
        <f>AND(class!Q113,"AAAAAH3X37M=")</f>
        <v>#VALUE!</v>
      </c>
      <c r="FY19" t="e">
        <f>AND(class!R113,"AAAAAH3X37Q=")</f>
        <v>#VALUE!</v>
      </c>
      <c r="FZ19" t="e">
        <f>AND(class!S113,"AAAAAH3X37U=")</f>
        <v>#VALUE!</v>
      </c>
      <c r="GA19" t="e">
        <f>AND(class!T113,"AAAAAH3X37Y=")</f>
        <v>#VALUE!</v>
      </c>
      <c r="GB19" t="e">
        <f>AND(class!U113,"AAAAAH3X37c=")</f>
        <v>#VALUE!</v>
      </c>
      <c r="GC19" t="e">
        <f>AND(class!V113,"AAAAAH3X37g=")</f>
        <v>#VALUE!</v>
      </c>
      <c r="GD19" t="e">
        <f>AND(class!W113,"AAAAAH3X37k=")</f>
        <v>#VALUE!</v>
      </c>
      <c r="GE19" t="e">
        <f>AND(class!X113,"AAAAAH3X37o=")</f>
        <v>#VALUE!</v>
      </c>
      <c r="GF19" t="e">
        <f>AND(class!Y113,"AAAAAH3X37s=")</f>
        <v>#VALUE!</v>
      </c>
      <c r="GG19" t="e">
        <f>AND(class!Z113,"AAAAAH3X37w=")</f>
        <v>#VALUE!</v>
      </c>
      <c r="GH19" t="e">
        <f>AND(class!AA113,"AAAAAH3X370=")</f>
        <v>#VALUE!</v>
      </c>
      <c r="GI19" t="e">
        <f>AND(class!AB113,"AAAAAH3X374=")</f>
        <v>#VALUE!</v>
      </c>
      <c r="GJ19" t="e">
        <f>AND(class!AC113,"AAAAAH3X378=")</f>
        <v>#VALUE!</v>
      </c>
      <c r="GK19">
        <f>IF(class!114:114,"AAAAAH3X38A=",0)</f>
        <v>0</v>
      </c>
      <c r="GL19" t="e">
        <f>AND(class!A114,"AAAAAH3X38E=")</f>
        <v>#VALUE!</v>
      </c>
      <c r="GM19" t="e">
        <f>AND(class!B114,"AAAAAH3X38I=")</f>
        <v>#VALUE!</v>
      </c>
      <c r="GN19" t="e">
        <f>AND(class!C114,"AAAAAH3X38M=")</f>
        <v>#VALUE!</v>
      </c>
      <c r="GO19" t="e">
        <f>AND(class!D114,"AAAAAH3X38Q=")</f>
        <v>#VALUE!</v>
      </c>
      <c r="GP19" t="e">
        <f>AND(class!E114,"AAAAAH3X38U=")</f>
        <v>#VALUE!</v>
      </c>
      <c r="GQ19" t="e">
        <f>AND(class!F114,"AAAAAH3X38Y=")</f>
        <v>#VALUE!</v>
      </c>
      <c r="GR19" t="e">
        <f>AND(class!G114,"AAAAAH3X38c=")</f>
        <v>#VALUE!</v>
      </c>
      <c r="GS19" t="e">
        <f>AND(class!H114,"AAAAAH3X38g=")</f>
        <v>#VALUE!</v>
      </c>
      <c r="GT19" t="e">
        <f>AND(class!I114,"AAAAAH3X38k=")</f>
        <v>#VALUE!</v>
      </c>
      <c r="GU19" t="e">
        <f>AND(class!J114,"AAAAAH3X38o=")</f>
        <v>#VALUE!</v>
      </c>
      <c r="GV19" t="e">
        <f>AND(class!K114,"AAAAAH3X38s=")</f>
        <v>#VALUE!</v>
      </c>
      <c r="GW19" t="e">
        <f>AND(class!L114,"AAAAAH3X38w=")</f>
        <v>#VALUE!</v>
      </c>
      <c r="GX19" t="e">
        <f>AND(class!M114,"AAAAAH3X380=")</f>
        <v>#VALUE!</v>
      </c>
      <c r="GY19" t="e">
        <f>AND(class!N114,"AAAAAH3X384=")</f>
        <v>#VALUE!</v>
      </c>
      <c r="GZ19" t="e">
        <f>AND(class!O114,"AAAAAH3X388=")</f>
        <v>#VALUE!</v>
      </c>
      <c r="HA19" t="e">
        <f>AND(class!P114,"AAAAAH3X39A=")</f>
        <v>#VALUE!</v>
      </c>
      <c r="HB19" t="e">
        <f>AND(class!Q114,"AAAAAH3X39E=")</f>
        <v>#VALUE!</v>
      </c>
      <c r="HC19" t="e">
        <f>AND(class!R114,"AAAAAH3X39I=")</f>
        <v>#VALUE!</v>
      </c>
      <c r="HD19" t="e">
        <f>AND(class!S114,"AAAAAH3X39M=")</f>
        <v>#VALUE!</v>
      </c>
      <c r="HE19" t="e">
        <f>AND(class!T114,"AAAAAH3X39Q=")</f>
        <v>#VALUE!</v>
      </c>
      <c r="HF19" t="e">
        <f>AND(class!U114,"AAAAAH3X39U=")</f>
        <v>#VALUE!</v>
      </c>
      <c r="HG19" t="e">
        <f>AND(class!V114,"AAAAAH3X39Y=")</f>
        <v>#VALUE!</v>
      </c>
      <c r="HH19" t="e">
        <f>AND(class!W114,"AAAAAH3X39c=")</f>
        <v>#VALUE!</v>
      </c>
      <c r="HI19" t="e">
        <f>AND(class!X114,"AAAAAH3X39g=")</f>
        <v>#VALUE!</v>
      </c>
      <c r="HJ19" t="e">
        <f>AND(class!Y114,"AAAAAH3X39k=")</f>
        <v>#VALUE!</v>
      </c>
      <c r="HK19" t="e">
        <f>AND(class!Z114,"AAAAAH3X39o=")</f>
        <v>#VALUE!</v>
      </c>
      <c r="HL19" t="e">
        <f>AND(class!AA114,"AAAAAH3X39s=")</f>
        <v>#VALUE!</v>
      </c>
      <c r="HM19" t="e">
        <f>AND(class!AB114,"AAAAAH3X39w=")</f>
        <v>#VALUE!</v>
      </c>
      <c r="HN19" t="e">
        <f>AND(class!AC114,"AAAAAH3X390=")</f>
        <v>#VALUE!</v>
      </c>
      <c r="HO19">
        <f>IF(class!115:115,"AAAAAH3X394=",0)</f>
        <v>0</v>
      </c>
      <c r="HP19" t="e">
        <f>AND(class!A115,"AAAAAH3X398=")</f>
        <v>#VALUE!</v>
      </c>
      <c r="HQ19" t="e">
        <f>AND(class!B115,"AAAAAH3X3+A=")</f>
        <v>#VALUE!</v>
      </c>
      <c r="HR19" t="e">
        <f>AND(class!C115,"AAAAAH3X3+E=")</f>
        <v>#VALUE!</v>
      </c>
      <c r="HS19" t="e">
        <f>AND(class!D115,"AAAAAH3X3+I=")</f>
        <v>#VALUE!</v>
      </c>
      <c r="HT19" t="e">
        <f>AND(class!E115,"AAAAAH3X3+M=")</f>
        <v>#VALUE!</v>
      </c>
      <c r="HU19" t="e">
        <f>AND(class!F115,"AAAAAH3X3+Q=")</f>
        <v>#VALUE!</v>
      </c>
      <c r="HV19" t="e">
        <f>AND(class!G115,"AAAAAH3X3+U=")</f>
        <v>#VALUE!</v>
      </c>
      <c r="HW19" t="e">
        <f>AND(class!H115,"AAAAAH3X3+Y=")</f>
        <v>#VALUE!</v>
      </c>
      <c r="HX19" t="e">
        <f>AND(class!I115,"AAAAAH3X3+c=")</f>
        <v>#VALUE!</v>
      </c>
      <c r="HY19" t="e">
        <f>AND(class!J115,"AAAAAH3X3+g=")</f>
        <v>#VALUE!</v>
      </c>
      <c r="HZ19" t="e">
        <f>AND(class!K115,"AAAAAH3X3+k=")</f>
        <v>#VALUE!</v>
      </c>
      <c r="IA19" t="e">
        <f>AND(class!L115,"AAAAAH3X3+o=")</f>
        <v>#VALUE!</v>
      </c>
      <c r="IB19" t="e">
        <f>AND(class!M115,"AAAAAH3X3+s=")</f>
        <v>#VALUE!</v>
      </c>
      <c r="IC19" t="e">
        <f>AND(class!N115,"AAAAAH3X3+w=")</f>
        <v>#VALUE!</v>
      </c>
      <c r="ID19" t="e">
        <f>AND(class!O115,"AAAAAH3X3+0=")</f>
        <v>#VALUE!</v>
      </c>
      <c r="IE19" t="e">
        <f>AND(class!P115,"AAAAAH3X3+4=")</f>
        <v>#VALUE!</v>
      </c>
      <c r="IF19" t="e">
        <f>AND(class!Q115,"AAAAAH3X3+8=")</f>
        <v>#VALUE!</v>
      </c>
      <c r="IG19" t="e">
        <f>AND(class!R115,"AAAAAH3X3/A=")</f>
        <v>#VALUE!</v>
      </c>
      <c r="IH19" t="e">
        <f>AND(class!S115,"AAAAAH3X3/E=")</f>
        <v>#VALUE!</v>
      </c>
      <c r="II19" t="e">
        <f>AND(class!T115,"AAAAAH3X3/I=")</f>
        <v>#VALUE!</v>
      </c>
      <c r="IJ19" t="e">
        <f>AND(class!U115,"AAAAAH3X3/M=")</f>
        <v>#VALUE!</v>
      </c>
      <c r="IK19" t="e">
        <f>AND(class!V115,"AAAAAH3X3/Q=")</f>
        <v>#VALUE!</v>
      </c>
      <c r="IL19" t="e">
        <f>AND(class!W115,"AAAAAH3X3/U=")</f>
        <v>#VALUE!</v>
      </c>
      <c r="IM19" t="e">
        <f>AND(class!X115,"AAAAAH3X3/Y=")</f>
        <v>#VALUE!</v>
      </c>
      <c r="IN19" t="e">
        <f>AND(class!Y115,"AAAAAH3X3/c=")</f>
        <v>#VALUE!</v>
      </c>
      <c r="IO19" t="e">
        <f>AND(class!Z115,"AAAAAH3X3/g=")</f>
        <v>#VALUE!</v>
      </c>
      <c r="IP19" t="e">
        <f>AND(class!AA115,"AAAAAH3X3/k=")</f>
        <v>#VALUE!</v>
      </c>
      <c r="IQ19" t="e">
        <f>AND(class!AB115,"AAAAAH3X3/o=")</f>
        <v>#VALUE!</v>
      </c>
      <c r="IR19" t="e">
        <f>AND(class!AC115,"AAAAAH3X3/s=")</f>
        <v>#VALUE!</v>
      </c>
      <c r="IS19">
        <f>IF(class!116:116,"AAAAAH3X3/w=",0)</f>
        <v>0</v>
      </c>
      <c r="IT19" t="e">
        <f>AND(class!A116,"AAAAAH3X3/0=")</f>
        <v>#VALUE!</v>
      </c>
      <c r="IU19" t="e">
        <f>AND(class!B116,"AAAAAH3X3/4=")</f>
        <v>#VALUE!</v>
      </c>
      <c r="IV19" t="e">
        <f>AND(class!C116,"AAAAAH3X3/8=")</f>
        <v>#VALUE!</v>
      </c>
    </row>
    <row r="20" spans="1:256" x14ac:dyDescent="0.2">
      <c r="A20" t="e">
        <f>AND(class!D116,"AAAAAH/ffwA=")</f>
        <v>#VALUE!</v>
      </c>
      <c r="B20" t="e">
        <f>AND(class!E116,"AAAAAH/ffwE=")</f>
        <v>#VALUE!</v>
      </c>
      <c r="C20" t="e">
        <f>AND(class!F116,"AAAAAH/ffwI=")</f>
        <v>#VALUE!</v>
      </c>
      <c r="D20" t="e">
        <f>AND(class!G116,"AAAAAH/ffwM=")</f>
        <v>#VALUE!</v>
      </c>
      <c r="E20" t="e">
        <f>AND(class!H116,"AAAAAH/ffwQ=")</f>
        <v>#VALUE!</v>
      </c>
      <c r="F20" t="e">
        <f>AND(class!I116,"AAAAAH/ffwU=")</f>
        <v>#VALUE!</v>
      </c>
      <c r="G20" t="e">
        <f>AND(class!J116,"AAAAAH/ffwY=")</f>
        <v>#VALUE!</v>
      </c>
      <c r="H20" t="e">
        <f>AND(class!K116,"AAAAAH/ffwc=")</f>
        <v>#VALUE!</v>
      </c>
      <c r="I20" t="e">
        <f>AND(class!L116,"AAAAAH/ffwg=")</f>
        <v>#VALUE!</v>
      </c>
      <c r="J20" t="e">
        <f>AND(class!M116,"AAAAAH/ffwk=")</f>
        <v>#VALUE!</v>
      </c>
      <c r="K20" t="e">
        <f>AND(class!N116,"AAAAAH/ffwo=")</f>
        <v>#VALUE!</v>
      </c>
      <c r="L20" t="e">
        <f>AND(class!O116,"AAAAAH/ffws=")</f>
        <v>#VALUE!</v>
      </c>
      <c r="M20" t="e">
        <f>AND(class!P116,"AAAAAH/ffww=")</f>
        <v>#VALUE!</v>
      </c>
      <c r="N20" t="e">
        <f>AND(class!Q116,"AAAAAH/ffw0=")</f>
        <v>#VALUE!</v>
      </c>
      <c r="O20" t="e">
        <f>AND(class!R116,"AAAAAH/ffw4=")</f>
        <v>#VALUE!</v>
      </c>
      <c r="P20" t="e">
        <f>AND(class!S116,"AAAAAH/ffw8=")</f>
        <v>#VALUE!</v>
      </c>
      <c r="Q20" t="e">
        <f>AND(class!T116,"AAAAAH/ffxA=")</f>
        <v>#VALUE!</v>
      </c>
      <c r="R20" t="e">
        <f>AND(class!U116,"AAAAAH/ffxE=")</f>
        <v>#VALUE!</v>
      </c>
      <c r="S20" t="e">
        <f>AND(class!V116,"AAAAAH/ffxI=")</f>
        <v>#VALUE!</v>
      </c>
      <c r="T20" t="e">
        <f>AND(class!W116,"AAAAAH/ffxM=")</f>
        <v>#VALUE!</v>
      </c>
      <c r="U20" t="e">
        <f>AND(class!X116,"AAAAAH/ffxQ=")</f>
        <v>#VALUE!</v>
      </c>
      <c r="V20" t="e">
        <f>AND(class!Y116,"AAAAAH/ffxU=")</f>
        <v>#VALUE!</v>
      </c>
      <c r="W20" t="e">
        <f>AND(class!Z116,"AAAAAH/ffxY=")</f>
        <v>#VALUE!</v>
      </c>
      <c r="X20" t="e">
        <f>AND(class!AA116,"AAAAAH/ffxc=")</f>
        <v>#VALUE!</v>
      </c>
      <c r="Y20" t="e">
        <f>AND(class!AB116,"AAAAAH/ffxg=")</f>
        <v>#VALUE!</v>
      </c>
      <c r="Z20" t="e">
        <f>AND(class!AC116,"AAAAAH/ffxk=")</f>
        <v>#VALUE!</v>
      </c>
      <c r="AA20">
        <f>IF(class!117:117,"AAAAAH/ffxo=",0)</f>
        <v>0</v>
      </c>
      <c r="AB20" t="e">
        <f>AND(class!A117,"AAAAAH/ffxs=")</f>
        <v>#VALUE!</v>
      </c>
      <c r="AC20" t="e">
        <f>AND(class!B117,"AAAAAH/ffxw=")</f>
        <v>#VALUE!</v>
      </c>
      <c r="AD20" t="e">
        <f>AND(class!C117,"AAAAAH/ffx0=")</f>
        <v>#VALUE!</v>
      </c>
      <c r="AE20" t="e">
        <f>AND(class!D117,"AAAAAH/ffx4=")</f>
        <v>#VALUE!</v>
      </c>
      <c r="AF20" t="e">
        <f>AND(class!E117,"AAAAAH/ffx8=")</f>
        <v>#VALUE!</v>
      </c>
      <c r="AG20" t="e">
        <f>AND(class!F117,"AAAAAH/ffyA=")</f>
        <v>#VALUE!</v>
      </c>
      <c r="AH20" t="e">
        <f>AND(class!G117,"AAAAAH/ffyE=")</f>
        <v>#VALUE!</v>
      </c>
      <c r="AI20" t="e">
        <f>AND(class!H117,"AAAAAH/ffyI=")</f>
        <v>#VALUE!</v>
      </c>
      <c r="AJ20" t="e">
        <f>AND(class!I117,"AAAAAH/ffyM=")</f>
        <v>#VALUE!</v>
      </c>
      <c r="AK20" t="e">
        <f>AND(class!J117,"AAAAAH/ffyQ=")</f>
        <v>#VALUE!</v>
      </c>
      <c r="AL20" t="e">
        <f>AND(class!K117,"AAAAAH/ffyU=")</f>
        <v>#VALUE!</v>
      </c>
      <c r="AM20" t="e">
        <f>AND(class!L117,"AAAAAH/ffyY=")</f>
        <v>#VALUE!</v>
      </c>
      <c r="AN20" t="e">
        <f>AND(class!M117,"AAAAAH/ffyc=")</f>
        <v>#VALUE!</v>
      </c>
      <c r="AO20" t="e">
        <f>AND(class!N117,"AAAAAH/ffyg=")</f>
        <v>#VALUE!</v>
      </c>
      <c r="AP20" t="e">
        <f>AND(class!O117,"AAAAAH/ffyk=")</f>
        <v>#VALUE!</v>
      </c>
      <c r="AQ20" t="e">
        <f>AND(class!P117,"AAAAAH/ffyo=")</f>
        <v>#VALUE!</v>
      </c>
      <c r="AR20" t="e">
        <f>AND(class!Q117,"AAAAAH/ffys=")</f>
        <v>#VALUE!</v>
      </c>
      <c r="AS20" t="e">
        <f>AND(class!R117,"AAAAAH/ffyw=")</f>
        <v>#VALUE!</v>
      </c>
      <c r="AT20" t="e">
        <f>AND(class!S117,"AAAAAH/ffy0=")</f>
        <v>#VALUE!</v>
      </c>
      <c r="AU20" t="e">
        <f>AND(class!T117,"AAAAAH/ffy4=")</f>
        <v>#VALUE!</v>
      </c>
      <c r="AV20" t="e">
        <f>AND(class!U117,"AAAAAH/ffy8=")</f>
        <v>#VALUE!</v>
      </c>
      <c r="AW20" t="e">
        <f>AND(class!V117,"AAAAAH/ffzA=")</f>
        <v>#VALUE!</v>
      </c>
      <c r="AX20" t="e">
        <f>AND(class!W117,"AAAAAH/ffzE=")</f>
        <v>#VALUE!</v>
      </c>
      <c r="AY20" t="e">
        <f>AND(class!X117,"AAAAAH/ffzI=")</f>
        <v>#VALUE!</v>
      </c>
      <c r="AZ20" t="e">
        <f>AND(class!Y117,"AAAAAH/ffzM=")</f>
        <v>#VALUE!</v>
      </c>
      <c r="BA20" t="e">
        <f>AND(class!Z117,"AAAAAH/ffzQ=")</f>
        <v>#VALUE!</v>
      </c>
      <c r="BB20" t="e">
        <f>AND(class!AA117,"AAAAAH/ffzU=")</f>
        <v>#VALUE!</v>
      </c>
      <c r="BC20" t="e">
        <f>AND(class!AB117,"AAAAAH/ffzY=")</f>
        <v>#VALUE!</v>
      </c>
      <c r="BD20" t="e">
        <f>AND(class!AC117,"AAAAAH/ffzc=")</f>
        <v>#VALUE!</v>
      </c>
      <c r="BE20">
        <f>IF(class!118:118,"AAAAAH/ffzg=",0)</f>
        <v>0</v>
      </c>
      <c r="BF20" t="e">
        <f>AND(class!A118,"AAAAAH/ffzk=")</f>
        <v>#VALUE!</v>
      </c>
      <c r="BG20" t="e">
        <f>AND(class!B118,"AAAAAH/ffzo=")</f>
        <v>#VALUE!</v>
      </c>
      <c r="BH20" t="e">
        <f>AND(class!C118,"AAAAAH/ffzs=")</f>
        <v>#VALUE!</v>
      </c>
      <c r="BI20" t="e">
        <f>AND(class!D118,"AAAAAH/ffzw=")</f>
        <v>#VALUE!</v>
      </c>
      <c r="BJ20" t="e">
        <f>AND(class!E118,"AAAAAH/ffz0=")</f>
        <v>#VALUE!</v>
      </c>
      <c r="BK20" t="e">
        <f>AND(class!F118,"AAAAAH/ffz4=")</f>
        <v>#VALUE!</v>
      </c>
      <c r="BL20" t="e">
        <f>AND(class!G118,"AAAAAH/ffz8=")</f>
        <v>#VALUE!</v>
      </c>
      <c r="BM20" t="e">
        <f>AND(class!H118,"AAAAAH/ff0A=")</f>
        <v>#VALUE!</v>
      </c>
      <c r="BN20" t="e">
        <f>AND(class!I118,"AAAAAH/ff0E=")</f>
        <v>#VALUE!</v>
      </c>
      <c r="BO20" t="e">
        <f>AND(class!J118,"AAAAAH/ff0I=")</f>
        <v>#VALUE!</v>
      </c>
      <c r="BP20" t="e">
        <f>AND(class!K118,"AAAAAH/ff0M=")</f>
        <v>#VALUE!</v>
      </c>
      <c r="BQ20" t="e">
        <f>AND(class!L118,"AAAAAH/ff0Q=")</f>
        <v>#VALUE!</v>
      </c>
      <c r="BR20" t="e">
        <f>AND(class!M118,"AAAAAH/ff0U=")</f>
        <v>#VALUE!</v>
      </c>
      <c r="BS20" t="e">
        <f>AND(class!N118,"AAAAAH/ff0Y=")</f>
        <v>#VALUE!</v>
      </c>
      <c r="BT20" t="e">
        <f>AND(class!O118,"AAAAAH/ff0c=")</f>
        <v>#VALUE!</v>
      </c>
      <c r="BU20" t="e">
        <f>AND(class!P118,"AAAAAH/ff0g=")</f>
        <v>#VALUE!</v>
      </c>
      <c r="BV20" t="e">
        <f>AND(class!Q118,"AAAAAH/ff0k=")</f>
        <v>#VALUE!</v>
      </c>
      <c r="BW20" t="e">
        <f>AND(class!R118,"AAAAAH/ff0o=")</f>
        <v>#VALUE!</v>
      </c>
      <c r="BX20" t="e">
        <f>AND(class!S118,"AAAAAH/ff0s=")</f>
        <v>#VALUE!</v>
      </c>
      <c r="BY20" t="e">
        <f>AND(class!T118,"AAAAAH/ff0w=")</f>
        <v>#VALUE!</v>
      </c>
      <c r="BZ20" t="e">
        <f>AND(class!U118,"AAAAAH/ff00=")</f>
        <v>#VALUE!</v>
      </c>
      <c r="CA20" t="e">
        <f>AND(class!V118,"AAAAAH/ff04=")</f>
        <v>#VALUE!</v>
      </c>
      <c r="CB20" t="e">
        <f>AND(class!W118,"AAAAAH/ff08=")</f>
        <v>#VALUE!</v>
      </c>
      <c r="CC20" t="e">
        <f>AND(class!X118,"AAAAAH/ff1A=")</f>
        <v>#VALUE!</v>
      </c>
      <c r="CD20" t="e">
        <f>AND(class!Y118,"AAAAAH/ff1E=")</f>
        <v>#VALUE!</v>
      </c>
      <c r="CE20" t="e">
        <f>AND(class!Z118,"AAAAAH/ff1I=")</f>
        <v>#VALUE!</v>
      </c>
      <c r="CF20" t="e">
        <f>AND(class!AA118,"AAAAAH/ff1M=")</f>
        <v>#VALUE!</v>
      </c>
      <c r="CG20" t="e">
        <f>AND(class!AB118,"AAAAAH/ff1Q=")</f>
        <v>#VALUE!</v>
      </c>
      <c r="CH20" t="e">
        <f>AND(class!AC118,"AAAAAH/ff1U=")</f>
        <v>#VALUE!</v>
      </c>
      <c r="CI20">
        <f>IF(class!119:119,"AAAAAH/ff1Y=",0)</f>
        <v>0</v>
      </c>
      <c r="CJ20" t="e">
        <f>AND(class!A119,"AAAAAH/ff1c=")</f>
        <v>#VALUE!</v>
      </c>
      <c r="CK20" t="e">
        <f>AND(class!B119,"AAAAAH/ff1g=")</f>
        <v>#VALUE!</v>
      </c>
      <c r="CL20" t="e">
        <f>AND(class!C119,"AAAAAH/ff1k=")</f>
        <v>#VALUE!</v>
      </c>
      <c r="CM20" t="e">
        <f>AND(class!D119,"AAAAAH/ff1o=")</f>
        <v>#VALUE!</v>
      </c>
      <c r="CN20" t="e">
        <f>AND(class!E119,"AAAAAH/ff1s=")</f>
        <v>#VALUE!</v>
      </c>
      <c r="CO20" t="e">
        <f>AND(class!F119,"AAAAAH/ff1w=")</f>
        <v>#VALUE!</v>
      </c>
      <c r="CP20" t="e">
        <f>AND(class!G119,"AAAAAH/ff10=")</f>
        <v>#VALUE!</v>
      </c>
      <c r="CQ20" t="e">
        <f>AND(class!H119,"AAAAAH/ff14=")</f>
        <v>#VALUE!</v>
      </c>
      <c r="CR20" t="e">
        <f>AND(class!I119,"AAAAAH/ff18=")</f>
        <v>#VALUE!</v>
      </c>
      <c r="CS20" t="e">
        <f>AND(class!J119,"AAAAAH/ff2A=")</f>
        <v>#VALUE!</v>
      </c>
      <c r="CT20" t="e">
        <f>AND(class!K119,"AAAAAH/ff2E=")</f>
        <v>#VALUE!</v>
      </c>
      <c r="CU20" t="e">
        <f>AND(class!L119,"AAAAAH/ff2I=")</f>
        <v>#VALUE!</v>
      </c>
      <c r="CV20" t="e">
        <f>AND(class!M119,"AAAAAH/ff2M=")</f>
        <v>#VALUE!</v>
      </c>
      <c r="CW20" t="e">
        <f>AND(class!N119,"AAAAAH/ff2Q=")</f>
        <v>#VALUE!</v>
      </c>
      <c r="CX20" t="e">
        <f>AND(class!O119,"AAAAAH/ff2U=")</f>
        <v>#VALUE!</v>
      </c>
      <c r="CY20" t="e">
        <f>AND(class!P119,"AAAAAH/ff2Y=")</f>
        <v>#VALUE!</v>
      </c>
      <c r="CZ20" t="e">
        <f>AND(class!Q119,"AAAAAH/ff2c=")</f>
        <v>#VALUE!</v>
      </c>
      <c r="DA20" t="e">
        <f>AND(class!R119,"AAAAAH/ff2g=")</f>
        <v>#VALUE!</v>
      </c>
      <c r="DB20" t="e">
        <f>AND(class!S119,"AAAAAH/ff2k=")</f>
        <v>#VALUE!</v>
      </c>
      <c r="DC20" t="e">
        <f>AND(class!T119,"AAAAAH/ff2o=")</f>
        <v>#VALUE!</v>
      </c>
      <c r="DD20" t="e">
        <f>AND(class!U119,"AAAAAH/ff2s=")</f>
        <v>#VALUE!</v>
      </c>
      <c r="DE20" t="e">
        <f>AND(class!V119,"AAAAAH/ff2w=")</f>
        <v>#VALUE!</v>
      </c>
      <c r="DF20" t="e">
        <f>AND(class!W119,"AAAAAH/ff20=")</f>
        <v>#VALUE!</v>
      </c>
      <c r="DG20" t="e">
        <f>AND(class!X119,"AAAAAH/ff24=")</f>
        <v>#VALUE!</v>
      </c>
      <c r="DH20" t="e">
        <f>AND(class!Y119,"AAAAAH/ff28=")</f>
        <v>#VALUE!</v>
      </c>
      <c r="DI20" t="e">
        <f>AND(class!Z119,"AAAAAH/ff3A=")</f>
        <v>#VALUE!</v>
      </c>
      <c r="DJ20" t="e">
        <f>AND(class!AA119,"AAAAAH/ff3E=")</f>
        <v>#VALUE!</v>
      </c>
      <c r="DK20" t="e">
        <f>AND(class!AB119,"AAAAAH/ff3I=")</f>
        <v>#VALUE!</v>
      </c>
      <c r="DL20" t="e">
        <f>AND(class!AC119,"AAAAAH/ff3M=")</f>
        <v>#VALUE!</v>
      </c>
      <c r="DM20">
        <f>IF(class!120:120,"AAAAAH/ff3Q=",0)</f>
        <v>0</v>
      </c>
      <c r="DN20" t="e">
        <f>AND(class!A120,"AAAAAH/ff3U=")</f>
        <v>#VALUE!</v>
      </c>
      <c r="DO20" t="e">
        <f>AND(class!B120,"AAAAAH/ff3Y=")</f>
        <v>#VALUE!</v>
      </c>
      <c r="DP20" t="e">
        <f>AND(class!C120,"AAAAAH/ff3c=")</f>
        <v>#VALUE!</v>
      </c>
      <c r="DQ20" t="e">
        <f>AND(class!D120,"AAAAAH/ff3g=")</f>
        <v>#VALUE!</v>
      </c>
      <c r="DR20" t="e">
        <f>AND(class!E120,"AAAAAH/ff3k=")</f>
        <v>#VALUE!</v>
      </c>
      <c r="DS20" t="e">
        <f>AND(class!F120,"AAAAAH/ff3o=")</f>
        <v>#VALUE!</v>
      </c>
      <c r="DT20" t="e">
        <f>AND(class!G120,"AAAAAH/ff3s=")</f>
        <v>#VALUE!</v>
      </c>
      <c r="DU20" t="e">
        <f>AND(class!H120,"AAAAAH/ff3w=")</f>
        <v>#VALUE!</v>
      </c>
      <c r="DV20" t="e">
        <f>AND(class!I120,"AAAAAH/ff30=")</f>
        <v>#VALUE!</v>
      </c>
      <c r="DW20" t="e">
        <f>AND(class!J120,"AAAAAH/ff34=")</f>
        <v>#VALUE!</v>
      </c>
      <c r="DX20" t="e">
        <f>AND(class!K120,"AAAAAH/ff38=")</f>
        <v>#VALUE!</v>
      </c>
      <c r="DY20" t="e">
        <f>AND(class!L120,"AAAAAH/ff4A=")</f>
        <v>#VALUE!</v>
      </c>
      <c r="DZ20" t="e">
        <f>AND(class!M120,"AAAAAH/ff4E=")</f>
        <v>#VALUE!</v>
      </c>
      <c r="EA20" t="e">
        <f>AND(class!N120,"AAAAAH/ff4I=")</f>
        <v>#VALUE!</v>
      </c>
      <c r="EB20" t="e">
        <f>AND(class!O120,"AAAAAH/ff4M=")</f>
        <v>#VALUE!</v>
      </c>
      <c r="EC20" t="e">
        <f>AND(class!P120,"AAAAAH/ff4Q=")</f>
        <v>#VALUE!</v>
      </c>
      <c r="ED20" t="e">
        <f>AND(class!Q120,"AAAAAH/ff4U=")</f>
        <v>#VALUE!</v>
      </c>
      <c r="EE20" t="e">
        <f>AND(class!R120,"AAAAAH/ff4Y=")</f>
        <v>#VALUE!</v>
      </c>
      <c r="EF20" t="e">
        <f>AND(class!S120,"AAAAAH/ff4c=")</f>
        <v>#VALUE!</v>
      </c>
      <c r="EG20" t="e">
        <f>AND(class!T120,"AAAAAH/ff4g=")</f>
        <v>#VALUE!</v>
      </c>
      <c r="EH20" t="e">
        <f>AND(class!U120,"AAAAAH/ff4k=")</f>
        <v>#VALUE!</v>
      </c>
      <c r="EI20" t="e">
        <f>AND(class!V120,"AAAAAH/ff4o=")</f>
        <v>#VALUE!</v>
      </c>
      <c r="EJ20" t="e">
        <f>AND(class!W120,"AAAAAH/ff4s=")</f>
        <v>#VALUE!</v>
      </c>
      <c r="EK20" t="e">
        <f>AND(class!X120,"AAAAAH/ff4w=")</f>
        <v>#VALUE!</v>
      </c>
      <c r="EL20" t="e">
        <f>AND(class!Y120,"AAAAAH/ff40=")</f>
        <v>#VALUE!</v>
      </c>
      <c r="EM20" t="e">
        <f>AND(class!Z120,"AAAAAH/ff44=")</f>
        <v>#VALUE!</v>
      </c>
      <c r="EN20" t="e">
        <f>AND(class!AA120,"AAAAAH/ff48=")</f>
        <v>#VALUE!</v>
      </c>
      <c r="EO20" t="e">
        <f>AND(class!AB120,"AAAAAH/ff5A=")</f>
        <v>#VALUE!</v>
      </c>
      <c r="EP20" t="e">
        <f>AND(class!AC120,"AAAAAH/ff5E=")</f>
        <v>#VALUE!</v>
      </c>
      <c r="EQ20">
        <f>IF(class!121:121,"AAAAAH/ff5I=",0)</f>
        <v>0</v>
      </c>
      <c r="ER20" t="e">
        <f>AND(class!A121,"AAAAAH/ff5M=")</f>
        <v>#VALUE!</v>
      </c>
      <c r="ES20" t="e">
        <f>AND(class!B121,"AAAAAH/ff5Q=")</f>
        <v>#VALUE!</v>
      </c>
      <c r="ET20" t="e">
        <f>AND(class!C121,"AAAAAH/ff5U=")</f>
        <v>#VALUE!</v>
      </c>
      <c r="EU20" t="e">
        <f>AND(class!D121,"AAAAAH/ff5Y=")</f>
        <v>#VALUE!</v>
      </c>
      <c r="EV20" t="e">
        <f>AND(class!E121,"AAAAAH/ff5c=")</f>
        <v>#VALUE!</v>
      </c>
      <c r="EW20" t="e">
        <f>AND(class!F121,"AAAAAH/ff5g=")</f>
        <v>#VALUE!</v>
      </c>
      <c r="EX20" t="e">
        <f>AND(class!G121,"AAAAAH/ff5k=")</f>
        <v>#VALUE!</v>
      </c>
      <c r="EY20" t="e">
        <f>AND(class!H121,"AAAAAH/ff5o=")</f>
        <v>#VALUE!</v>
      </c>
      <c r="EZ20" t="e">
        <f>AND(class!I121,"AAAAAH/ff5s=")</f>
        <v>#VALUE!</v>
      </c>
      <c r="FA20" t="e">
        <f>AND(class!J121,"AAAAAH/ff5w=")</f>
        <v>#VALUE!</v>
      </c>
      <c r="FB20" t="e">
        <f>AND(class!K121,"AAAAAH/ff50=")</f>
        <v>#VALUE!</v>
      </c>
      <c r="FC20" t="e">
        <f>AND(class!L121,"AAAAAH/ff54=")</f>
        <v>#VALUE!</v>
      </c>
      <c r="FD20" t="e">
        <f>AND(class!M121,"AAAAAH/ff58=")</f>
        <v>#VALUE!</v>
      </c>
      <c r="FE20" t="e">
        <f>AND(class!N121,"AAAAAH/ff6A=")</f>
        <v>#VALUE!</v>
      </c>
      <c r="FF20" t="e">
        <f>AND(class!O121,"AAAAAH/ff6E=")</f>
        <v>#VALUE!</v>
      </c>
      <c r="FG20" t="e">
        <f>AND(class!P121,"AAAAAH/ff6I=")</f>
        <v>#VALUE!</v>
      </c>
      <c r="FH20" t="e">
        <f>AND(class!Q121,"AAAAAH/ff6M=")</f>
        <v>#VALUE!</v>
      </c>
      <c r="FI20" t="e">
        <f>AND(class!R121,"AAAAAH/ff6Q=")</f>
        <v>#VALUE!</v>
      </c>
      <c r="FJ20" t="e">
        <f>AND(class!S121,"AAAAAH/ff6U=")</f>
        <v>#VALUE!</v>
      </c>
      <c r="FK20" t="e">
        <f>AND(class!T121,"AAAAAH/ff6Y=")</f>
        <v>#VALUE!</v>
      </c>
      <c r="FL20" t="e">
        <f>AND(class!U121,"AAAAAH/ff6c=")</f>
        <v>#VALUE!</v>
      </c>
      <c r="FM20" t="e">
        <f>AND(class!V121,"AAAAAH/ff6g=")</f>
        <v>#VALUE!</v>
      </c>
      <c r="FN20" t="e">
        <f>AND(class!W121,"AAAAAH/ff6k=")</f>
        <v>#VALUE!</v>
      </c>
      <c r="FO20" t="e">
        <f>AND(class!X121,"AAAAAH/ff6o=")</f>
        <v>#VALUE!</v>
      </c>
      <c r="FP20" t="e">
        <f>AND(class!Y121,"AAAAAH/ff6s=")</f>
        <v>#VALUE!</v>
      </c>
      <c r="FQ20" t="e">
        <f>AND(class!Z121,"AAAAAH/ff6w=")</f>
        <v>#VALUE!</v>
      </c>
      <c r="FR20" t="e">
        <f>AND(class!AA121,"AAAAAH/ff60=")</f>
        <v>#VALUE!</v>
      </c>
      <c r="FS20" t="e">
        <f>AND(class!AB121,"AAAAAH/ff64=")</f>
        <v>#VALUE!</v>
      </c>
      <c r="FT20" t="e">
        <f>AND(class!AC121,"AAAAAH/ff68=")</f>
        <v>#VALUE!</v>
      </c>
      <c r="FU20">
        <f>IF(class!122:122,"AAAAAH/ff7A=",0)</f>
        <v>0</v>
      </c>
      <c r="FV20" t="e">
        <f>AND(class!A122,"AAAAAH/ff7E=")</f>
        <v>#VALUE!</v>
      </c>
      <c r="FW20" t="e">
        <f>AND(class!B122,"AAAAAH/ff7I=")</f>
        <v>#VALUE!</v>
      </c>
      <c r="FX20" t="e">
        <f>AND(class!C122,"AAAAAH/ff7M=")</f>
        <v>#VALUE!</v>
      </c>
      <c r="FY20" t="e">
        <f>AND(class!D122,"AAAAAH/ff7Q=")</f>
        <v>#VALUE!</v>
      </c>
      <c r="FZ20" t="e">
        <f>AND(class!E122,"AAAAAH/ff7U=")</f>
        <v>#VALUE!</v>
      </c>
      <c r="GA20" t="e">
        <f>AND(class!F122,"AAAAAH/ff7Y=")</f>
        <v>#VALUE!</v>
      </c>
      <c r="GB20" t="e">
        <f>AND(class!G122,"AAAAAH/ff7c=")</f>
        <v>#VALUE!</v>
      </c>
      <c r="GC20" t="e">
        <f>AND(class!H122,"AAAAAH/ff7g=")</f>
        <v>#VALUE!</v>
      </c>
      <c r="GD20" t="e">
        <f>AND(class!I122,"AAAAAH/ff7k=")</f>
        <v>#VALUE!</v>
      </c>
      <c r="GE20" t="e">
        <f>AND(class!J122,"AAAAAH/ff7o=")</f>
        <v>#VALUE!</v>
      </c>
      <c r="GF20" t="e">
        <f>AND(class!K122,"AAAAAH/ff7s=")</f>
        <v>#VALUE!</v>
      </c>
      <c r="GG20" t="e">
        <f>AND(class!L122,"AAAAAH/ff7w=")</f>
        <v>#VALUE!</v>
      </c>
      <c r="GH20" t="e">
        <f>AND(class!M122,"AAAAAH/ff70=")</f>
        <v>#VALUE!</v>
      </c>
      <c r="GI20" t="e">
        <f>AND(class!N122,"AAAAAH/ff74=")</f>
        <v>#VALUE!</v>
      </c>
      <c r="GJ20" t="e">
        <f>AND(class!O122,"AAAAAH/ff78=")</f>
        <v>#VALUE!</v>
      </c>
      <c r="GK20" t="e">
        <f>AND(class!P122,"AAAAAH/ff8A=")</f>
        <v>#VALUE!</v>
      </c>
      <c r="GL20" t="e">
        <f>AND(class!Q122,"AAAAAH/ff8E=")</f>
        <v>#VALUE!</v>
      </c>
      <c r="GM20" t="e">
        <f>AND(class!R122,"AAAAAH/ff8I=")</f>
        <v>#VALUE!</v>
      </c>
      <c r="GN20" t="e">
        <f>AND(class!S122,"AAAAAH/ff8M=")</f>
        <v>#VALUE!</v>
      </c>
      <c r="GO20" t="e">
        <f>AND(class!T122,"AAAAAH/ff8Q=")</f>
        <v>#VALUE!</v>
      </c>
      <c r="GP20" t="e">
        <f>AND(class!U122,"AAAAAH/ff8U=")</f>
        <v>#VALUE!</v>
      </c>
      <c r="GQ20" t="e">
        <f>AND(class!V122,"AAAAAH/ff8Y=")</f>
        <v>#VALUE!</v>
      </c>
      <c r="GR20" t="e">
        <f>AND(class!W122,"AAAAAH/ff8c=")</f>
        <v>#VALUE!</v>
      </c>
      <c r="GS20" t="e">
        <f>AND(class!X122,"AAAAAH/ff8g=")</f>
        <v>#VALUE!</v>
      </c>
      <c r="GT20" t="e">
        <f>AND(class!Y122,"AAAAAH/ff8k=")</f>
        <v>#VALUE!</v>
      </c>
      <c r="GU20" t="e">
        <f>AND(class!Z122,"AAAAAH/ff8o=")</f>
        <v>#VALUE!</v>
      </c>
      <c r="GV20" t="e">
        <f>AND(class!AA122,"AAAAAH/ff8s=")</f>
        <v>#VALUE!</v>
      </c>
      <c r="GW20" t="e">
        <f>AND(class!AB122,"AAAAAH/ff8w=")</f>
        <v>#VALUE!</v>
      </c>
      <c r="GX20" t="e">
        <f>AND(class!AC122,"AAAAAH/ff80=")</f>
        <v>#VALUE!</v>
      </c>
      <c r="GY20">
        <f>IF(class!123:123,"AAAAAH/ff84=",0)</f>
        <v>0</v>
      </c>
      <c r="GZ20" t="e">
        <f>AND(class!A123,"AAAAAH/ff88=")</f>
        <v>#VALUE!</v>
      </c>
      <c r="HA20" t="e">
        <f>AND(class!B123,"AAAAAH/ff9A=")</f>
        <v>#VALUE!</v>
      </c>
      <c r="HB20" t="e">
        <f>AND(class!C123,"AAAAAH/ff9E=")</f>
        <v>#VALUE!</v>
      </c>
      <c r="HC20" t="e">
        <f>AND(class!D123,"AAAAAH/ff9I=")</f>
        <v>#VALUE!</v>
      </c>
      <c r="HD20" t="e">
        <f>AND(class!E123,"AAAAAH/ff9M=")</f>
        <v>#VALUE!</v>
      </c>
      <c r="HE20" t="e">
        <f>AND(class!F123,"AAAAAH/ff9Q=")</f>
        <v>#VALUE!</v>
      </c>
      <c r="HF20" t="e">
        <f>AND(class!G123,"AAAAAH/ff9U=")</f>
        <v>#VALUE!</v>
      </c>
      <c r="HG20" t="e">
        <f>AND(class!H123,"AAAAAH/ff9Y=")</f>
        <v>#VALUE!</v>
      </c>
      <c r="HH20" t="e">
        <f>AND(class!I123,"AAAAAH/ff9c=")</f>
        <v>#VALUE!</v>
      </c>
      <c r="HI20" t="e">
        <f>AND(class!J123,"AAAAAH/ff9g=")</f>
        <v>#VALUE!</v>
      </c>
      <c r="HJ20" t="e">
        <f>AND(class!K123,"AAAAAH/ff9k=")</f>
        <v>#VALUE!</v>
      </c>
      <c r="HK20" t="e">
        <f>AND(class!L123,"AAAAAH/ff9o=")</f>
        <v>#VALUE!</v>
      </c>
      <c r="HL20" t="e">
        <f>AND(class!M123,"AAAAAH/ff9s=")</f>
        <v>#VALUE!</v>
      </c>
      <c r="HM20" t="e">
        <f>AND(class!N123,"AAAAAH/ff9w=")</f>
        <v>#VALUE!</v>
      </c>
      <c r="HN20" t="e">
        <f>AND(class!O123,"AAAAAH/ff90=")</f>
        <v>#VALUE!</v>
      </c>
      <c r="HO20" t="e">
        <f>AND(class!P123,"AAAAAH/ff94=")</f>
        <v>#VALUE!</v>
      </c>
      <c r="HP20" t="e">
        <f>AND(class!Q123,"AAAAAH/ff98=")</f>
        <v>#VALUE!</v>
      </c>
      <c r="HQ20" t="e">
        <f>AND(class!R123,"AAAAAH/ff+A=")</f>
        <v>#VALUE!</v>
      </c>
      <c r="HR20" t="e">
        <f>AND(class!S123,"AAAAAH/ff+E=")</f>
        <v>#VALUE!</v>
      </c>
      <c r="HS20" t="e">
        <f>AND(class!T123,"AAAAAH/ff+I=")</f>
        <v>#VALUE!</v>
      </c>
      <c r="HT20" t="e">
        <f>AND(class!U123,"AAAAAH/ff+M=")</f>
        <v>#VALUE!</v>
      </c>
      <c r="HU20" t="e">
        <f>AND(class!V123,"AAAAAH/ff+Q=")</f>
        <v>#VALUE!</v>
      </c>
      <c r="HV20" t="e">
        <f>AND(class!W123,"AAAAAH/ff+U=")</f>
        <v>#VALUE!</v>
      </c>
      <c r="HW20" t="e">
        <f>AND(class!X123,"AAAAAH/ff+Y=")</f>
        <v>#VALUE!</v>
      </c>
      <c r="HX20" t="e">
        <f>AND(class!Y123,"AAAAAH/ff+c=")</f>
        <v>#VALUE!</v>
      </c>
      <c r="HY20" t="e">
        <f>AND(class!Z123,"AAAAAH/ff+g=")</f>
        <v>#VALUE!</v>
      </c>
      <c r="HZ20" t="e">
        <f>AND(class!AA123,"AAAAAH/ff+k=")</f>
        <v>#VALUE!</v>
      </c>
      <c r="IA20" t="e">
        <f>AND(class!AB123,"AAAAAH/ff+o=")</f>
        <v>#VALUE!</v>
      </c>
      <c r="IB20" t="e">
        <f>AND(class!AC123,"AAAAAH/ff+s=")</f>
        <v>#VALUE!</v>
      </c>
      <c r="IC20">
        <f>IF(class!124:124,"AAAAAH/ff+w=",0)</f>
        <v>0</v>
      </c>
      <c r="ID20" t="e">
        <f>AND(class!A124,"AAAAAH/ff+0=")</f>
        <v>#VALUE!</v>
      </c>
      <c r="IE20" t="e">
        <f>AND(class!B124,"AAAAAH/ff+4=")</f>
        <v>#VALUE!</v>
      </c>
      <c r="IF20" t="e">
        <f>AND(class!C124,"AAAAAH/ff+8=")</f>
        <v>#VALUE!</v>
      </c>
      <c r="IG20" t="e">
        <f>AND(class!D124,"AAAAAH/ff/A=")</f>
        <v>#VALUE!</v>
      </c>
      <c r="IH20" t="e">
        <f>AND(class!E124,"AAAAAH/ff/E=")</f>
        <v>#VALUE!</v>
      </c>
      <c r="II20" t="e">
        <f>AND(class!F124,"AAAAAH/ff/I=")</f>
        <v>#VALUE!</v>
      </c>
      <c r="IJ20" t="e">
        <f>AND(class!G124,"AAAAAH/ff/M=")</f>
        <v>#VALUE!</v>
      </c>
      <c r="IK20" t="e">
        <f>AND(class!H124,"AAAAAH/ff/Q=")</f>
        <v>#VALUE!</v>
      </c>
      <c r="IL20" t="e">
        <f>AND(class!I124,"AAAAAH/ff/U=")</f>
        <v>#VALUE!</v>
      </c>
      <c r="IM20" t="e">
        <f>AND(class!J124,"AAAAAH/ff/Y=")</f>
        <v>#VALUE!</v>
      </c>
      <c r="IN20" t="e">
        <f>AND(class!K124,"AAAAAH/ff/c=")</f>
        <v>#VALUE!</v>
      </c>
      <c r="IO20" t="e">
        <f>AND(class!L124,"AAAAAH/ff/g=")</f>
        <v>#VALUE!</v>
      </c>
      <c r="IP20" t="e">
        <f>AND(class!M124,"AAAAAH/ff/k=")</f>
        <v>#VALUE!</v>
      </c>
      <c r="IQ20" t="e">
        <f>AND(class!N124,"AAAAAH/ff/o=")</f>
        <v>#VALUE!</v>
      </c>
      <c r="IR20" t="e">
        <f>AND(class!O124,"AAAAAH/ff/s=")</f>
        <v>#VALUE!</v>
      </c>
      <c r="IS20" t="e">
        <f>AND(class!P124,"AAAAAH/ff/w=")</f>
        <v>#VALUE!</v>
      </c>
      <c r="IT20" t="e">
        <f>AND(class!Q124,"AAAAAH/ff/0=")</f>
        <v>#VALUE!</v>
      </c>
      <c r="IU20" t="e">
        <f>AND(class!R124,"AAAAAH/ff/4=")</f>
        <v>#VALUE!</v>
      </c>
      <c r="IV20" t="e">
        <f>AND(class!S124,"AAAAAH/ff/8=")</f>
        <v>#VALUE!</v>
      </c>
    </row>
    <row r="21" spans="1:256" x14ac:dyDescent="0.2">
      <c r="A21" t="e">
        <f>AND(class!T124,"AAAAADf/vwA=")</f>
        <v>#VALUE!</v>
      </c>
      <c r="B21" t="e">
        <f>AND(class!U124,"AAAAADf/vwE=")</f>
        <v>#VALUE!</v>
      </c>
      <c r="C21" t="e">
        <f>AND(class!V124,"AAAAADf/vwI=")</f>
        <v>#VALUE!</v>
      </c>
      <c r="D21" t="e">
        <f>AND(class!W124,"AAAAADf/vwM=")</f>
        <v>#VALUE!</v>
      </c>
      <c r="E21" t="e">
        <f>AND(class!X124,"AAAAADf/vwQ=")</f>
        <v>#VALUE!</v>
      </c>
      <c r="F21" t="e">
        <f>AND(class!Y124,"AAAAADf/vwU=")</f>
        <v>#VALUE!</v>
      </c>
      <c r="G21" t="e">
        <f>AND(class!Z124,"AAAAADf/vwY=")</f>
        <v>#VALUE!</v>
      </c>
      <c r="H21" t="e">
        <f>AND(class!AA124,"AAAAADf/vwc=")</f>
        <v>#VALUE!</v>
      </c>
      <c r="I21" t="e">
        <f>AND(class!AB124,"AAAAADf/vwg=")</f>
        <v>#VALUE!</v>
      </c>
      <c r="J21" t="e">
        <f>AND(class!AC124,"AAAAADf/vwk=")</f>
        <v>#VALUE!</v>
      </c>
      <c r="K21">
        <f>IF(class!125:125,"AAAAADf/vwo=",0)</f>
        <v>0</v>
      </c>
      <c r="L21" t="e">
        <f>AND(class!A125,"AAAAADf/vws=")</f>
        <v>#VALUE!</v>
      </c>
      <c r="M21" t="e">
        <f>AND(class!B125,"AAAAADf/vww=")</f>
        <v>#VALUE!</v>
      </c>
      <c r="N21" t="e">
        <f>AND(class!C125,"AAAAADf/vw0=")</f>
        <v>#VALUE!</v>
      </c>
      <c r="O21" t="e">
        <f>AND(class!D125,"AAAAADf/vw4=")</f>
        <v>#VALUE!</v>
      </c>
      <c r="P21" t="e">
        <f>AND(class!E125,"AAAAADf/vw8=")</f>
        <v>#VALUE!</v>
      </c>
      <c r="Q21" t="e">
        <f>AND(class!F125,"AAAAADf/vxA=")</f>
        <v>#VALUE!</v>
      </c>
      <c r="R21" t="e">
        <f>AND(class!G125,"AAAAADf/vxE=")</f>
        <v>#VALUE!</v>
      </c>
      <c r="S21" t="e">
        <f>AND(class!H125,"AAAAADf/vxI=")</f>
        <v>#VALUE!</v>
      </c>
      <c r="T21" t="e">
        <f>AND(class!I125,"AAAAADf/vxM=")</f>
        <v>#VALUE!</v>
      </c>
      <c r="U21" t="e">
        <f>AND(class!J125,"AAAAADf/vxQ=")</f>
        <v>#VALUE!</v>
      </c>
      <c r="V21" t="e">
        <f>AND(class!K125,"AAAAADf/vxU=")</f>
        <v>#VALUE!</v>
      </c>
      <c r="W21" t="e">
        <f>AND(class!L125,"AAAAADf/vxY=")</f>
        <v>#VALUE!</v>
      </c>
      <c r="X21" t="e">
        <f>AND(class!M125,"AAAAADf/vxc=")</f>
        <v>#VALUE!</v>
      </c>
      <c r="Y21" t="e">
        <f>AND(class!N125,"AAAAADf/vxg=")</f>
        <v>#VALUE!</v>
      </c>
      <c r="Z21" t="e">
        <f>AND(class!O125,"AAAAADf/vxk=")</f>
        <v>#VALUE!</v>
      </c>
      <c r="AA21" t="e">
        <f>AND(class!P125,"AAAAADf/vxo=")</f>
        <v>#VALUE!</v>
      </c>
      <c r="AB21" t="e">
        <f>AND(class!Q125,"AAAAADf/vxs=")</f>
        <v>#VALUE!</v>
      </c>
      <c r="AC21" t="e">
        <f>AND(class!R125,"AAAAADf/vxw=")</f>
        <v>#VALUE!</v>
      </c>
      <c r="AD21" t="e">
        <f>AND(class!S125,"AAAAADf/vx0=")</f>
        <v>#VALUE!</v>
      </c>
      <c r="AE21" t="e">
        <f>AND(class!T125,"AAAAADf/vx4=")</f>
        <v>#VALUE!</v>
      </c>
      <c r="AF21" t="e">
        <f>AND(class!U125,"AAAAADf/vx8=")</f>
        <v>#VALUE!</v>
      </c>
      <c r="AG21" t="e">
        <f>AND(class!V125,"AAAAADf/vyA=")</f>
        <v>#VALUE!</v>
      </c>
      <c r="AH21" t="e">
        <f>AND(class!W125,"AAAAADf/vyE=")</f>
        <v>#VALUE!</v>
      </c>
      <c r="AI21" t="e">
        <f>AND(class!X125,"AAAAADf/vyI=")</f>
        <v>#VALUE!</v>
      </c>
      <c r="AJ21" t="e">
        <f>AND(class!Y125,"AAAAADf/vyM=")</f>
        <v>#VALUE!</v>
      </c>
      <c r="AK21" t="e">
        <f>AND(class!Z125,"AAAAADf/vyQ=")</f>
        <v>#VALUE!</v>
      </c>
      <c r="AL21" t="e">
        <f>AND(class!AA125,"AAAAADf/vyU=")</f>
        <v>#VALUE!</v>
      </c>
      <c r="AM21" t="e">
        <f>AND(class!AB125,"AAAAADf/vyY=")</f>
        <v>#VALUE!</v>
      </c>
      <c r="AN21" t="e">
        <f>AND(class!AC125,"AAAAADf/vyc=")</f>
        <v>#VALUE!</v>
      </c>
      <c r="AO21">
        <f>IF(class!126:126,"AAAAADf/vyg=",0)</f>
        <v>0</v>
      </c>
      <c r="AP21" t="e">
        <f>AND(class!A126,"AAAAADf/vyk=")</f>
        <v>#VALUE!</v>
      </c>
      <c r="AQ21" t="e">
        <f>AND(class!B126,"AAAAADf/vyo=")</f>
        <v>#VALUE!</v>
      </c>
      <c r="AR21" t="e">
        <f>AND(class!C126,"AAAAADf/vys=")</f>
        <v>#VALUE!</v>
      </c>
      <c r="AS21" t="e">
        <f>AND(class!D126,"AAAAADf/vyw=")</f>
        <v>#VALUE!</v>
      </c>
      <c r="AT21" t="e">
        <f>AND(class!E126,"AAAAADf/vy0=")</f>
        <v>#VALUE!</v>
      </c>
      <c r="AU21" t="e">
        <f>AND(class!F126,"AAAAADf/vy4=")</f>
        <v>#VALUE!</v>
      </c>
      <c r="AV21" t="e">
        <f>AND(class!G126,"AAAAADf/vy8=")</f>
        <v>#VALUE!</v>
      </c>
      <c r="AW21" t="e">
        <f>AND(class!H126,"AAAAADf/vzA=")</f>
        <v>#VALUE!</v>
      </c>
      <c r="AX21" t="e">
        <f>AND(class!I126,"AAAAADf/vzE=")</f>
        <v>#VALUE!</v>
      </c>
      <c r="AY21" t="e">
        <f>AND(class!J126,"AAAAADf/vzI=")</f>
        <v>#VALUE!</v>
      </c>
      <c r="AZ21" t="e">
        <f>AND(class!K126,"AAAAADf/vzM=")</f>
        <v>#VALUE!</v>
      </c>
      <c r="BA21" t="e">
        <f>AND(class!L126,"AAAAADf/vzQ=")</f>
        <v>#VALUE!</v>
      </c>
      <c r="BB21" t="e">
        <f>AND(class!M126,"AAAAADf/vzU=")</f>
        <v>#VALUE!</v>
      </c>
      <c r="BC21" t="e">
        <f>AND(class!N126,"AAAAADf/vzY=")</f>
        <v>#VALUE!</v>
      </c>
      <c r="BD21" t="e">
        <f>AND(class!O126,"AAAAADf/vzc=")</f>
        <v>#VALUE!</v>
      </c>
      <c r="BE21" t="e">
        <f>AND(class!P126,"AAAAADf/vzg=")</f>
        <v>#VALUE!</v>
      </c>
      <c r="BF21" t="e">
        <f>AND(class!Q126,"AAAAADf/vzk=")</f>
        <v>#VALUE!</v>
      </c>
      <c r="BG21" t="e">
        <f>AND(class!R126,"AAAAADf/vzo=")</f>
        <v>#VALUE!</v>
      </c>
      <c r="BH21" t="e">
        <f>AND(class!S126,"AAAAADf/vzs=")</f>
        <v>#VALUE!</v>
      </c>
      <c r="BI21" t="e">
        <f>AND(class!T126,"AAAAADf/vzw=")</f>
        <v>#VALUE!</v>
      </c>
      <c r="BJ21" t="e">
        <f>AND(class!U126,"AAAAADf/vz0=")</f>
        <v>#VALUE!</v>
      </c>
      <c r="BK21" t="e">
        <f>AND(class!V126,"AAAAADf/vz4=")</f>
        <v>#VALUE!</v>
      </c>
      <c r="BL21" t="e">
        <f>AND(class!W126,"AAAAADf/vz8=")</f>
        <v>#VALUE!</v>
      </c>
      <c r="BM21" t="e">
        <f>AND(class!X126,"AAAAADf/v0A=")</f>
        <v>#VALUE!</v>
      </c>
      <c r="BN21" t="e">
        <f>AND(class!Y126,"AAAAADf/v0E=")</f>
        <v>#VALUE!</v>
      </c>
      <c r="BO21" t="e">
        <f>AND(class!Z126,"AAAAADf/v0I=")</f>
        <v>#VALUE!</v>
      </c>
      <c r="BP21" t="e">
        <f>AND(class!AA126,"AAAAADf/v0M=")</f>
        <v>#VALUE!</v>
      </c>
      <c r="BQ21" t="e">
        <f>AND(class!AB126,"AAAAADf/v0Q=")</f>
        <v>#VALUE!</v>
      </c>
      <c r="BR21" t="e">
        <f>AND(class!AC126,"AAAAADf/v0U=")</f>
        <v>#VALUE!</v>
      </c>
      <c r="BS21">
        <f>IF(class!127:127,"AAAAADf/v0Y=",0)</f>
        <v>0</v>
      </c>
      <c r="BT21" t="e">
        <f>AND(class!A127,"AAAAADf/v0c=")</f>
        <v>#VALUE!</v>
      </c>
      <c r="BU21" t="e">
        <f>AND(class!B127,"AAAAADf/v0g=")</f>
        <v>#VALUE!</v>
      </c>
      <c r="BV21" t="e">
        <f>AND(class!C127,"AAAAADf/v0k=")</f>
        <v>#VALUE!</v>
      </c>
      <c r="BW21" t="e">
        <f>AND(class!D127,"AAAAADf/v0o=")</f>
        <v>#VALUE!</v>
      </c>
      <c r="BX21" t="e">
        <f>AND(class!E127,"AAAAADf/v0s=")</f>
        <v>#VALUE!</v>
      </c>
      <c r="BY21" t="e">
        <f>AND(class!F127,"AAAAADf/v0w=")</f>
        <v>#VALUE!</v>
      </c>
      <c r="BZ21" t="e">
        <f>AND(class!G127,"AAAAADf/v00=")</f>
        <v>#VALUE!</v>
      </c>
      <c r="CA21" t="e">
        <f>AND(class!H127,"AAAAADf/v04=")</f>
        <v>#VALUE!</v>
      </c>
      <c r="CB21" t="e">
        <f>AND(class!I127,"AAAAADf/v08=")</f>
        <v>#VALUE!</v>
      </c>
      <c r="CC21" t="e">
        <f>AND(class!J127,"AAAAADf/v1A=")</f>
        <v>#VALUE!</v>
      </c>
      <c r="CD21" t="e">
        <f>AND(class!K127,"AAAAADf/v1E=")</f>
        <v>#VALUE!</v>
      </c>
      <c r="CE21" t="e">
        <f>AND(class!L127,"AAAAADf/v1I=")</f>
        <v>#VALUE!</v>
      </c>
      <c r="CF21" t="e">
        <f>AND(class!M127,"AAAAADf/v1M=")</f>
        <v>#VALUE!</v>
      </c>
      <c r="CG21" t="e">
        <f>AND(class!N127,"AAAAADf/v1Q=")</f>
        <v>#VALUE!</v>
      </c>
      <c r="CH21" t="e">
        <f>AND(class!O127,"AAAAADf/v1U=")</f>
        <v>#VALUE!</v>
      </c>
      <c r="CI21" t="e">
        <f>AND(class!P127,"AAAAADf/v1Y=")</f>
        <v>#VALUE!</v>
      </c>
      <c r="CJ21" t="e">
        <f>AND(class!Q127,"AAAAADf/v1c=")</f>
        <v>#VALUE!</v>
      </c>
      <c r="CK21" t="e">
        <f>AND(class!R127,"AAAAADf/v1g=")</f>
        <v>#VALUE!</v>
      </c>
      <c r="CL21" t="e">
        <f>AND(class!S127,"AAAAADf/v1k=")</f>
        <v>#VALUE!</v>
      </c>
      <c r="CM21" t="e">
        <f>AND(class!T127,"AAAAADf/v1o=")</f>
        <v>#VALUE!</v>
      </c>
      <c r="CN21" t="e">
        <f>AND(class!U127,"AAAAADf/v1s=")</f>
        <v>#VALUE!</v>
      </c>
      <c r="CO21" t="e">
        <f>AND(class!V127,"AAAAADf/v1w=")</f>
        <v>#VALUE!</v>
      </c>
      <c r="CP21" t="e">
        <f>AND(class!W127,"AAAAADf/v10=")</f>
        <v>#VALUE!</v>
      </c>
      <c r="CQ21" t="e">
        <f>AND(class!X127,"AAAAADf/v14=")</f>
        <v>#VALUE!</v>
      </c>
      <c r="CR21" t="e">
        <f>AND(class!Y127,"AAAAADf/v18=")</f>
        <v>#VALUE!</v>
      </c>
      <c r="CS21" t="e">
        <f>AND(class!Z127,"AAAAADf/v2A=")</f>
        <v>#VALUE!</v>
      </c>
      <c r="CT21" t="e">
        <f>AND(class!AA127,"AAAAADf/v2E=")</f>
        <v>#VALUE!</v>
      </c>
      <c r="CU21" t="e">
        <f>AND(class!AB127,"AAAAADf/v2I=")</f>
        <v>#VALUE!</v>
      </c>
      <c r="CV21" t="e">
        <f>AND(class!AC127,"AAAAADf/v2M=")</f>
        <v>#VALUE!</v>
      </c>
      <c r="CW21">
        <f>IF(class!128:128,"AAAAADf/v2Q=",0)</f>
        <v>0</v>
      </c>
      <c r="CX21" t="e">
        <f>AND(class!A128,"AAAAADf/v2U=")</f>
        <v>#VALUE!</v>
      </c>
      <c r="CY21" t="e">
        <f>AND(class!B128,"AAAAADf/v2Y=")</f>
        <v>#VALUE!</v>
      </c>
      <c r="CZ21" t="e">
        <f>AND(class!C128,"AAAAADf/v2c=")</f>
        <v>#VALUE!</v>
      </c>
      <c r="DA21" t="e">
        <f>AND(class!D128,"AAAAADf/v2g=")</f>
        <v>#VALUE!</v>
      </c>
      <c r="DB21" t="e">
        <f>AND(class!E128,"AAAAADf/v2k=")</f>
        <v>#VALUE!</v>
      </c>
      <c r="DC21" t="e">
        <f>AND(class!F128,"AAAAADf/v2o=")</f>
        <v>#VALUE!</v>
      </c>
      <c r="DD21" t="e">
        <f>AND(class!G128,"AAAAADf/v2s=")</f>
        <v>#VALUE!</v>
      </c>
      <c r="DE21" t="e">
        <f>AND(class!H128,"AAAAADf/v2w=")</f>
        <v>#VALUE!</v>
      </c>
      <c r="DF21" t="e">
        <f>AND(class!I128,"AAAAADf/v20=")</f>
        <v>#VALUE!</v>
      </c>
      <c r="DG21" t="e">
        <f>AND(class!J128,"AAAAADf/v24=")</f>
        <v>#VALUE!</v>
      </c>
      <c r="DH21" t="e">
        <f>AND(class!K128,"AAAAADf/v28=")</f>
        <v>#VALUE!</v>
      </c>
      <c r="DI21" t="e">
        <f>AND(class!L128,"AAAAADf/v3A=")</f>
        <v>#VALUE!</v>
      </c>
      <c r="DJ21" t="e">
        <f>AND(class!M128,"AAAAADf/v3E=")</f>
        <v>#VALUE!</v>
      </c>
      <c r="DK21" t="e">
        <f>AND(class!N128,"AAAAADf/v3I=")</f>
        <v>#VALUE!</v>
      </c>
      <c r="DL21" t="e">
        <f>AND(class!O128,"AAAAADf/v3M=")</f>
        <v>#VALUE!</v>
      </c>
      <c r="DM21" t="e">
        <f>AND(class!P128,"AAAAADf/v3Q=")</f>
        <v>#VALUE!</v>
      </c>
      <c r="DN21" t="e">
        <f>AND(class!Q128,"AAAAADf/v3U=")</f>
        <v>#VALUE!</v>
      </c>
      <c r="DO21" t="e">
        <f>AND(class!R128,"AAAAADf/v3Y=")</f>
        <v>#VALUE!</v>
      </c>
      <c r="DP21" t="e">
        <f>AND(class!S128,"AAAAADf/v3c=")</f>
        <v>#VALUE!</v>
      </c>
      <c r="DQ21" t="e">
        <f>AND(class!T128,"AAAAADf/v3g=")</f>
        <v>#VALUE!</v>
      </c>
      <c r="DR21" t="e">
        <f>AND(class!U128,"AAAAADf/v3k=")</f>
        <v>#VALUE!</v>
      </c>
      <c r="DS21" t="e">
        <f>AND(class!V128,"AAAAADf/v3o=")</f>
        <v>#VALUE!</v>
      </c>
      <c r="DT21" t="e">
        <f>AND(class!W128,"AAAAADf/v3s=")</f>
        <v>#VALUE!</v>
      </c>
      <c r="DU21" t="e">
        <f>AND(class!X128,"AAAAADf/v3w=")</f>
        <v>#VALUE!</v>
      </c>
      <c r="DV21" t="e">
        <f>AND(class!Y128,"AAAAADf/v30=")</f>
        <v>#VALUE!</v>
      </c>
      <c r="DW21" t="e">
        <f>AND(class!Z128,"AAAAADf/v34=")</f>
        <v>#VALUE!</v>
      </c>
      <c r="DX21" t="e">
        <f>AND(class!AA128,"AAAAADf/v38=")</f>
        <v>#VALUE!</v>
      </c>
      <c r="DY21" t="e">
        <f>AND(class!AB128,"AAAAADf/v4A=")</f>
        <v>#VALUE!</v>
      </c>
      <c r="DZ21" t="e">
        <f>AND(class!AC128,"AAAAADf/v4E=")</f>
        <v>#VALUE!</v>
      </c>
      <c r="EA21">
        <f>IF(class!129:129,"AAAAADf/v4I=",0)</f>
        <v>0</v>
      </c>
      <c r="EB21" t="e">
        <f>AND(class!A129,"AAAAADf/v4M=")</f>
        <v>#VALUE!</v>
      </c>
      <c r="EC21" t="e">
        <f>AND(class!B129,"AAAAADf/v4Q=")</f>
        <v>#VALUE!</v>
      </c>
      <c r="ED21" t="e">
        <f>AND(class!C129,"AAAAADf/v4U=")</f>
        <v>#VALUE!</v>
      </c>
      <c r="EE21" t="e">
        <f>AND(class!D129,"AAAAADf/v4Y=")</f>
        <v>#VALUE!</v>
      </c>
      <c r="EF21" t="e">
        <f>AND(class!E129,"AAAAADf/v4c=")</f>
        <v>#VALUE!</v>
      </c>
      <c r="EG21" t="e">
        <f>AND(class!F129,"AAAAADf/v4g=")</f>
        <v>#VALUE!</v>
      </c>
      <c r="EH21" t="e">
        <f>AND(class!G129,"AAAAADf/v4k=")</f>
        <v>#VALUE!</v>
      </c>
      <c r="EI21" t="e">
        <f>AND(class!H129,"AAAAADf/v4o=")</f>
        <v>#VALUE!</v>
      </c>
      <c r="EJ21" t="e">
        <f>AND(class!I129,"AAAAADf/v4s=")</f>
        <v>#VALUE!</v>
      </c>
      <c r="EK21" t="e">
        <f>AND(class!J129,"AAAAADf/v4w=")</f>
        <v>#VALUE!</v>
      </c>
      <c r="EL21" t="e">
        <f>AND(class!K129,"AAAAADf/v40=")</f>
        <v>#VALUE!</v>
      </c>
      <c r="EM21" t="e">
        <f>AND(class!L129,"AAAAADf/v44=")</f>
        <v>#VALUE!</v>
      </c>
      <c r="EN21" t="e">
        <f>AND(class!M129,"AAAAADf/v48=")</f>
        <v>#VALUE!</v>
      </c>
      <c r="EO21" t="e">
        <f>AND(class!N129,"AAAAADf/v5A=")</f>
        <v>#VALUE!</v>
      </c>
      <c r="EP21" t="e">
        <f>AND(class!O129,"AAAAADf/v5E=")</f>
        <v>#VALUE!</v>
      </c>
      <c r="EQ21" t="e">
        <f>AND(class!P129,"AAAAADf/v5I=")</f>
        <v>#VALUE!</v>
      </c>
      <c r="ER21" t="e">
        <f>AND(class!Q129,"AAAAADf/v5M=")</f>
        <v>#VALUE!</v>
      </c>
      <c r="ES21" t="e">
        <f>AND(class!R129,"AAAAADf/v5Q=")</f>
        <v>#VALUE!</v>
      </c>
      <c r="ET21" t="e">
        <f>AND(class!S129,"AAAAADf/v5U=")</f>
        <v>#VALUE!</v>
      </c>
      <c r="EU21" t="e">
        <f>AND(class!T129,"AAAAADf/v5Y=")</f>
        <v>#VALUE!</v>
      </c>
      <c r="EV21" t="e">
        <f>AND(class!U129,"AAAAADf/v5c=")</f>
        <v>#VALUE!</v>
      </c>
      <c r="EW21" t="e">
        <f>AND(class!V129,"AAAAADf/v5g=")</f>
        <v>#VALUE!</v>
      </c>
      <c r="EX21" t="e">
        <f>AND(class!W129,"AAAAADf/v5k=")</f>
        <v>#VALUE!</v>
      </c>
      <c r="EY21" t="e">
        <f>AND(class!X129,"AAAAADf/v5o=")</f>
        <v>#VALUE!</v>
      </c>
      <c r="EZ21" t="e">
        <f>AND(class!Y129,"AAAAADf/v5s=")</f>
        <v>#VALUE!</v>
      </c>
      <c r="FA21" t="e">
        <f>AND(class!Z129,"AAAAADf/v5w=")</f>
        <v>#VALUE!</v>
      </c>
      <c r="FB21" t="e">
        <f>AND(class!AA129,"AAAAADf/v50=")</f>
        <v>#VALUE!</v>
      </c>
      <c r="FC21" t="e">
        <f>AND(class!AB129,"AAAAADf/v54=")</f>
        <v>#VALUE!</v>
      </c>
      <c r="FD21" t="e">
        <f>AND(class!AC129,"AAAAADf/v58=")</f>
        <v>#VALUE!</v>
      </c>
      <c r="FE21">
        <f>IF(class!130:130,"AAAAADf/v6A=",0)</f>
        <v>0</v>
      </c>
      <c r="FF21" t="e">
        <f>AND(class!A130,"AAAAADf/v6E=")</f>
        <v>#VALUE!</v>
      </c>
      <c r="FG21" t="e">
        <f>AND(class!B130,"AAAAADf/v6I=")</f>
        <v>#VALUE!</v>
      </c>
      <c r="FH21" t="e">
        <f>AND(class!C130,"AAAAADf/v6M=")</f>
        <v>#VALUE!</v>
      </c>
      <c r="FI21" t="e">
        <f>AND(class!D130,"AAAAADf/v6Q=")</f>
        <v>#VALUE!</v>
      </c>
      <c r="FJ21" t="e">
        <f>AND(class!E130,"AAAAADf/v6U=")</f>
        <v>#VALUE!</v>
      </c>
      <c r="FK21" t="e">
        <f>AND(class!F130,"AAAAADf/v6Y=")</f>
        <v>#VALUE!</v>
      </c>
      <c r="FL21" t="e">
        <f>AND(class!G130,"AAAAADf/v6c=")</f>
        <v>#VALUE!</v>
      </c>
      <c r="FM21" t="e">
        <f>AND(class!H130,"AAAAADf/v6g=")</f>
        <v>#VALUE!</v>
      </c>
      <c r="FN21" t="e">
        <f>AND(class!I130,"AAAAADf/v6k=")</f>
        <v>#VALUE!</v>
      </c>
      <c r="FO21" t="e">
        <f>AND(class!J130,"AAAAADf/v6o=")</f>
        <v>#VALUE!</v>
      </c>
      <c r="FP21" t="e">
        <f>AND(class!K130,"AAAAADf/v6s=")</f>
        <v>#VALUE!</v>
      </c>
      <c r="FQ21" t="e">
        <f>AND(class!L130,"AAAAADf/v6w=")</f>
        <v>#VALUE!</v>
      </c>
      <c r="FR21" t="e">
        <f>AND(class!M130,"AAAAADf/v60=")</f>
        <v>#VALUE!</v>
      </c>
      <c r="FS21" t="e">
        <f>AND(class!N130,"AAAAADf/v64=")</f>
        <v>#VALUE!</v>
      </c>
      <c r="FT21" t="e">
        <f>AND(class!O130,"AAAAADf/v68=")</f>
        <v>#VALUE!</v>
      </c>
      <c r="FU21" t="e">
        <f>AND(class!P130,"AAAAADf/v7A=")</f>
        <v>#VALUE!</v>
      </c>
      <c r="FV21" t="e">
        <f>AND(class!Q130,"AAAAADf/v7E=")</f>
        <v>#VALUE!</v>
      </c>
      <c r="FW21" t="e">
        <f>AND(class!R130,"AAAAADf/v7I=")</f>
        <v>#VALUE!</v>
      </c>
      <c r="FX21" t="e">
        <f>AND(class!S130,"AAAAADf/v7M=")</f>
        <v>#VALUE!</v>
      </c>
      <c r="FY21" t="e">
        <f>AND(class!T130,"AAAAADf/v7Q=")</f>
        <v>#VALUE!</v>
      </c>
      <c r="FZ21" t="e">
        <f>AND(class!U130,"AAAAADf/v7U=")</f>
        <v>#VALUE!</v>
      </c>
      <c r="GA21" t="e">
        <f>AND(class!V130,"AAAAADf/v7Y=")</f>
        <v>#VALUE!</v>
      </c>
      <c r="GB21" t="e">
        <f>AND(class!W130,"AAAAADf/v7c=")</f>
        <v>#VALUE!</v>
      </c>
      <c r="GC21" t="e">
        <f>AND(class!X130,"AAAAADf/v7g=")</f>
        <v>#VALUE!</v>
      </c>
      <c r="GD21" t="e">
        <f>AND(class!Y130,"AAAAADf/v7k=")</f>
        <v>#VALUE!</v>
      </c>
      <c r="GE21" t="e">
        <f>AND(class!Z130,"AAAAADf/v7o=")</f>
        <v>#VALUE!</v>
      </c>
      <c r="GF21" t="e">
        <f>AND(class!AA130,"AAAAADf/v7s=")</f>
        <v>#VALUE!</v>
      </c>
      <c r="GG21" t="e">
        <f>AND(class!AB130,"AAAAADf/v7w=")</f>
        <v>#VALUE!</v>
      </c>
      <c r="GH21" t="e">
        <f>AND(class!AC130,"AAAAADf/v70=")</f>
        <v>#VALUE!</v>
      </c>
      <c r="GI21">
        <f>IF(class!131:131,"AAAAADf/v74=",0)</f>
        <v>0</v>
      </c>
      <c r="GJ21" t="e">
        <f>AND(class!A131,"AAAAADf/v78=")</f>
        <v>#VALUE!</v>
      </c>
      <c r="GK21" t="e">
        <f>AND(class!B131,"AAAAADf/v8A=")</f>
        <v>#VALUE!</v>
      </c>
      <c r="GL21" t="e">
        <f>AND(class!C131,"AAAAADf/v8E=")</f>
        <v>#VALUE!</v>
      </c>
      <c r="GM21" t="e">
        <f>AND(class!D131,"AAAAADf/v8I=")</f>
        <v>#VALUE!</v>
      </c>
      <c r="GN21" t="e">
        <f>AND(class!E131,"AAAAADf/v8M=")</f>
        <v>#VALUE!</v>
      </c>
      <c r="GO21" t="e">
        <f>AND(class!F131,"AAAAADf/v8Q=")</f>
        <v>#VALUE!</v>
      </c>
      <c r="GP21" t="e">
        <f>AND(class!G131,"AAAAADf/v8U=")</f>
        <v>#VALUE!</v>
      </c>
      <c r="GQ21" t="e">
        <f>AND(class!H131,"AAAAADf/v8Y=")</f>
        <v>#VALUE!</v>
      </c>
      <c r="GR21" t="e">
        <f>AND(class!I131,"AAAAADf/v8c=")</f>
        <v>#VALUE!</v>
      </c>
      <c r="GS21" t="e">
        <f>AND(class!J131,"AAAAADf/v8g=")</f>
        <v>#VALUE!</v>
      </c>
      <c r="GT21" t="e">
        <f>AND(class!K131,"AAAAADf/v8k=")</f>
        <v>#VALUE!</v>
      </c>
      <c r="GU21" t="e">
        <f>AND(class!L131,"AAAAADf/v8o=")</f>
        <v>#VALUE!</v>
      </c>
      <c r="GV21" t="e">
        <f>AND(class!M131,"AAAAADf/v8s=")</f>
        <v>#VALUE!</v>
      </c>
      <c r="GW21" t="e">
        <f>AND(class!N131,"AAAAADf/v8w=")</f>
        <v>#VALUE!</v>
      </c>
      <c r="GX21" t="e">
        <f>AND(class!O131,"AAAAADf/v80=")</f>
        <v>#VALUE!</v>
      </c>
      <c r="GY21" t="e">
        <f>AND(class!P131,"AAAAADf/v84=")</f>
        <v>#VALUE!</v>
      </c>
      <c r="GZ21" t="e">
        <f>AND(class!Q131,"AAAAADf/v88=")</f>
        <v>#VALUE!</v>
      </c>
      <c r="HA21" t="e">
        <f>AND(class!R131,"AAAAADf/v9A=")</f>
        <v>#VALUE!</v>
      </c>
      <c r="HB21" t="e">
        <f>AND(class!S131,"AAAAADf/v9E=")</f>
        <v>#VALUE!</v>
      </c>
      <c r="HC21" t="e">
        <f>AND(class!T131,"AAAAADf/v9I=")</f>
        <v>#VALUE!</v>
      </c>
      <c r="HD21" t="e">
        <f>AND(class!U131,"AAAAADf/v9M=")</f>
        <v>#VALUE!</v>
      </c>
      <c r="HE21" t="e">
        <f>AND(class!V131,"AAAAADf/v9Q=")</f>
        <v>#VALUE!</v>
      </c>
      <c r="HF21" t="e">
        <f>AND(class!W131,"AAAAADf/v9U=")</f>
        <v>#VALUE!</v>
      </c>
      <c r="HG21" t="e">
        <f>AND(class!X131,"AAAAADf/v9Y=")</f>
        <v>#VALUE!</v>
      </c>
      <c r="HH21" t="e">
        <f>AND(class!Y131,"AAAAADf/v9c=")</f>
        <v>#VALUE!</v>
      </c>
      <c r="HI21" t="e">
        <f>AND(class!Z131,"AAAAADf/v9g=")</f>
        <v>#VALUE!</v>
      </c>
      <c r="HJ21" t="e">
        <f>AND(class!AA131,"AAAAADf/v9k=")</f>
        <v>#VALUE!</v>
      </c>
      <c r="HK21" t="e">
        <f>AND(class!AB131,"AAAAADf/v9o=")</f>
        <v>#VALUE!</v>
      </c>
      <c r="HL21" t="e">
        <f>AND(class!AC131,"AAAAADf/v9s=")</f>
        <v>#VALUE!</v>
      </c>
      <c r="HM21">
        <f>IF(class!132:132,"AAAAADf/v9w=",0)</f>
        <v>0</v>
      </c>
      <c r="HN21" t="e">
        <f>AND(class!A132,"AAAAADf/v90=")</f>
        <v>#VALUE!</v>
      </c>
      <c r="HO21" t="e">
        <f>AND(class!B132,"AAAAADf/v94=")</f>
        <v>#VALUE!</v>
      </c>
      <c r="HP21" t="e">
        <f>AND(class!C132,"AAAAADf/v98=")</f>
        <v>#VALUE!</v>
      </c>
      <c r="HQ21" t="e">
        <f>AND(class!D132,"AAAAADf/v+A=")</f>
        <v>#VALUE!</v>
      </c>
      <c r="HR21" t="e">
        <f>AND(class!E132,"AAAAADf/v+E=")</f>
        <v>#VALUE!</v>
      </c>
      <c r="HS21" t="e">
        <f>AND(class!F132,"AAAAADf/v+I=")</f>
        <v>#VALUE!</v>
      </c>
      <c r="HT21" t="e">
        <f>AND(class!G132,"AAAAADf/v+M=")</f>
        <v>#VALUE!</v>
      </c>
      <c r="HU21" t="e">
        <f>AND(class!H132,"AAAAADf/v+Q=")</f>
        <v>#VALUE!</v>
      </c>
      <c r="HV21" t="e">
        <f>AND(class!I132,"AAAAADf/v+U=")</f>
        <v>#VALUE!</v>
      </c>
      <c r="HW21" t="e">
        <f>AND(class!J132,"AAAAADf/v+Y=")</f>
        <v>#VALUE!</v>
      </c>
      <c r="HX21" t="e">
        <f>AND(class!K132,"AAAAADf/v+c=")</f>
        <v>#VALUE!</v>
      </c>
      <c r="HY21" t="e">
        <f>AND(class!L132,"AAAAADf/v+g=")</f>
        <v>#VALUE!</v>
      </c>
      <c r="HZ21" t="e">
        <f>AND(class!M132,"AAAAADf/v+k=")</f>
        <v>#VALUE!</v>
      </c>
      <c r="IA21" t="e">
        <f>AND(class!N132,"AAAAADf/v+o=")</f>
        <v>#VALUE!</v>
      </c>
      <c r="IB21" t="e">
        <f>AND(class!O132,"AAAAADf/v+s=")</f>
        <v>#VALUE!</v>
      </c>
      <c r="IC21" t="e">
        <f>AND(class!P132,"AAAAADf/v+w=")</f>
        <v>#VALUE!</v>
      </c>
      <c r="ID21" t="e">
        <f>AND(class!Q132,"AAAAADf/v+0=")</f>
        <v>#VALUE!</v>
      </c>
      <c r="IE21" t="e">
        <f>AND(class!R132,"AAAAADf/v+4=")</f>
        <v>#VALUE!</v>
      </c>
      <c r="IF21" t="e">
        <f>AND(class!S132,"AAAAADf/v+8=")</f>
        <v>#VALUE!</v>
      </c>
      <c r="IG21" t="e">
        <f>AND(class!T132,"AAAAADf/v/A=")</f>
        <v>#VALUE!</v>
      </c>
      <c r="IH21" t="e">
        <f>AND(class!U132,"AAAAADf/v/E=")</f>
        <v>#VALUE!</v>
      </c>
      <c r="II21" t="e">
        <f>AND(class!V132,"AAAAADf/v/I=")</f>
        <v>#VALUE!</v>
      </c>
      <c r="IJ21" t="e">
        <f>AND(class!W132,"AAAAADf/v/M=")</f>
        <v>#VALUE!</v>
      </c>
      <c r="IK21" t="e">
        <f>AND(class!X132,"AAAAADf/v/Q=")</f>
        <v>#VALUE!</v>
      </c>
      <c r="IL21" t="e">
        <f>AND(class!Y132,"AAAAADf/v/U=")</f>
        <v>#VALUE!</v>
      </c>
      <c r="IM21" t="e">
        <f>AND(class!Z132,"AAAAADf/v/Y=")</f>
        <v>#VALUE!</v>
      </c>
      <c r="IN21" t="e">
        <f>AND(class!AA132,"AAAAADf/v/c=")</f>
        <v>#VALUE!</v>
      </c>
      <c r="IO21" t="e">
        <f>AND(class!AB132,"AAAAADf/v/g=")</f>
        <v>#VALUE!</v>
      </c>
      <c r="IP21" t="e">
        <f>AND(class!AC132,"AAAAADf/v/k=")</f>
        <v>#VALUE!</v>
      </c>
      <c r="IQ21">
        <f>IF(class!133:133,"AAAAADf/v/o=",0)</f>
        <v>0</v>
      </c>
      <c r="IR21" t="e">
        <f>AND(class!A133,"AAAAADf/v/s=")</f>
        <v>#VALUE!</v>
      </c>
      <c r="IS21" t="e">
        <f>AND(class!B133,"AAAAADf/v/w=")</f>
        <v>#VALUE!</v>
      </c>
      <c r="IT21" t="e">
        <f>AND(class!C133,"AAAAADf/v/0=")</f>
        <v>#VALUE!</v>
      </c>
      <c r="IU21" t="e">
        <f>AND(class!D133,"AAAAADf/v/4=")</f>
        <v>#VALUE!</v>
      </c>
      <c r="IV21" t="e">
        <f>AND(class!E133,"AAAAADf/v/8=")</f>
        <v>#VALUE!</v>
      </c>
    </row>
    <row r="22" spans="1:256" x14ac:dyDescent="0.2">
      <c r="A22" t="e">
        <f>AND(class!F133,"AAAAAH7//gA=")</f>
        <v>#VALUE!</v>
      </c>
      <c r="B22" t="e">
        <f>AND(class!G133,"AAAAAH7//gE=")</f>
        <v>#VALUE!</v>
      </c>
      <c r="C22" t="e">
        <f>AND(class!H133,"AAAAAH7//gI=")</f>
        <v>#VALUE!</v>
      </c>
      <c r="D22" t="e">
        <f>AND(class!I133,"AAAAAH7//gM=")</f>
        <v>#VALUE!</v>
      </c>
      <c r="E22" t="e">
        <f>AND(class!J133,"AAAAAH7//gQ=")</f>
        <v>#VALUE!</v>
      </c>
      <c r="F22" t="e">
        <f>AND(class!K133,"AAAAAH7//gU=")</f>
        <v>#VALUE!</v>
      </c>
      <c r="G22" t="e">
        <f>AND(class!L133,"AAAAAH7//gY=")</f>
        <v>#VALUE!</v>
      </c>
      <c r="H22" t="e">
        <f>AND(class!M133,"AAAAAH7//gc=")</f>
        <v>#VALUE!</v>
      </c>
      <c r="I22" t="e">
        <f>AND(class!N133,"AAAAAH7//gg=")</f>
        <v>#VALUE!</v>
      </c>
      <c r="J22" t="e">
        <f>AND(class!O133,"AAAAAH7//gk=")</f>
        <v>#VALUE!</v>
      </c>
      <c r="K22" t="e">
        <f>AND(class!P133,"AAAAAH7//go=")</f>
        <v>#VALUE!</v>
      </c>
      <c r="L22" t="e">
        <f>AND(class!Q133,"AAAAAH7//gs=")</f>
        <v>#VALUE!</v>
      </c>
      <c r="M22" t="e">
        <f>AND(class!R133,"AAAAAH7//gw=")</f>
        <v>#VALUE!</v>
      </c>
      <c r="N22" t="e">
        <f>AND(class!S133,"AAAAAH7//g0=")</f>
        <v>#VALUE!</v>
      </c>
      <c r="O22" t="e">
        <f>AND(class!T133,"AAAAAH7//g4=")</f>
        <v>#VALUE!</v>
      </c>
      <c r="P22" t="e">
        <f>AND(class!U133,"AAAAAH7//g8=")</f>
        <v>#VALUE!</v>
      </c>
      <c r="Q22" t="e">
        <f>AND(class!V133,"AAAAAH7//hA=")</f>
        <v>#VALUE!</v>
      </c>
      <c r="R22" t="e">
        <f>AND(class!W133,"AAAAAH7//hE=")</f>
        <v>#VALUE!</v>
      </c>
      <c r="S22" t="e">
        <f>AND(class!X133,"AAAAAH7//hI=")</f>
        <v>#VALUE!</v>
      </c>
      <c r="T22" t="e">
        <f>AND(class!Y133,"AAAAAH7//hM=")</f>
        <v>#VALUE!</v>
      </c>
      <c r="U22" t="e">
        <f>AND(class!Z133,"AAAAAH7//hQ=")</f>
        <v>#VALUE!</v>
      </c>
      <c r="V22" t="e">
        <f>AND(class!AA133,"AAAAAH7//hU=")</f>
        <v>#VALUE!</v>
      </c>
      <c r="W22" t="e">
        <f>AND(class!AB133,"AAAAAH7//hY=")</f>
        <v>#VALUE!</v>
      </c>
      <c r="X22" t="e">
        <f>AND(class!AC133,"AAAAAH7//hc=")</f>
        <v>#VALUE!</v>
      </c>
      <c r="Y22">
        <f>IF(class!134:134,"AAAAAH7//hg=",0)</f>
        <v>0</v>
      </c>
      <c r="Z22" t="e">
        <f>AND(class!A134,"AAAAAH7//hk=")</f>
        <v>#VALUE!</v>
      </c>
      <c r="AA22" t="e">
        <f>AND(class!B134,"AAAAAH7//ho=")</f>
        <v>#VALUE!</v>
      </c>
      <c r="AB22" t="e">
        <f>AND(class!C134,"AAAAAH7//hs=")</f>
        <v>#VALUE!</v>
      </c>
      <c r="AC22" t="e">
        <f>AND(class!D134,"AAAAAH7//hw=")</f>
        <v>#VALUE!</v>
      </c>
      <c r="AD22" t="e">
        <f>AND(class!E134,"AAAAAH7//h0=")</f>
        <v>#VALUE!</v>
      </c>
      <c r="AE22" t="e">
        <f>AND(class!F134,"AAAAAH7//h4=")</f>
        <v>#VALUE!</v>
      </c>
      <c r="AF22" t="e">
        <f>AND(class!G134,"AAAAAH7//h8=")</f>
        <v>#VALUE!</v>
      </c>
      <c r="AG22" t="e">
        <f>AND(class!H134,"AAAAAH7//iA=")</f>
        <v>#VALUE!</v>
      </c>
      <c r="AH22" t="e">
        <f>AND(class!I134,"AAAAAH7//iE=")</f>
        <v>#VALUE!</v>
      </c>
      <c r="AI22" t="e">
        <f>AND(class!J134,"AAAAAH7//iI=")</f>
        <v>#VALUE!</v>
      </c>
      <c r="AJ22" t="e">
        <f>AND(class!K134,"AAAAAH7//iM=")</f>
        <v>#VALUE!</v>
      </c>
      <c r="AK22" t="e">
        <f>AND(class!L134,"AAAAAH7//iQ=")</f>
        <v>#VALUE!</v>
      </c>
      <c r="AL22" t="e">
        <f>AND(class!M134,"AAAAAH7//iU=")</f>
        <v>#VALUE!</v>
      </c>
      <c r="AM22" t="e">
        <f>AND(class!N134,"AAAAAH7//iY=")</f>
        <v>#VALUE!</v>
      </c>
      <c r="AN22" t="e">
        <f>AND(class!O134,"AAAAAH7//ic=")</f>
        <v>#VALUE!</v>
      </c>
      <c r="AO22" t="e">
        <f>AND(class!P134,"AAAAAH7//ig=")</f>
        <v>#VALUE!</v>
      </c>
      <c r="AP22" t="e">
        <f>AND(class!Q134,"AAAAAH7//ik=")</f>
        <v>#VALUE!</v>
      </c>
      <c r="AQ22" t="e">
        <f>AND(class!R134,"AAAAAH7//io=")</f>
        <v>#VALUE!</v>
      </c>
      <c r="AR22" t="e">
        <f>AND(class!S134,"AAAAAH7//is=")</f>
        <v>#VALUE!</v>
      </c>
      <c r="AS22" t="e">
        <f>AND(class!T134,"AAAAAH7//iw=")</f>
        <v>#VALUE!</v>
      </c>
      <c r="AT22" t="e">
        <f>AND(class!U134,"AAAAAH7//i0=")</f>
        <v>#VALUE!</v>
      </c>
      <c r="AU22" t="e">
        <f>AND(class!V134,"AAAAAH7//i4=")</f>
        <v>#VALUE!</v>
      </c>
      <c r="AV22" t="e">
        <f>AND(class!W134,"AAAAAH7//i8=")</f>
        <v>#VALUE!</v>
      </c>
      <c r="AW22" t="e">
        <f>AND(class!X134,"AAAAAH7//jA=")</f>
        <v>#VALUE!</v>
      </c>
      <c r="AX22" t="e">
        <f>AND(class!Y134,"AAAAAH7//jE=")</f>
        <v>#VALUE!</v>
      </c>
      <c r="AY22" t="e">
        <f>AND(class!Z134,"AAAAAH7//jI=")</f>
        <v>#VALUE!</v>
      </c>
      <c r="AZ22" t="e">
        <f>AND(class!AA134,"AAAAAH7//jM=")</f>
        <v>#VALUE!</v>
      </c>
      <c r="BA22" t="e">
        <f>AND(class!AB134,"AAAAAH7//jQ=")</f>
        <v>#VALUE!</v>
      </c>
      <c r="BB22" t="e">
        <f>AND(class!AC134,"AAAAAH7//jU=")</f>
        <v>#VALUE!</v>
      </c>
      <c r="BC22">
        <f>IF(class!135:135,"AAAAAH7//jY=",0)</f>
        <v>0</v>
      </c>
      <c r="BD22" t="e">
        <f>AND(class!A135,"AAAAAH7//jc=")</f>
        <v>#VALUE!</v>
      </c>
      <c r="BE22" t="e">
        <f>AND(class!B135,"AAAAAH7//jg=")</f>
        <v>#VALUE!</v>
      </c>
      <c r="BF22" t="e">
        <f>AND(class!C135,"AAAAAH7//jk=")</f>
        <v>#VALUE!</v>
      </c>
      <c r="BG22" t="e">
        <f>AND(class!D135,"AAAAAH7//jo=")</f>
        <v>#VALUE!</v>
      </c>
      <c r="BH22" t="e">
        <f>AND(class!E135,"AAAAAH7//js=")</f>
        <v>#VALUE!</v>
      </c>
      <c r="BI22" t="e">
        <f>AND(class!F135,"AAAAAH7//jw=")</f>
        <v>#VALUE!</v>
      </c>
      <c r="BJ22" t="e">
        <f>AND(class!G135,"AAAAAH7//j0=")</f>
        <v>#VALUE!</v>
      </c>
      <c r="BK22" t="e">
        <f>AND(class!H135,"AAAAAH7//j4=")</f>
        <v>#VALUE!</v>
      </c>
      <c r="BL22" t="e">
        <f>AND(class!I135,"AAAAAH7//j8=")</f>
        <v>#VALUE!</v>
      </c>
      <c r="BM22" t="e">
        <f>AND(class!J135,"AAAAAH7//kA=")</f>
        <v>#VALUE!</v>
      </c>
      <c r="BN22" t="e">
        <f>AND(class!K135,"AAAAAH7//kE=")</f>
        <v>#VALUE!</v>
      </c>
      <c r="BO22" t="e">
        <f>AND(class!L135,"AAAAAH7//kI=")</f>
        <v>#VALUE!</v>
      </c>
      <c r="BP22" t="e">
        <f>AND(class!M135,"AAAAAH7//kM=")</f>
        <v>#VALUE!</v>
      </c>
      <c r="BQ22" t="e">
        <f>AND(class!N135,"AAAAAH7//kQ=")</f>
        <v>#VALUE!</v>
      </c>
      <c r="BR22" t="e">
        <f>AND(class!O135,"AAAAAH7//kU=")</f>
        <v>#VALUE!</v>
      </c>
      <c r="BS22" t="e">
        <f>AND(class!P135,"AAAAAH7//kY=")</f>
        <v>#VALUE!</v>
      </c>
      <c r="BT22" t="e">
        <f>AND(class!Q135,"AAAAAH7//kc=")</f>
        <v>#VALUE!</v>
      </c>
      <c r="BU22" t="e">
        <f>AND(class!R135,"AAAAAH7//kg=")</f>
        <v>#VALUE!</v>
      </c>
      <c r="BV22" t="e">
        <f>AND(class!S135,"AAAAAH7//kk=")</f>
        <v>#VALUE!</v>
      </c>
      <c r="BW22" t="e">
        <f>AND(class!T135,"AAAAAH7//ko=")</f>
        <v>#VALUE!</v>
      </c>
      <c r="BX22" t="e">
        <f>AND(class!U135,"AAAAAH7//ks=")</f>
        <v>#VALUE!</v>
      </c>
      <c r="BY22" t="e">
        <f>AND(class!V135,"AAAAAH7//kw=")</f>
        <v>#VALUE!</v>
      </c>
      <c r="BZ22" t="e">
        <f>AND(class!W135,"AAAAAH7//k0=")</f>
        <v>#VALUE!</v>
      </c>
      <c r="CA22" t="e">
        <f>AND(class!X135,"AAAAAH7//k4=")</f>
        <v>#VALUE!</v>
      </c>
      <c r="CB22" t="e">
        <f>AND(class!Y135,"AAAAAH7//k8=")</f>
        <v>#VALUE!</v>
      </c>
      <c r="CC22" t="e">
        <f>AND(class!Z135,"AAAAAH7//lA=")</f>
        <v>#VALUE!</v>
      </c>
      <c r="CD22" t="e">
        <f>AND(class!AA135,"AAAAAH7//lE=")</f>
        <v>#VALUE!</v>
      </c>
      <c r="CE22" t="e">
        <f>AND(class!AB135,"AAAAAH7//lI=")</f>
        <v>#VALUE!</v>
      </c>
      <c r="CF22" t="e">
        <f>AND(class!AC135,"AAAAAH7//lM=")</f>
        <v>#VALUE!</v>
      </c>
      <c r="CG22">
        <f>IF(class!136:136,"AAAAAH7//lQ=",0)</f>
        <v>0</v>
      </c>
      <c r="CH22" t="e">
        <f>AND(class!A136,"AAAAAH7//lU=")</f>
        <v>#VALUE!</v>
      </c>
      <c r="CI22" t="e">
        <f>AND(class!B136,"AAAAAH7//lY=")</f>
        <v>#VALUE!</v>
      </c>
      <c r="CJ22" t="e">
        <f>AND(class!C136,"AAAAAH7//lc=")</f>
        <v>#VALUE!</v>
      </c>
      <c r="CK22" t="e">
        <f>AND(class!D136,"AAAAAH7//lg=")</f>
        <v>#VALUE!</v>
      </c>
      <c r="CL22" t="e">
        <f>AND(class!E136,"AAAAAH7//lk=")</f>
        <v>#VALUE!</v>
      </c>
      <c r="CM22" t="e">
        <f>AND(class!F136,"AAAAAH7//lo=")</f>
        <v>#VALUE!</v>
      </c>
      <c r="CN22" t="e">
        <f>AND(class!G136,"AAAAAH7//ls=")</f>
        <v>#VALUE!</v>
      </c>
      <c r="CO22" t="e">
        <f>AND(class!H136,"AAAAAH7//lw=")</f>
        <v>#VALUE!</v>
      </c>
      <c r="CP22" t="e">
        <f>AND(class!I136,"AAAAAH7//l0=")</f>
        <v>#VALUE!</v>
      </c>
      <c r="CQ22" t="e">
        <f>AND(class!J136,"AAAAAH7//l4=")</f>
        <v>#VALUE!</v>
      </c>
      <c r="CR22" t="e">
        <f>AND(class!K136,"AAAAAH7//l8=")</f>
        <v>#VALUE!</v>
      </c>
      <c r="CS22" t="e">
        <f>AND(class!L136,"AAAAAH7//mA=")</f>
        <v>#VALUE!</v>
      </c>
      <c r="CT22" t="e">
        <f>AND(class!M136,"AAAAAH7//mE=")</f>
        <v>#VALUE!</v>
      </c>
      <c r="CU22" t="e">
        <f>AND(class!N136,"AAAAAH7//mI=")</f>
        <v>#VALUE!</v>
      </c>
      <c r="CV22" t="e">
        <f>AND(class!O136,"AAAAAH7//mM=")</f>
        <v>#VALUE!</v>
      </c>
      <c r="CW22" t="e">
        <f>AND(class!P136,"AAAAAH7//mQ=")</f>
        <v>#VALUE!</v>
      </c>
      <c r="CX22" t="e">
        <f>AND(class!Q136,"AAAAAH7//mU=")</f>
        <v>#VALUE!</v>
      </c>
      <c r="CY22" t="e">
        <f>AND(class!R136,"AAAAAH7//mY=")</f>
        <v>#VALUE!</v>
      </c>
      <c r="CZ22" t="e">
        <f>AND(class!S136,"AAAAAH7//mc=")</f>
        <v>#VALUE!</v>
      </c>
      <c r="DA22" t="e">
        <f>AND(class!T136,"AAAAAH7//mg=")</f>
        <v>#VALUE!</v>
      </c>
      <c r="DB22" t="e">
        <f>AND(class!U136,"AAAAAH7//mk=")</f>
        <v>#VALUE!</v>
      </c>
      <c r="DC22" t="e">
        <f>AND(class!V136,"AAAAAH7//mo=")</f>
        <v>#VALUE!</v>
      </c>
      <c r="DD22" t="e">
        <f>AND(class!W136,"AAAAAH7//ms=")</f>
        <v>#VALUE!</v>
      </c>
      <c r="DE22" t="e">
        <f>AND(class!X136,"AAAAAH7//mw=")</f>
        <v>#VALUE!</v>
      </c>
      <c r="DF22" t="e">
        <f>AND(class!Y136,"AAAAAH7//m0=")</f>
        <v>#VALUE!</v>
      </c>
      <c r="DG22" t="e">
        <f>AND(class!Z136,"AAAAAH7//m4=")</f>
        <v>#VALUE!</v>
      </c>
      <c r="DH22" t="e">
        <f>AND(class!AA136,"AAAAAH7//m8=")</f>
        <v>#VALUE!</v>
      </c>
      <c r="DI22" t="e">
        <f>AND(class!AB136,"AAAAAH7//nA=")</f>
        <v>#VALUE!</v>
      </c>
      <c r="DJ22" t="e">
        <f>AND(class!AC136,"AAAAAH7//nE=")</f>
        <v>#VALUE!</v>
      </c>
      <c r="DK22">
        <f>IF(class!137:137,"AAAAAH7//nI=",0)</f>
        <v>0</v>
      </c>
      <c r="DL22" t="e">
        <f>AND(class!A137,"AAAAAH7//nM=")</f>
        <v>#VALUE!</v>
      </c>
      <c r="DM22" t="e">
        <f>AND(class!B137,"AAAAAH7//nQ=")</f>
        <v>#VALUE!</v>
      </c>
      <c r="DN22" t="e">
        <f>AND(class!C137,"AAAAAH7//nU=")</f>
        <v>#VALUE!</v>
      </c>
      <c r="DO22" t="e">
        <f>AND(class!D137,"AAAAAH7//nY=")</f>
        <v>#VALUE!</v>
      </c>
      <c r="DP22" t="e">
        <f>AND(class!E137,"AAAAAH7//nc=")</f>
        <v>#VALUE!</v>
      </c>
      <c r="DQ22" t="e">
        <f>AND(class!F137,"AAAAAH7//ng=")</f>
        <v>#VALUE!</v>
      </c>
      <c r="DR22" t="e">
        <f>AND(class!G137,"AAAAAH7//nk=")</f>
        <v>#VALUE!</v>
      </c>
      <c r="DS22" t="e">
        <f>AND(class!H137,"AAAAAH7//no=")</f>
        <v>#VALUE!</v>
      </c>
      <c r="DT22" t="e">
        <f>AND(class!I137,"AAAAAH7//ns=")</f>
        <v>#VALUE!</v>
      </c>
      <c r="DU22" t="e">
        <f>AND(class!J137,"AAAAAH7//nw=")</f>
        <v>#VALUE!</v>
      </c>
      <c r="DV22" t="e">
        <f>AND(class!K137,"AAAAAH7//n0=")</f>
        <v>#VALUE!</v>
      </c>
      <c r="DW22" t="e">
        <f>AND(class!L137,"AAAAAH7//n4=")</f>
        <v>#VALUE!</v>
      </c>
      <c r="DX22" t="e">
        <f>AND(class!M137,"AAAAAH7//n8=")</f>
        <v>#VALUE!</v>
      </c>
      <c r="DY22" t="e">
        <f>AND(class!N137,"AAAAAH7//oA=")</f>
        <v>#VALUE!</v>
      </c>
      <c r="DZ22" t="e">
        <f>AND(class!O137,"AAAAAH7//oE=")</f>
        <v>#VALUE!</v>
      </c>
      <c r="EA22" t="e">
        <f>AND(class!P137,"AAAAAH7//oI=")</f>
        <v>#VALUE!</v>
      </c>
      <c r="EB22" t="e">
        <f>AND(class!Q137,"AAAAAH7//oM=")</f>
        <v>#VALUE!</v>
      </c>
      <c r="EC22" t="e">
        <f>AND(class!R137,"AAAAAH7//oQ=")</f>
        <v>#VALUE!</v>
      </c>
      <c r="ED22" t="e">
        <f>AND(class!S137,"AAAAAH7//oU=")</f>
        <v>#VALUE!</v>
      </c>
      <c r="EE22" t="e">
        <f>AND(class!T137,"AAAAAH7//oY=")</f>
        <v>#VALUE!</v>
      </c>
      <c r="EF22" t="e">
        <f>AND(class!U137,"AAAAAH7//oc=")</f>
        <v>#VALUE!</v>
      </c>
      <c r="EG22" t="e">
        <f>AND(class!V137,"AAAAAH7//og=")</f>
        <v>#VALUE!</v>
      </c>
      <c r="EH22" t="e">
        <f>AND(class!W137,"AAAAAH7//ok=")</f>
        <v>#VALUE!</v>
      </c>
      <c r="EI22" t="e">
        <f>AND(class!X137,"AAAAAH7//oo=")</f>
        <v>#VALUE!</v>
      </c>
      <c r="EJ22" t="e">
        <f>AND(class!Y137,"AAAAAH7//os=")</f>
        <v>#VALUE!</v>
      </c>
      <c r="EK22" t="e">
        <f>AND(class!Z137,"AAAAAH7//ow=")</f>
        <v>#VALUE!</v>
      </c>
      <c r="EL22" t="e">
        <f>AND(class!AA137,"AAAAAH7//o0=")</f>
        <v>#VALUE!</v>
      </c>
      <c r="EM22" t="e">
        <f>AND(class!AB137,"AAAAAH7//o4=")</f>
        <v>#VALUE!</v>
      </c>
      <c r="EN22" t="e">
        <f>AND(class!AC137,"AAAAAH7//o8=")</f>
        <v>#VALUE!</v>
      </c>
      <c r="EO22">
        <f>IF(class!138:138,"AAAAAH7//pA=",0)</f>
        <v>0</v>
      </c>
      <c r="EP22" t="e">
        <f>AND(class!A138,"AAAAAH7//pE=")</f>
        <v>#VALUE!</v>
      </c>
      <c r="EQ22" t="e">
        <f>AND(class!B138,"AAAAAH7//pI=")</f>
        <v>#VALUE!</v>
      </c>
      <c r="ER22" t="e">
        <f>AND(class!C138,"AAAAAH7//pM=")</f>
        <v>#VALUE!</v>
      </c>
      <c r="ES22" t="e">
        <f>AND(class!D138,"AAAAAH7//pQ=")</f>
        <v>#VALUE!</v>
      </c>
      <c r="ET22" t="e">
        <f>AND(class!E138,"AAAAAH7//pU=")</f>
        <v>#VALUE!</v>
      </c>
      <c r="EU22" t="e">
        <f>AND(class!F138,"AAAAAH7//pY=")</f>
        <v>#VALUE!</v>
      </c>
      <c r="EV22" t="e">
        <f>AND(class!G138,"AAAAAH7//pc=")</f>
        <v>#VALUE!</v>
      </c>
      <c r="EW22" t="e">
        <f>AND(class!H138,"AAAAAH7//pg=")</f>
        <v>#VALUE!</v>
      </c>
      <c r="EX22" t="e">
        <f>AND(class!I138,"AAAAAH7//pk=")</f>
        <v>#VALUE!</v>
      </c>
      <c r="EY22" t="e">
        <f>AND(class!J138,"AAAAAH7//po=")</f>
        <v>#VALUE!</v>
      </c>
      <c r="EZ22" t="e">
        <f>AND(class!K138,"AAAAAH7//ps=")</f>
        <v>#VALUE!</v>
      </c>
      <c r="FA22" t="e">
        <f>AND(class!L138,"AAAAAH7//pw=")</f>
        <v>#VALUE!</v>
      </c>
      <c r="FB22" t="e">
        <f>AND(class!M138,"AAAAAH7//p0=")</f>
        <v>#VALUE!</v>
      </c>
      <c r="FC22" t="e">
        <f>AND(class!N138,"AAAAAH7//p4=")</f>
        <v>#VALUE!</v>
      </c>
      <c r="FD22" t="e">
        <f>AND(class!O138,"AAAAAH7//p8=")</f>
        <v>#VALUE!</v>
      </c>
      <c r="FE22" t="e">
        <f>AND(class!P138,"AAAAAH7//qA=")</f>
        <v>#VALUE!</v>
      </c>
      <c r="FF22" t="e">
        <f>AND(class!Q138,"AAAAAH7//qE=")</f>
        <v>#VALUE!</v>
      </c>
      <c r="FG22" t="e">
        <f>AND(class!R138,"AAAAAH7//qI=")</f>
        <v>#VALUE!</v>
      </c>
      <c r="FH22" t="e">
        <f>AND(class!S138,"AAAAAH7//qM=")</f>
        <v>#VALUE!</v>
      </c>
      <c r="FI22" t="e">
        <f>AND(class!T138,"AAAAAH7//qQ=")</f>
        <v>#VALUE!</v>
      </c>
      <c r="FJ22" t="e">
        <f>AND(class!U138,"AAAAAH7//qU=")</f>
        <v>#VALUE!</v>
      </c>
      <c r="FK22" t="e">
        <f>AND(class!V138,"AAAAAH7//qY=")</f>
        <v>#VALUE!</v>
      </c>
      <c r="FL22" t="e">
        <f>AND(class!W138,"AAAAAH7//qc=")</f>
        <v>#VALUE!</v>
      </c>
      <c r="FM22" t="e">
        <f>AND(class!X138,"AAAAAH7//qg=")</f>
        <v>#VALUE!</v>
      </c>
      <c r="FN22" t="e">
        <f>AND(class!Y138,"AAAAAH7//qk=")</f>
        <v>#VALUE!</v>
      </c>
      <c r="FO22" t="e">
        <f>AND(class!Z138,"AAAAAH7//qo=")</f>
        <v>#VALUE!</v>
      </c>
      <c r="FP22" t="e">
        <f>AND(class!AA138,"AAAAAH7//qs=")</f>
        <v>#VALUE!</v>
      </c>
      <c r="FQ22" t="e">
        <f>AND(class!AB138,"AAAAAH7//qw=")</f>
        <v>#VALUE!</v>
      </c>
      <c r="FR22" t="e">
        <f>AND(class!AC138,"AAAAAH7//q0=")</f>
        <v>#VALUE!</v>
      </c>
      <c r="FS22">
        <f>IF(class!139:139,"AAAAAH7//q4=",0)</f>
        <v>0</v>
      </c>
      <c r="FT22" t="e">
        <f>AND(class!A139,"AAAAAH7//q8=")</f>
        <v>#VALUE!</v>
      </c>
      <c r="FU22" t="e">
        <f>AND(class!B139,"AAAAAH7//rA=")</f>
        <v>#VALUE!</v>
      </c>
      <c r="FV22" t="e">
        <f>AND(class!C139,"AAAAAH7//rE=")</f>
        <v>#VALUE!</v>
      </c>
      <c r="FW22" t="e">
        <f>AND(class!D139,"AAAAAH7//rI=")</f>
        <v>#VALUE!</v>
      </c>
      <c r="FX22" t="e">
        <f>AND(class!E139,"AAAAAH7//rM=")</f>
        <v>#VALUE!</v>
      </c>
      <c r="FY22" t="e">
        <f>AND(class!F139,"AAAAAH7//rQ=")</f>
        <v>#VALUE!</v>
      </c>
      <c r="FZ22" t="e">
        <f>AND(class!G139,"AAAAAH7//rU=")</f>
        <v>#VALUE!</v>
      </c>
      <c r="GA22" t="e">
        <f>AND(class!H139,"AAAAAH7//rY=")</f>
        <v>#VALUE!</v>
      </c>
      <c r="GB22" t="e">
        <f>AND(class!I139,"AAAAAH7//rc=")</f>
        <v>#VALUE!</v>
      </c>
      <c r="GC22" t="e">
        <f>AND(class!J139,"AAAAAH7//rg=")</f>
        <v>#VALUE!</v>
      </c>
      <c r="GD22" t="e">
        <f>AND(class!K139,"AAAAAH7//rk=")</f>
        <v>#VALUE!</v>
      </c>
      <c r="GE22" t="e">
        <f>AND(class!L139,"AAAAAH7//ro=")</f>
        <v>#VALUE!</v>
      </c>
      <c r="GF22" t="e">
        <f>AND(class!M139,"AAAAAH7//rs=")</f>
        <v>#VALUE!</v>
      </c>
      <c r="GG22" t="e">
        <f>AND(class!N139,"AAAAAH7//rw=")</f>
        <v>#VALUE!</v>
      </c>
      <c r="GH22" t="e">
        <f>AND(class!O139,"AAAAAH7//r0=")</f>
        <v>#VALUE!</v>
      </c>
      <c r="GI22" t="e">
        <f>AND(class!P139,"AAAAAH7//r4=")</f>
        <v>#VALUE!</v>
      </c>
      <c r="GJ22" t="e">
        <f>AND(class!Q139,"AAAAAH7//r8=")</f>
        <v>#VALUE!</v>
      </c>
      <c r="GK22" t="e">
        <f>AND(class!R139,"AAAAAH7//sA=")</f>
        <v>#VALUE!</v>
      </c>
      <c r="GL22" t="e">
        <f>AND(class!S139,"AAAAAH7//sE=")</f>
        <v>#VALUE!</v>
      </c>
      <c r="GM22" t="e">
        <f>AND(class!T139,"AAAAAH7//sI=")</f>
        <v>#VALUE!</v>
      </c>
      <c r="GN22" t="e">
        <f>AND(class!U139,"AAAAAH7//sM=")</f>
        <v>#VALUE!</v>
      </c>
      <c r="GO22" t="e">
        <f>AND(class!V139,"AAAAAH7//sQ=")</f>
        <v>#VALUE!</v>
      </c>
      <c r="GP22" t="e">
        <f>AND(class!W139,"AAAAAH7//sU=")</f>
        <v>#VALUE!</v>
      </c>
      <c r="GQ22" t="e">
        <f>AND(class!X139,"AAAAAH7//sY=")</f>
        <v>#VALUE!</v>
      </c>
      <c r="GR22" t="e">
        <f>AND(class!Y139,"AAAAAH7//sc=")</f>
        <v>#VALUE!</v>
      </c>
      <c r="GS22" t="e">
        <f>AND(class!Z139,"AAAAAH7//sg=")</f>
        <v>#VALUE!</v>
      </c>
      <c r="GT22" t="e">
        <f>AND(class!AA139,"AAAAAH7//sk=")</f>
        <v>#VALUE!</v>
      </c>
      <c r="GU22" t="e">
        <f>AND(class!AB139,"AAAAAH7//so=")</f>
        <v>#VALUE!</v>
      </c>
      <c r="GV22" t="e">
        <f>AND(class!AC139,"AAAAAH7//ss=")</f>
        <v>#VALUE!</v>
      </c>
      <c r="GW22">
        <f>IF(class!140:140,"AAAAAH7//sw=",0)</f>
        <v>0</v>
      </c>
      <c r="GX22" t="e">
        <f>AND(class!A140,"AAAAAH7//s0=")</f>
        <v>#VALUE!</v>
      </c>
      <c r="GY22" t="e">
        <f>AND(class!B140,"AAAAAH7//s4=")</f>
        <v>#VALUE!</v>
      </c>
      <c r="GZ22" t="e">
        <f>AND(class!C140,"AAAAAH7//s8=")</f>
        <v>#VALUE!</v>
      </c>
      <c r="HA22" t="e">
        <f>AND(class!D140,"AAAAAH7//tA=")</f>
        <v>#VALUE!</v>
      </c>
      <c r="HB22" t="e">
        <f>AND(class!E140,"AAAAAH7//tE=")</f>
        <v>#VALUE!</v>
      </c>
      <c r="HC22" t="e">
        <f>AND(class!F140,"AAAAAH7//tI=")</f>
        <v>#VALUE!</v>
      </c>
      <c r="HD22" t="e">
        <f>AND(class!G140,"AAAAAH7//tM=")</f>
        <v>#VALUE!</v>
      </c>
      <c r="HE22" t="e">
        <f>AND(class!H140,"AAAAAH7//tQ=")</f>
        <v>#VALUE!</v>
      </c>
      <c r="HF22" t="e">
        <f>AND(class!I140,"AAAAAH7//tU=")</f>
        <v>#VALUE!</v>
      </c>
      <c r="HG22" t="e">
        <f>AND(class!J140,"AAAAAH7//tY=")</f>
        <v>#VALUE!</v>
      </c>
      <c r="HH22" t="e">
        <f>AND(class!K140,"AAAAAH7//tc=")</f>
        <v>#VALUE!</v>
      </c>
      <c r="HI22" t="e">
        <f>AND(class!L140,"AAAAAH7//tg=")</f>
        <v>#VALUE!</v>
      </c>
      <c r="HJ22" t="e">
        <f>AND(class!M140,"AAAAAH7//tk=")</f>
        <v>#VALUE!</v>
      </c>
      <c r="HK22" t="e">
        <f>AND(class!N140,"AAAAAH7//to=")</f>
        <v>#VALUE!</v>
      </c>
      <c r="HL22" t="e">
        <f>AND(class!O140,"AAAAAH7//ts=")</f>
        <v>#VALUE!</v>
      </c>
      <c r="HM22" t="e">
        <f>AND(class!P140,"AAAAAH7//tw=")</f>
        <v>#VALUE!</v>
      </c>
      <c r="HN22" t="e">
        <f>AND(class!Q140,"AAAAAH7//t0=")</f>
        <v>#VALUE!</v>
      </c>
      <c r="HO22" t="e">
        <f>AND(class!R140,"AAAAAH7//t4=")</f>
        <v>#VALUE!</v>
      </c>
      <c r="HP22" t="e">
        <f>AND(class!S140,"AAAAAH7//t8=")</f>
        <v>#VALUE!</v>
      </c>
      <c r="HQ22" t="e">
        <f>AND(class!T140,"AAAAAH7//uA=")</f>
        <v>#VALUE!</v>
      </c>
      <c r="HR22" t="e">
        <f>AND(class!U140,"AAAAAH7//uE=")</f>
        <v>#VALUE!</v>
      </c>
      <c r="HS22" t="e">
        <f>AND(class!V140,"AAAAAH7//uI=")</f>
        <v>#VALUE!</v>
      </c>
      <c r="HT22" t="e">
        <f>AND(class!W140,"AAAAAH7//uM=")</f>
        <v>#VALUE!</v>
      </c>
      <c r="HU22" t="e">
        <f>AND(class!X140,"AAAAAH7//uQ=")</f>
        <v>#VALUE!</v>
      </c>
      <c r="HV22" t="e">
        <f>AND(class!Y140,"AAAAAH7//uU=")</f>
        <v>#VALUE!</v>
      </c>
      <c r="HW22" t="e">
        <f>AND(class!Z140,"AAAAAH7//uY=")</f>
        <v>#VALUE!</v>
      </c>
      <c r="HX22" t="e">
        <f>AND(class!AA140,"AAAAAH7//uc=")</f>
        <v>#VALUE!</v>
      </c>
      <c r="HY22" t="e">
        <f>AND(class!AB140,"AAAAAH7//ug=")</f>
        <v>#VALUE!</v>
      </c>
      <c r="HZ22" t="e">
        <f>AND(class!AC140,"AAAAAH7//uk=")</f>
        <v>#VALUE!</v>
      </c>
      <c r="IA22">
        <f>IF(class!141:141,"AAAAAH7//uo=",0)</f>
        <v>0</v>
      </c>
      <c r="IB22" t="e">
        <f>AND(class!A141,"AAAAAH7//us=")</f>
        <v>#VALUE!</v>
      </c>
      <c r="IC22" t="e">
        <f>AND(class!B141,"AAAAAH7//uw=")</f>
        <v>#VALUE!</v>
      </c>
      <c r="ID22" t="e">
        <f>AND(class!C141,"AAAAAH7//u0=")</f>
        <v>#VALUE!</v>
      </c>
      <c r="IE22" t="e">
        <f>AND(class!D141,"AAAAAH7//u4=")</f>
        <v>#VALUE!</v>
      </c>
      <c r="IF22" t="e">
        <f>AND(class!E141,"AAAAAH7//u8=")</f>
        <v>#VALUE!</v>
      </c>
      <c r="IG22" t="e">
        <f>AND(class!F141,"AAAAAH7//vA=")</f>
        <v>#VALUE!</v>
      </c>
      <c r="IH22" t="e">
        <f>AND(class!G141,"AAAAAH7//vE=")</f>
        <v>#VALUE!</v>
      </c>
      <c r="II22" t="e">
        <f>AND(class!H141,"AAAAAH7//vI=")</f>
        <v>#VALUE!</v>
      </c>
      <c r="IJ22" t="e">
        <f>AND(class!I141,"AAAAAH7//vM=")</f>
        <v>#VALUE!</v>
      </c>
      <c r="IK22" t="e">
        <f>AND(class!J141,"AAAAAH7//vQ=")</f>
        <v>#VALUE!</v>
      </c>
      <c r="IL22" t="e">
        <f>AND(class!K141,"AAAAAH7//vU=")</f>
        <v>#VALUE!</v>
      </c>
      <c r="IM22" t="e">
        <f>AND(class!L141,"AAAAAH7//vY=")</f>
        <v>#VALUE!</v>
      </c>
      <c r="IN22" t="e">
        <f>AND(class!M141,"AAAAAH7//vc=")</f>
        <v>#VALUE!</v>
      </c>
      <c r="IO22" t="e">
        <f>AND(class!N141,"AAAAAH7//vg=")</f>
        <v>#VALUE!</v>
      </c>
      <c r="IP22" t="e">
        <f>AND(class!O141,"AAAAAH7//vk=")</f>
        <v>#VALUE!</v>
      </c>
      <c r="IQ22" t="e">
        <f>AND(class!P141,"AAAAAH7//vo=")</f>
        <v>#VALUE!</v>
      </c>
      <c r="IR22" t="e">
        <f>AND(class!Q141,"AAAAAH7//vs=")</f>
        <v>#VALUE!</v>
      </c>
      <c r="IS22" t="e">
        <f>AND(class!R141,"AAAAAH7//vw=")</f>
        <v>#VALUE!</v>
      </c>
      <c r="IT22" t="e">
        <f>AND(class!S141,"AAAAAH7//v0=")</f>
        <v>#VALUE!</v>
      </c>
      <c r="IU22" t="e">
        <f>AND(class!T141,"AAAAAH7//v4=")</f>
        <v>#VALUE!</v>
      </c>
      <c r="IV22" t="e">
        <f>AND(class!U141,"AAAAAH7//v8=")</f>
        <v>#VALUE!</v>
      </c>
    </row>
    <row r="23" spans="1:256" x14ac:dyDescent="0.2">
      <c r="A23" t="e">
        <f>AND(class!V141,"AAAAAHfH7wA=")</f>
        <v>#VALUE!</v>
      </c>
      <c r="B23" t="e">
        <f>AND(class!W141,"AAAAAHfH7wE=")</f>
        <v>#VALUE!</v>
      </c>
      <c r="C23" t="e">
        <f>AND(class!X141,"AAAAAHfH7wI=")</f>
        <v>#VALUE!</v>
      </c>
      <c r="D23" t="e">
        <f>AND(class!Y141,"AAAAAHfH7wM=")</f>
        <v>#VALUE!</v>
      </c>
      <c r="E23" t="e">
        <f>AND(class!Z141,"AAAAAHfH7wQ=")</f>
        <v>#VALUE!</v>
      </c>
      <c r="F23" t="e">
        <f>AND(class!AA141,"AAAAAHfH7wU=")</f>
        <v>#VALUE!</v>
      </c>
      <c r="G23" t="e">
        <f>AND(class!AB141,"AAAAAHfH7wY=")</f>
        <v>#VALUE!</v>
      </c>
      <c r="H23" t="e">
        <f>AND(class!AC141,"AAAAAHfH7wc=")</f>
        <v>#VALUE!</v>
      </c>
      <c r="I23">
        <f>IF(class!142:142,"AAAAAHfH7wg=",0)</f>
        <v>0</v>
      </c>
      <c r="J23" t="e">
        <f>AND(class!A142,"AAAAAHfH7wk=")</f>
        <v>#VALUE!</v>
      </c>
      <c r="K23" t="e">
        <f>AND(class!B142,"AAAAAHfH7wo=")</f>
        <v>#VALUE!</v>
      </c>
      <c r="L23" t="e">
        <f>AND(class!C142,"AAAAAHfH7ws=")</f>
        <v>#VALUE!</v>
      </c>
      <c r="M23" t="e">
        <f>AND(class!D142,"AAAAAHfH7ww=")</f>
        <v>#VALUE!</v>
      </c>
      <c r="N23" t="e">
        <f>AND(class!E142,"AAAAAHfH7w0=")</f>
        <v>#VALUE!</v>
      </c>
      <c r="O23" t="e">
        <f>AND(class!F142,"AAAAAHfH7w4=")</f>
        <v>#VALUE!</v>
      </c>
      <c r="P23" t="e">
        <f>AND(class!G142,"AAAAAHfH7w8=")</f>
        <v>#VALUE!</v>
      </c>
      <c r="Q23" t="e">
        <f>AND(class!H142,"AAAAAHfH7xA=")</f>
        <v>#VALUE!</v>
      </c>
      <c r="R23" t="e">
        <f>AND(class!I142,"AAAAAHfH7xE=")</f>
        <v>#VALUE!</v>
      </c>
      <c r="S23" t="e">
        <f>AND(class!J142,"AAAAAHfH7xI=")</f>
        <v>#VALUE!</v>
      </c>
      <c r="T23" t="e">
        <f>AND(class!K142,"AAAAAHfH7xM=")</f>
        <v>#VALUE!</v>
      </c>
      <c r="U23" t="e">
        <f>AND(class!L142,"AAAAAHfH7xQ=")</f>
        <v>#VALUE!</v>
      </c>
      <c r="V23" t="e">
        <f>AND(class!M142,"AAAAAHfH7xU=")</f>
        <v>#VALUE!</v>
      </c>
      <c r="W23" t="e">
        <f>AND(class!N142,"AAAAAHfH7xY=")</f>
        <v>#VALUE!</v>
      </c>
      <c r="X23" t="e">
        <f>AND(class!O142,"AAAAAHfH7xc=")</f>
        <v>#VALUE!</v>
      </c>
      <c r="Y23" t="e">
        <f>AND(class!P142,"AAAAAHfH7xg=")</f>
        <v>#VALUE!</v>
      </c>
      <c r="Z23" t="e">
        <f>AND(class!Q142,"AAAAAHfH7xk=")</f>
        <v>#VALUE!</v>
      </c>
      <c r="AA23" t="e">
        <f>AND(class!R142,"AAAAAHfH7xo=")</f>
        <v>#VALUE!</v>
      </c>
      <c r="AB23" t="e">
        <f>AND(class!S142,"AAAAAHfH7xs=")</f>
        <v>#VALUE!</v>
      </c>
      <c r="AC23" t="e">
        <f>AND(class!T142,"AAAAAHfH7xw=")</f>
        <v>#VALUE!</v>
      </c>
      <c r="AD23" t="e">
        <f>AND(class!U142,"AAAAAHfH7x0=")</f>
        <v>#VALUE!</v>
      </c>
      <c r="AE23" t="e">
        <f>AND(class!V142,"AAAAAHfH7x4=")</f>
        <v>#VALUE!</v>
      </c>
      <c r="AF23" t="e">
        <f>AND(class!W142,"AAAAAHfH7x8=")</f>
        <v>#VALUE!</v>
      </c>
      <c r="AG23" t="e">
        <f>AND(class!X142,"AAAAAHfH7yA=")</f>
        <v>#VALUE!</v>
      </c>
      <c r="AH23" t="e">
        <f>AND(class!Y142,"AAAAAHfH7yE=")</f>
        <v>#VALUE!</v>
      </c>
      <c r="AI23" t="e">
        <f>AND(class!Z142,"AAAAAHfH7yI=")</f>
        <v>#VALUE!</v>
      </c>
      <c r="AJ23" t="e">
        <f>AND(class!AA142,"AAAAAHfH7yM=")</f>
        <v>#VALUE!</v>
      </c>
      <c r="AK23" t="e">
        <f>AND(class!AB142,"AAAAAHfH7yQ=")</f>
        <v>#VALUE!</v>
      </c>
      <c r="AL23" t="e">
        <f>AND(class!AC142,"AAAAAHfH7yU=")</f>
        <v>#VALUE!</v>
      </c>
      <c r="AM23">
        <f>IF(class!143:143,"AAAAAHfH7yY=",0)</f>
        <v>0</v>
      </c>
      <c r="AN23" t="e">
        <f>AND(class!A143,"AAAAAHfH7yc=")</f>
        <v>#VALUE!</v>
      </c>
      <c r="AO23" t="e">
        <f>AND(class!B143,"AAAAAHfH7yg=")</f>
        <v>#VALUE!</v>
      </c>
      <c r="AP23" t="e">
        <f>AND(class!C143,"AAAAAHfH7yk=")</f>
        <v>#VALUE!</v>
      </c>
      <c r="AQ23" t="e">
        <f>AND(class!D143,"AAAAAHfH7yo=")</f>
        <v>#VALUE!</v>
      </c>
      <c r="AR23" t="e">
        <f>AND(class!E143,"AAAAAHfH7ys=")</f>
        <v>#VALUE!</v>
      </c>
      <c r="AS23" t="e">
        <f>AND(class!F143,"AAAAAHfH7yw=")</f>
        <v>#VALUE!</v>
      </c>
      <c r="AT23" t="e">
        <f>AND(class!G143,"AAAAAHfH7y0=")</f>
        <v>#VALUE!</v>
      </c>
      <c r="AU23" t="e">
        <f>AND(class!H143,"AAAAAHfH7y4=")</f>
        <v>#VALUE!</v>
      </c>
      <c r="AV23" t="e">
        <f>AND(class!I143,"AAAAAHfH7y8=")</f>
        <v>#VALUE!</v>
      </c>
      <c r="AW23" t="e">
        <f>AND(class!J143,"AAAAAHfH7zA=")</f>
        <v>#VALUE!</v>
      </c>
      <c r="AX23" t="e">
        <f>AND(class!K143,"AAAAAHfH7zE=")</f>
        <v>#VALUE!</v>
      </c>
      <c r="AY23" t="e">
        <f>AND(class!L143,"AAAAAHfH7zI=")</f>
        <v>#VALUE!</v>
      </c>
      <c r="AZ23" t="e">
        <f>AND(class!M143,"AAAAAHfH7zM=")</f>
        <v>#VALUE!</v>
      </c>
      <c r="BA23" t="e">
        <f>AND(class!N143,"AAAAAHfH7zQ=")</f>
        <v>#VALUE!</v>
      </c>
      <c r="BB23" t="e">
        <f>AND(class!O143,"AAAAAHfH7zU=")</f>
        <v>#VALUE!</v>
      </c>
      <c r="BC23" t="e">
        <f>AND(class!P143,"AAAAAHfH7zY=")</f>
        <v>#VALUE!</v>
      </c>
      <c r="BD23" t="e">
        <f>AND(class!Q143,"AAAAAHfH7zc=")</f>
        <v>#VALUE!</v>
      </c>
      <c r="BE23" t="e">
        <f>AND(class!R143,"AAAAAHfH7zg=")</f>
        <v>#VALUE!</v>
      </c>
      <c r="BF23" t="e">
        <f>AND(class!S143,"AAAAAHfH7zk=")</f>
        <v>#VALUE!</v>
      </c>
      <c r="BG23" t="e">
        <f>AND(class!T143,"AAAAAHfH7zo=")</f>
        <v>#VALUE!</v>
      </c>
      <c r="BH23" t="e">
        <f>AND(class!U143,"AAAAAHfH7zs=")</f>
        <v>#VALUE!</v>
      </c>
      <c r="BI23" t="e">
        <f>AND(class!V143,"AAAAAHfH7zw=")</f>
        <v>#VALUE!</v>
      </c>
      <c r="BJ23" t="e">
        <f>AND(class!W143,"AAAAAHfH7z0=")</f>
        <v>#VALUE!</v>
      </c>
      <c r="BK23" t="e">
        <f>AND(class!X143,"AAAAAHfH7z4=")</f>
        <v>#VALUE!</v>
      </c>
      <c r="BL23" t="e">
        <f>AND(class!Y143,"AAAAAHfH7z8=")</f>
        <v>#VALUE!</v>
      </c>
      <c r="BM23" t="e">
        <f>AND(class!Z143,"AAAAAHfH70A=")</f>
        <v>#VALUE!</v>
      </c>
      <c r="BN23" t="e">
        <f>AND(class!AA143,"AAAAAHfH70E=")</f>
        <v>#VALUE!</v>
      </c>
      <c r="BO23" t="e">
        <f>AND(class!AB143,"AAAAAHfH70I=")</f>
        <v>#VALUE!</v>
      </c>
      <c r="BP23" t="e">
        <f>AND(class!AC143,"AAAAAHfH70M=")</f>
        <v>#VALUE!</v>
      </c>
      <c r="BQ23">
        <f>IF(class!144:144,"AAAAAHfH70Q=",0)</f>
        <v>0</v>
      </c>
      <c r="BR23" t="e">
        <f>AND(class!A144,"AAAAAHfH70U=")</f>
        <v>#VALUE!</v>
      </c>
      <c r="BS23" t="e">
        <f>AND(class!B144,"AAAAAHfH70Y=")</f>
        <v>#VALUE!</v>
      </c>
      <c r="BT23" t="e">
        <f>AND(class!C144,"AAAAAHfH70c=")</f>
        <v>#VALUE!</v>
      </c>
      <c r="BU23" t="e">
        <f>AND(class!D144,"AAAAAHfH70g=")</f>
        <v>#VALUE!</v>
      </c>
      <c r="BV23" t="e">
        <f>AND(class!E144,"AAAAAHfH70k=")</f>
        <v>#VALUE!</v>
      </c>
      <c r="BW23" t="e">
        <f>AND(class!F144,"AAAAAHfH70o=")</f>
        <v>#VALUE!</v>
      </c>
      <c r="BX23" t="e">
        <f>AND(class!G144,"AAAAAHfH70s=")</f>
        <v>#VALUE!</v>
      </c>
      <c r="BY23" t="e">
        <f>AND(class!H144,"AAAAAHfH70w=")</f>
        <v>#VALUE!</v>
      </c>
      <c r="BZ23" t="e">
        <f>AND(class!I144,"AAAAAHfH700=")</f>
        <v>#VALUE!</v>
      </c>
      <c r="CA23" t="e">
        <f>AND(class!J144,"AAAAAHfH704=")</f>
        <v>#VALUE!</v>
      </c>
      <c r="CB23" t="e">
        <f>AND(class!K144,"AAAAAHfH708=")</f>
        <v>#VALUE!</v>
      </c>
      <c r="CC23" t="e">
        <f>AND(class!L144,"AAAAAHfH71A=")</f>
        <v>#VALUE!</v>
      </c>
      <c r="CD23" t="e">
        <f>AND(class!M144,"AAAAAHfH71E=")</f>
        <v>#VALUE!</v>
      </c>
      <c r="CE23" t="e">
        <f>AND(class!N144,"AAAAAHfH71I=")</f>
        <v>#VALUE!</v>
      </c>
      <c r="CF23" t="e">
        <f>AND(class!O144,"AAAAAHfH71M=")</f>
        <v>#VALUE!</v>
      </c>
      <c r="CG23" t="e">
        <f>AND(class!P144,"AAAAAHfH71Q=")</f>
        <v>#VALUE!</v>
      </c>
      <c r="CH23" t="e">
        <f>AND(class!Q144,"AAAAAHfH71U=")</f>
        <v>#VALUE!</v>
      </c>
      <c r="CI23" t="e">
        <f>AND(class!R144,"AAAAAHfH71Y=")</f>
        <v>#VALUE!</v>
      </c>
      <c r="CJ23" t="e">
        <f>AND(class!S144,"AAAAAHfH71c=")</f>
        <v>#VALUE!</v>
      </c>
      <c r="CK23" t="e">
        <f>AND(class!T144,"AAAAAHfH71g=")</f>
        <v>#VALUE!</v>
      </c>
      <c r="CL23" t="e">
        <f>AND(class!U144,"AAAAAHfH71k=")</f>
        <v>#VALUE!</v>
      </c>
      <c r="CM23" t="e">
        <f>AND(class!V144,"AAAAAHfH71o=")</f>
        <v>#VALUE!</v>
      </c>
      <c r="CN23" t="e">
        <f>AND(class!W144,"AAAAAHfH71s=")</f>
        <v>#VALUE!</v>
      </c>
      <c r="CO23" t="e">
        <f>AND(class!X144,"AAAAAHfH71w=")</f>
        <v>#VALUE!</v>
      </c>
      <c r="CP23" t="e">
        <f>AND(class!Y144,"AAAAAHfH710=")</f>
        <v>#VALUE!</v>
      </c>
      <c r="CQ23" t="e">
        <f>AND(class!Z144,"AAAAAHfH714=")</f>
        <v>#VALUE!</v>
      </c>
      <c r="CR23" t="e">
        <f>AND(class!AA144,"AAAAAHfH718=")</f>
        <v>#VALUE!</v>
      </c>
      <c r="CS23" t="e">
        <f>AND(class!AB144,"AAAAAHfH72A=")</f>
        <v>#VALUE!</v>
      </c>
      <c r="CT23" t="e">
        <f>AND(class!AC144,"AAAAAHfH72E=")</f>
        <v>#VALUE!</v>
      </c>
      <c r="CU23">
        <f>IF(class!145:145,"AAAAAHfH72I=",0)</f>
        <v>0</v>
      </c>
      <c r="CV23" t="e">
        <f>AND(class!A145,"AAAAAHfH72M=")</f>
        <v>#VALUE!</v>
      </c>
      <c r="CW23" t="e">
        <f>AND(class!B145,"AAAAAHfH72Q=")</f>
        <v>#VALUE!</v>
      </c>
      <c r="CX23" t="e">
        <f>AND(class!C145,"AAAAAHfH72U=")</f>
        <v>#VALUE!</v>
      </c>
      <c r="CY23" t="e">
        <f>AND(class!D145,"AAAAAHfH72Y=")</f>
        <v>#VALUE!</v>
      </c>
      <c r="CZ23" t="e">
        <f>AND(class!E145,"AAAAAHfH72c=")</f>
        <v>#VALUE!</v>
      </c>
      <c r="DA23" t="e">
        <f>AND(class!F145,"AAAAAHfH72g=")</f>
        <v>#VALUE!</v>
      </c>
      <c r="DB23" t="e">
        <f>AND(class!G145,"AAAAAHfH72k=")</f>
        <v>#VALUE!</v>
      </c>
      <c r="DC23" t="e">
        <f>AND(class!H145,"AAAAAHfH72o=")</f>
        <v>#VALUE!</v>
      </c>
      <c r="DD23" t="e">
        <f>AND(class!I145,"AAAAAHfH72s=")</f>
        <v>#VALUE!</v>
      </c>
      <c r="DE23" t="e">
        <f>AND(class!J145,"AAAAAHfH72w=")</f>
        <v>#VALUE!</v>
      </c>
      <c r="DF23" t="e">
        <f>AND(class!K145,"AAAAAHfH720=")</f>
        <v>#VALUE!</v>
      </c>
      <c r="DG23" t="e">
        <f>AND(class!L145,"AAAAAHfH724=")</f>
        <v>#VALUE!</v>
      </c>
      <c r="DH23" t="e">
        <f>AND(class!M145,"AAAAAHfH728=")</f>
        <v>#VALUE!</v>
      </c>
      <c r="DI23" t="e">
        <f>AND(class!N145,"AAAAAHfH73A=")</f>
        <v>#VALUE!</v>
      </c>
      <c r="DJ23" t="e">
        <f>AND(class!O145,"AAAAAHfH73E=")</f>
        <v>#VALUE!</v>
      </c>
      <c r="DK23" t="e">
        <f>AND(class!P145,"AAAAAHfH73I=")</f>
        <v>#VALUE!</v>
      </c>
      <c r="DL23" t="e">
        <f>AND(class!Q145,"AAAAAHfH73M=")</f>
        <v>#VALUE!</v>
      </c>
      <c r="DM23" t="e">
        <f>AND(class!R145,"AAAAAHfH73Q=")</f>
        <v>#VALUE!</v>
      </c>
      <c r="DN23" t="e">
        <f>AND(class!S145,"AAAAAHfH73U=")</f>
        <v>#VALUE!</v>
      </c>
      <c r="DO23" t="e">
        <f>AND(class!T145,"AAAAAHfH73Y=")</f>
        <v>#VALUE!</v>
      </c>
      <c r="DP23" t="e">
        <f>AND(class!U145,"AAAAAHfH73c=")</f>
        <v>#VALUE!</v>
      </c>
      <c r="DQ23" t="e">
        <f>AND(class!V145,"AAAAAHfH73g=")</f>
        <v>#VALUE!</v>
      </c>
      <c r="DR23" t="e">
        <f>AND(class!W145,"AAAAAHfH73k=")</f>
        <v>#VALUE!</v>
      </c>
      <c r="DS23" t="e">
        <f>AND(class!X145,"AAAAAHfH73o=")</f>
        <v>#VALUE!</v>
      </c>
      <c r="DT23" t="e">
        <f>AND(class!Y145,"AAAAAHfH73s=")</f>
        <v>#VALUE!</v>
      </c>
      <c r="DU23" t="e">
        <f>AND(class!Z145,"AAAAAHfH73w=")</f>
        <v>#VALUE!</v>
      </c>
      <c r="DV23" t="e">
        <f>AND(class!AA145,"AAAAAHfH730=")</f>
        <v>#VALUE!</v>
      </c>
      <c r="DW23" t="e">
        <f>AND(class!AB145,"AAAAAHfH734=")</f>
        <v>#VALUE!</v>
      </c>
      <c r="DX23" t="e">
        <f>AND(class!AC145,"AAAAAHfH738=")</f>
        <v>#VALUE!</v>
      </c>
      <c r="DY23">
        <f>IF(class!146:146,"AAAAAHfH74A=",0)</f>
        <v>0</v>
      </c>
      <c r="DZ23" t="e">
        <f>AND(class!A146,"AAAAAHfH74E=")</f>
        <v>#VALUE!</v>
      </c>
      <c r="EA23" t="e">
        <f>AND(class!B146,"AAAAAHfH74I=")</f>
        <v>#VALUE!</v>
      </c>
      <c r="EB23" t="e">
        <f>AND(class!C146,"AAAAAHfH74M=")</f>
        <v>#VALUE!</v>
      </c>
      <c r="EC23" t="e">
        <f>AND(class!D146,"AAAAAHfH74Q=")</f>
        <v>#VALUE!</v>
      </c>
      <c r="ED23" t="e">
        <f>AND(class!E146,"AAAAAHfH74U=")</f>
        <v>#VALUE!</v>
      </c>
      <c r="EE23" t="e">
        <f>AND(class!F146,"AAAAAHfH74Y=")</f>
        <v>#VALUE!</v>
      </c>
      <c r="EF23" t="e">
        <f>AND(class!G146,"AAAAAHfH74c=")</f>
        <v>#VALUE!</v>
      </c>
      <c r="EG23" t="e">
        <f>AND(class!H146,"AAAAAHfH74g=")</f>
        <v>#VALUE!</v>
      </c>
      <c r="EH23" t="e">
        <f>AND(class!I146,"AAAAAHfH74k=")</f>
        <v>#VALUE!</v>
      </c>
      <c r="EI23" t="e">
        <f>AND(class!J146,"AAAAAHfH74o=")</f>
        <v>#VALUE!</v>
      </c>
      <c r="EJ23" t="e">
        <f>AND(class!K146,"AAAAAHfH74s=")</f>
        <v>#VALUE!</v>
      </c>
      <c r="EK23" t="e">
        <f>AND(class!L146,"AAAAAHfH74w=")</f>
        <v>#VALUE!</v>
      </c>
      <c r="EL23" t="e">
        <f>AND(class!M146,"AAAAAHfH740=")</f>
        <v>#VALUE!</v>
      </c>
      <c r="EM23" t="e">
        <f>AND(class!N146,"AAAAAHfH744=")</f>
        <v>#VALUE!</v>
      </c>
      <c r="EN23" t="e">
        <f>AND(class!O146,"AAAAAHfH748=")</f>
        <v>#VALUE!</v>
      </c>
      <c r="EO23" t="e">
        <f>AND(class!P146,"AAAAAHfH75A=")</f>
        <v>#VALUE!</v>
      </c>
      <c r="EP23" t="e">
        <f>AND(class!Q146,"AAAAAHfH75E=")</f>
        <v>#VALUE!</v>
      </c>
      <c r="EQ23" t="e">
        <f>AND(class!R146,"AAAAAHfH75I=")</f>
        <v>#VALUE!</v>
      </c>
      <c r="ER23" t="e">
        <f>AND(class!S146,"AAAAAHfH75M=")</f>
        <v>#VALUE!</v>
      </c>
      <c r="ES23" t="e">
        <f>AND(class!T146,"AAAAAHfH75Q=")</f>
        <v>#VALUE!</v>
      </c>
      <c r="ET23" t="e">
        <f>AND(class!U146,"AAAAAHfH75U=")</f>
        <v>#VALUE!</v>
      </c>
      <c r="EU23" t="e">
        <f>AND(class!V146,"AAAAAHfH75Y=")</f>
        <v>#VALUE!</v>
      </c>
      <c r="EV23" t="e">
        <f>AND(class!W146,"AAAAAHfH75c=")</f>
        <v>#VALUE!</v>
      </c>
      <c r="EW23" t="e">
        <f>AND(class!X146,"AAAAAHfH75g=")</f>
        <v>#VALUE!</v>
      </c>
      <c r="EX23" t="e">
        <f>AND(class!Y146,"AAAAAHfH75k=")</f>
        <v>#VALUE!</v>
      </c>
      <c r="EY23" t="e">
        <f>AND(class!Z146,"AAAAAHfH75o=")</f>
        <v>#VALUE!</v>
      </c>
      <c r="EZ23" t="e">
        <f>AND(class!AA146,"AAAAAHfH75s=")</f>
        <v>#VALUE!</v>
      </c>
      <c r="FA23" t="e">
        <f>AND(class!AB146,"AAAAAHfH75w=")</f>
        <v>#VALUE!</v>
      </c>
      <c r="FB23" t="e">
        <f>AND(class!AC146,"AAAAAHfH750=")</f>
        <v>#VALUE!</v>
      </c>
      <c r="FC23">
        <f>IF(class!147:147,"AAAAAHfH754=",0)</f>
        <v>0</v>
      </c>
      <c r="FD23" t="e">
        <f>AND(class!A147,"AAAAAHfH758=")</f>
        <v>#VALUE!</v>
      </c>
      <c r="FE23" t="e">
        <f>AND(class!B147,"AAAAAHfH76A=")</f>
        <v>#VALUE!</v>
      </c>
      <c r="FF23" t="e">
        <f>AND(class!C147,"AAAAAHfH76E=")</f>
        <v>#VALUE!</v>
      </c>
      <c r="FG23" t="e">
        <f>AND(class!D147,"AAAAAHfH76I=")</f>
        <v>#VALUE!</v>
      </c>
      <c r="FH23" t="e">
        <f>AND(class!E147,"AAAAAHfH76M=")</f>
        <v>#VALUE!</v>
      </c>
      <c r="FI23" t="e">
        <f>AND(class!F147,"AAAAAHfH76Q=")</f>
        <v>#VALUE!</v>
      </c>
      <c r="FJ23" t="e">
        <f>AND(class!G147,"AAAAAHfH76U=")</f>
        <v>#VALUE!</v>
      </c>
      <c r="FK23" t="e">
        <f>AND(class!H147,"AAAAAHfH76Y=")</f>
        <v>#VALUE!</v>
      </c>
      <c r="FL23" t="e">
        <f>AND(class!I147,"AAAAAHfH76c=")</f>
        <v>#VALUE!</v>
      </c>
      <c r="FM23" t="e">
        <f>AND(class!J147,"AAAAAHfH76g=")</f>
        <v>#VALUE!</v>
      </c>
      <c r="FN23" t="e">
        <f>AND(class!K147,"AAAAAHfH76k=")</f>
        <v>#VALUE!</v>
      </c>
      <c r="FO23" t="e">
        <f>AND(class!L147,"AAAAAHfH76o=")</f>
        <v>#VALUE!</v>
      </c>
      <c r="FP23" t="e">
        <f>AND(class!M147,"AAAAAHfH76s=")</f>
        <v>#VALUE!</v>
      </c>
      <c r="FQ23" t="e">
        <f>AND(class!N147,"AAAAAHfH76w=")</f>
        <v>#VALUE!</v>
      </c>
      <c r="FR23" t="e">
        <f>AND(class!O147,"AAAAAHfH760=")</f>
        <v>#VALUE!</v>
      </c>
      <c r="FS23" t="e">
        <f>AND(class!P147,"AAAAAHfH764=")</f>
        <v>#VALUE!</v>
      </c>
      <c r="FT23" t="e">
        <f>AND(class!Q147,"AAAAAHfH768=")</f>
        <v>#VALUE!</v>
      </c>
      <c r="FU23" t="e">
        <f>AND(class!R147,"AAAAAHfH77A=")</f>
        <v>#VALUE!</v>
      </c>
      <c r="FV23" t="e">
        <f>AND(class!S147,"AAAAAHfH77E=")</f>
        <v>#VALUE!</v>
      </c>
      <c r="FW23" t="e">
        <f>AND(class!T147,"AAAAAHfH77I=")</f>
        <v>#VALUE!</v>
      </c>
      <c r="FX23" t="e">
        <f>AND(class!U147,"AAAAAHfH77M=")</f>
        <v>#VALUE!</v>
      </c>
      <c r="FY23" t="e">
        <f>AND(class!V147,"AAAAAHfH77Q=")</f>
        <v>#VALUE!</v>
      </c>
      <c r="FZ23" t="e">
        <f>AND(class!W147,"AAAAAHfH77U=")</f>
        <v>#VALUE!</v>
      </c>
      <c r="GA23" t="e">
        <f>AND(class!X147,"AAAAAHfH77Y=")</f>
        <v>#VALUE!</v>
      </c>
      <c r="GB23" t="e">
        <f>AND(class!Y147,"AAAAAHfH77c=")</f>
        <v>#VALUE!</v>
      </c>
      <c r="GC23" t="e">
        <f>AND(class!Z147,"AAAAAHfH77g=")</f>
        <v>#VALUE!</v>
      </c>
      <c r="GD23" t="e">
        <f>AND(class!AA147,"AAAAAHfH77k=")</f>
        <v>#VALUE!</v>
      </c>
      <c r="GE23" t="e">
        <f>AND(class!AB147,"AAAAAHfH77o=")</f>
        <v>#VALUE!</v>
      </c>
      <c r="GF23" t="e">
        <f>AND(class!AC147,"AAAAAHfH77s=")</f>
        <v>#VALUE!</v>
      </c>
      <c r="GG23">
        <f>IF(class!148:148,"AAAAAHfH77w=",0)</f>
        <v>0</v>
      </c>
      <c r="GH23" t="e">
        <f>AND(class!A148,"AAAAAHfH770=")</f>
        <v>#VALUE!</v>
      </c>
      <c r="GI23" t="e">
        <f>AND(class!B148,"AAAAAHfH774=")</f>
        <v>#VALUE!</v>
      </c>
      <c r="GJ23" t="e">
        <f>AND(class!C148,"AAAAAHfH778=")</f>
        <v>#VALUE!</v>
      </c>
      <c r="GK23" t="e">
        <f>AND(class!D148,"AAAAAHfH78A=")</f>
        <v>#VALUE!</v>
      </c>
      <c r="GL23" t="e">
        <f>AND(class!E148,"AAAAAHfH78E=")</f>
        <v>#VALUE!</v>
      </c>
      <c r="GM23" t="e">
        <f>AND(class!F148,"AAAAAHfH78I=")</f>
        <v>#VALUE!</v>
      </c>
      <c r="GN23" t="e">
        <f>AND(class!G148,"AAAAAHfH78M=")</f>
        <v>#VALUE!</v>
      </c>
      <c r="GO23" t="e">
        <f>AND(class!H148,"AAAAAHfH78Q=")</f>
        <v>#VALUE!</v>
      </c>
      <c r="GP23" t="e">
        <f>AND(class!I148,"AAAAAHfH78U=")</f>
        <v>#VALUE!</v>
      </c>
      <c r="GQ23" t="e">
        <f>AND(class!J148,"AAAAAHfH78Y=")</f>
        <v>#VALUE!</v>
      </c>
      <c r="GR23" t="e">
        <f>AND(class!K148,"AAAAAHfH78c=")</f>
        <v>#VALUE!</v>
      </c>
      <c r="GS23" t="e">
        <f>AND(class!L148,"AAAAAHfH78g=")</f>
        <v>#VALUE!</v>
      </c>
      <c r="GT23" t="e">
        <f>AND(class!M148,"AAAAAHfH78k=")</f>
        <v>#VALUE!</v>
      </c>
      <c r="GU23" t="e">
        <f>AND(class!N148,"AAAAAHfH78o=")</f>
        <v>#VALUE!</v>
      </c>
      <c r="GV23" t="e">
        <f>AND(class!O148,"AAAAAHfH78s=")</f>
        <v>#VALUE!</v>
      </c>
      <c r="GW23" t="e">
        <f>AND(class!P148,"AAAAAHfH78w=")</f>
        <v>#VALUE!</v>
      </c>
      <c r="GX23" t="e">
        <f>AND(class!Q148,"AAAAAHfH780=")</f>
        <v>#VALUE!</v>
      </c>
      <c r="GY23" t="e">
        <f>AND(class!R148,"AAAAAHfH784=")</f>
        <v>#VALUE!</v>
      </c>
      <c r="GZ23" t="e">
        <f>AND(class!S148,"AAAAAHfH788=")</f>
        <v>#VALUE!</v>
      </c>
      <c r="HA23" t="e">
        <f>AND(class!T148,"AAAAAHfH79A=")</f>
        <v>#VALUE!</v>
      </c>
      <c r="HB23" t="e">
        <f>AND(class!U148,"AAAAAHfH79E=")</f>
        <v>#VALUE!</v>
      </c>
      <c r="HC23" t="e">
        <f>AND(class!V148,"AAAAAHfH79I=")</f>
        <v>#VALUE!</v>
      </c>
      <c r="HD23" t="e">
        <f>AND(class!W148,"AAAAAHfH79M=")</f>
        <v>#VALUE!</v>
      </c>
      <c r="HE23" t="e">
        <f>AND(class!X148,"AAAAAHfH79Q=")</f>
        <v>#VALUE!</v>
      </c>
      <c r="HF23" t="e">
        <f>AND(class!Y148,"AAAAAHfH79U=")</f>
        <v>#VALUE!</v>
      </c>
      <c r="HG23" t="e">
        <f>AND(class!Z148,"AAAAAHfH79Y=")</f>
        <v>#VALUE!</v>
      </c>
      <c r="HH23" t="e">
        <f>AND(class!AA148,"AAAAAHfH79c=")</f>
        <v>#VALUE!</v>
      </c>
      <c r="HI23" t="e">
        <f>AND(class!AB148,"AAAAAHfH79g=")</f>
        <v>#VALUE!</v>
      </c>
      <c r="HJ23" t="e">
        <f>AND(class!AC148,"AAAAAHfH79k=")</f>
        <v>#VALUE!</v>
      </c>
      <c r="HK23">
        <f>IF(class!149:149,"AAAAAHfH79o=",0)</f>
        <v>0</v>
      </c>
      <c r="HL23" t="e">
        <f>AND(class!A149,"AAAAAHfH79s=")</f>
        <v>#VALUE!</v>
      </c>
      <c r="HM23" t="e">
        <f>AND(class!B149,"AAAAAHfH79w=")</f>
        <v>#VALUE!</v>
      </c>
      <c r="HN23" t="e">
        <f>AND(class!C149,"AAAAAHfH790=")</f>
        <v>#VALUE!</v>
      </c>
      <c r="HO23" t="e">
        <f>AND(class!D149,"AAAAAHfH794=")</f>
        <v>#VALUE!</v>
      </c>
      <c r="HP23" t="e">
        <f>AND(class!E149,"AAAAAHfH798=")</f>
        <v>#VALUE!</v>
      </c>
      <c r="HQ23" t="e">
        <f>AND(class!F149,"AAAAAHfH7+A=")</f>
        <v>#VALUE!</v>
      </c>
      <c r="HR23" t="e">
        <f>AND(class!G149,"AAAAAHfH7+E=")</f>
        <v>#VALUE!</v>
      </c>
      <c r="HS23" t="e">
        <f>AND(class!H149,"AAAAAHfH7+I=")</f>
        <v>#VALUE!</v>
      </c>
      <c r="HT23" t="e">
        <f>AND(class!I149,"AAAAAHfH7+M=")</f>
        <v>#VALUE!</v>
      </c>
      <c r="HU23" t="e">
        <f>AND(class!J149,"AAAAAHfH7+Q=")</f>
        <v>#VALUE!</v>
      </c>
      <c r="HV23" t="e">
        <f>AND(class!K149,"AAAAAHfH7+U=")</f>
        <v>#VALUE!</v>
      </c>
      <c r="HW23" t="e">
        <f>AND(class!L149,"AAAAAHfH7+Y=")</f>
        <v>#VALUE!</v>
      </c>
      <c r="HX23" t="e">
        <f>AND(class!M149,"AAAAAHfH7+c=")</f>
        <v>#VALUE!</v>
      </c>
      <c r="HY23" t="e">
        <f>AND(class!N149,"AAAAAHfH7+g=")</f>
        <v>#VALUE!</v>
      </c>
      <c r="HZ23" t="e">
        <f>AND(class!O149,"AAAAAHfH7+k=")</f>
        <v>#VALUE!</v>
      </c>
      <c r="IA23" t="e">
        <f>AND(class!P149,"AAAAAHfH7+o=")</f>
        <v>#VALUE!</v>
      </c>
      <c r="IB23" t="e">
        <f>AND(class!Q149,"AAAAAHfH7+s=")</f>
        <v>#VALUE!</v>
      </c>
      <c r="IC23" t="e">
        <f>AND(class!R149,"AAAAAHfH7+w=")</f>
        <v>#VALUE!</v>
      </c>
      <c r="ID23" t="e">
        <f>AND(class!S149,"AAAAAHfH7+0=")</f>
        <v>#VALUE!</v>
      </c>
      <c r="IE23" t="e">
        <f>AND(class!T149,"AAAAAHfH7+4=")</f>
        <v>#VALUE!</v>
      </c>
      <c r="IF23" t="e">
        <f>AND(class!U149,"AAAAAHfH7+8=")</f>
        <v>#VALUE!</v>
      </c>
      <c r="IG23" t="e">
        <f>AND(class!V149,"AAAAAHfH7/A=")</f>
        <v>#VALUE!</v>
      </c>
      <c r="IH23" t="e">
        <f>AND(class!W149,"AAAAAHfH7/E=")</f>
        <v>#VALUE!</v>
      </c>
      <c r="II23" t="e">
        <f>AND(class!X149,"AAAAAHfH7/I=")</f>
        <v>#VALUE!</v>
      </c>
      <c r="IJ23" t="e">
        <f>AND(class!Y149,"AAAAAHfH7/M=")</f>
        <v>#VALUE!</v>
      </c>
      <c r="IK23" t="e">
        <f>AND(class!Z149,"AAAAAHfH7/Q=")</f>
        <v>#VALUE!</v>
      </c>
      <c r="IL23" t="e">
        <f>AND(class!AA149,"AAAAAHfH7/U=")</f>
        <v>#VALUE!</v>
      </c>
      <c r="IM23" t="e">
        <f>AND(class!AB149,"AAAAAHfH7/Y=")</f>
        <v>#VALUE!</v>
      </c>
      <c r="IN23" t="e">
        <f>AND(class!AC149,"AAAAAHfH7/c=")</f>
        <v>#VALUE!</v>
      </c>
      <c r="IO23">
        <f>IF(class!150:150,"AAAAAHfH7/g=",0)</f>
        <v>0</v>
      </c>
      <c r="IP23" t="e">
        <f>AND(class!A150,"AAAAAHfH7/k=")</f>
        <v>#VALUE!</v>
      </c>
      <c r="IQ23" t="e">
        <f>AND(class!B150,"AAAAAHfH7/o=")</f>
        <v>#VALUE!</v>
      </c>
      <c r="IR23" t="e">
        <f>AND(class!C150,"AAAAAHfH7/s=")</f>
        <v>#VALUE!</v>
      </c>
      <c r="IS23" t="e">
        <f>AND(class!D150,"AAAAAHfH7/w=")</f>
        <v>#VALUE!</v>
      </c>
      <c r="IT23" t="e">
        <f>AND(class!E150,"AAAAAHfH7/0=")</f>
        <v>#VALUE!</v>
      </c>
      <c r="IU23" t="e">
        <f>AND(class!F150,"AAAAAHfH7/4=")</f>
        <v>#VALUE!</v>
      </c>
      <c r="IV23" t="e">
        <f>AND(class!G150,"AAAAAHfH7/8=")</f>
        <v>#VALUE!</v>
      </c>
    </row>
    <row r="24" spans="1:256" x14ac:dyDescent="0.2">
      <c r="A24" t="e">
        <f>AND(class!H150,"AAAAAHr5twA=")</f>
        <v>#VALUE!</v>
      </c>
      <c r="B24" t="e">
        <f>AND(class!I150,"AAAAAHr5twE=")</f>
        <v>#VALUE!</v>
      </c>
      <c r="C24" t="e">
        <f>AND(class!J150,"AAAAAHr5twI=")</f>
        <v>#VALUE!</v>
      </c>
      <c r="D24" t="e">
        <f>AND(class!K150,"AAAAAHr5twM=")</f>
        <v>#VALUE!</v>
      </c>
      <c r="E24" t="e">
        <f>AND(class!L150,"AAAAAHr5twQ=")</f>
        <v>#VALUE!</v>
      </c>
      <c r="F24" t="e">
        <f>AND(class!M150,"AAAAAHr5twU=")</f>
        <v>#VALUE!</v>
      </c>
      <c r="G24" t="e">
        <f>AND(class!N150,"AAAAAHr5twY=")</f>
        <v>#VALUE!</v>
      </c>
      <c r="H24" t="e">
        <f>AND(class!O150,"AAAAAHr5twc=")</f>
        <v>#VALUE!</v>
      </c>
      <c r="I24" t="e">
        <f>AND(class!P150,"AAAAAHr5twg=")</f>
        <v>#VALUE!</v>
      </c>
      <c r="J24" t="e">
        <f>AND(class!Q150,"AAAAAHr5twk=")</f>
        <v>#VALUE!</v>
      </c>
      <c r="K24" t="e">
        <f>AND(class!R150,"AAAAAHr5two=")</f>
        <v>#VALUE!</v>
      </c>
      <c r="L24" t="e">
        <f>AND(class!S150,"AAAAAHr5tws=")</f>
        <v>#VALUE!</v>
      </c>
      <c r="M24" t="e">
        <f>AND(class!T150,"AAAAAHr5tww=")</f>
        <v>#VALUE!</v>
      </c>
      <c r="N24" t="e">
        <f>AND(class!U150,"AAAAAHr5tw0=")</f>
        <v>#VALUE!</v>
      </c>
      <c r="O24" t="e">
        <f>AND(class!V150,"AAAAAHr5tw4=")</f>
        <v>#VALUE!</v>
      </c>
      <c r="P24" t="e">
        <f>AND(class!W150,"AAAAAHr5tw8=")</f>
        <v>#VALUE!</v>
      </c>
      <c r="Q24" t="e">
        <f>AND(class!X150,"AAAAAHr5txA=")</f>
        <v>#VALUE!</v>
      </c>
      <c r="R24" t="e">
        <f>AND(class!Y150,"AAAAAHr5txE=")</f>
        <v>#VALUE!</v>
      </c>
      <c r="S24" t="e">
        <f>AND(class!Z150,"AAAAAHr5txI=")</f>
        <v>#VALUE!</v>
      </c>
      <c r="T24" t="e">
        <f>AND(class!AA150,"AAAAAHr5txM=")</f>
        <v>#VALUE!</v>
      </c>
      <c r="U24" t="e">
        <f>AND(class!AB150,"AAAAAHr5txQ=")</f>
        <v>#VALUE!</v>
      </c>
      <c r="V24" t="e">
        <f>AND(class!AC150,"AAAAAHr5txU=")</f>
        <v>#VALUE!</v>
      </c>
      <c r="W24">
        <f>IF(class!151:151,"AAAAAHr5txY=",0)</f>
        <v>0</v>
      </c>
      <c r="X24" t="e">
        <f>AND(class!A151,"AAAAAHr5txc=")</f>
        <v>#VALUE!</v>
      </c>
      <c r="Y24" t="e">
        <f>AND(class!B151,"AAAAAHr5txg=")</f>
        <v>#VALUE!</v>
      </c>
      <c r="Z24" t="e">
        <f>AND(class!C151,"AAAAAHr5txk=")</f>
        <v>#VALUE!</v>
      </c>
      <c r="AA24" t="e">
        <f>AND(class!D151,"AAAAAHr5txo=")</f>
        <v>#VALUE!</v>
      </c>
      <c r="AB24" t="e">
        <f>AND(class!E151,"AAAAAHr5txs=")</f>
        <v>#VALUE!</v>
      </c>
      <c r="AC24" t="e">
        <f>AND(class!F151,"AAAAAHr5txw=")</f>
        <v>#VALUE!</v>
      </c>
      <c r="AD24" t="e">
        <f>AND(class!G151,"AAAAAHr5tx0=")</f>
        <v>#VALUE!</v>
      </c>
      <c r="AE24" t="e">
        <f>AND(class!H151,"AAAAAHr5tx4=")</f>
        <v>#VALUE!</v>
      </c>
      <c r="AF24" t="e">
        <f>AND(class!I151,"AAAAAHr5tx8=")</f>
        <v>#VALUE!</v>
      </c>
      <c r="AG24" t="e">
        <f>AND(class!J151,"AAAAAHr5tyA=")</f>
        <v>#VALUE!</v>
      </c>
      <c r="AH24" t="e">
        <f>AND(class!K151,"AAAAAHr5tyE=")</f>
        <v>#VALUE!</v>
      </c>
      <c r="AI24" t="e">
        <f>AND(class!L151,"AAAAAHr5tyI=")</f>
        <v>#VALUE!</v>
      </c>
      <c r="AJ24" t="e">
        <f>AND(class!M151,"AAAAAHr5tyM=")</f>
        <v>#VALUE!</v>
      </c>
      <c r="AK24" t="e">
        <f>AND(class!N151,"AAAAAHr5tyQ=")</f>
        <v>#VALUE!</v>
      </c>
      <c r="AL24" t="e">
        <f>AND(class!O151,"AAAAAHr5tyU=")</f>
        <v>#VALUE!</v>
      </c>
      <c r="AM24" t="e">
        <f>AND(class!P151,"AAAAAHr5tyY=")</f>
        <v>#VALUE!</v>
      </c>
      <c r="AN24" t="e">
        <f>AND(class!Q151,"AAAAAHr5tyc=")</f>
        <v>#VALUE!</v>
      </c>
      <c r="AO24" t="e">
        <f>AND(class!R151,"AAAAAHr5tyg=")</f>
        <v>#VALUE!</v>
      </c>
      <c r="AP24" t="e">
        <f>AND(class!S151,"AAAAAHr5tyk=")</f>
        <v>#VALUE!</v>
      </c>
      <c r="AQ24" t="e">
        <f>AND(class!T151,"AAAAAHr5tyo=")</f>
        <v>#VALUE!</v>
      </c>
      <c r="AR24" t="e">
        <f>AND(class!U151,"AAAAAHr5tys=")</f>
        <v>#VALUE!</v>
      </c>
      <c r="AS24" t="e">
        <f>AND(class!V151,"AAAAAHr5tyw=")</f>
        <v>#VALUE!</v>
      </c>
      <c r="AT24" t="e">
        <f>AND(class!W151,"AAAAAHr5ty0=")</f>
        <v>#VALUE!</v>
      </c>
      <c r="AU24" t="e">
        <f>AND(class!X151,"AAAAAHr5ty4=")</f>
        <v>#VALUE!</v>
      </c>
      <c r="AV24" t="e">
        <f>AND(class!Y151,"AAAAAHr5ty8=")</f>
        <v>#VALUE!</v>
      </c>
      <c r="AW24" t="e">
        <f>AND(class!Z151,"AAAAAHr5tzA=")</f>
        <v>#VALUE!</v>
      </c>
      <c r="AX24" t="e">
        <f>AND(class!AA151,"AAAAAHr5tzE=")</f>
        <v>#VALUE!</v>
      </c>
      <c r="AY24" t="e">
        <f>AND(class!AB151,"AAAAAHr5tzI=")</f>
        <v>#VALUE!</v>
      </c>
      <c r="AZ24" t="e">
        <f>AND(class!AC151,"AAAAAHr5tzM=")</f>
        <v>#VALUE!</v>
      </c>
      <c r="BA24">
        <f>IF(class!152:152,"AAAAAHr5tzQ=",0)</f>
        <v>0</v>
      </c>
      <c r="BB24" t="e">
        <f>AND(class!A152,"AAAAAHr5tzU=")</f>
        <v>#VALUE!</v>
      </c>
      <c r="BC24" t="e">
        <f>AND(class!B152,"AAAAAHr5tzY=")</f>
        <v>#VALUE!</v>
      </c>
      <c r="BD24" t="e">
        <f>AND(class!C152,"AAAAAHr5tzc=")</f>
        <v>#VALUE!</v>
      </c>
      <c r="BE24" t="e">
        <f>AND(class!D152,"AAAAAHr5tzg=")</f>
        <v>#VALUE!</v>
      </c>
      <c r="BF24" t="e">
        <f>AND(class!E152,"AAAAAHr5tzk=")</f>
        <v>#VALUE!</v>
      </c>
      <c r="BG24" t="e">
        <f>AND(class!F152,"AAAAAHr5tzo=")</f>
        <v>#VALUE!</v>
      </c>
      <c r="BH24" t="e">
        <f>AND(class!G152,"AAAAAHr5tzs=")</f>
        <v>#VALUE!</v>
      </c>
      <c r="BI24" t="e">
        <f>AND(class!H152,"AAAAAHr5tzw=")</f>
        <v>#VALUE!</v>
      </c>
      <c r="BJ24" t="e">
        <f>AND(class!I152,"AAAAAHr5tz0=")</f>
        <v>#VALUE!</v>
      </c>
      <c r="BK24" t="e">
        <f>AND(class!J152,"AAAAAHr5tz4=")</f>
        <v>#VALUE!</v>
      </c>
      <c r="BL24" t="e">
        <f>AND(class!K152,"AAAAAHr5tz8=")</f>
        <v>#VALUE!</v>
      </c>
      <c r="BM24" t="e">
        <f>AND(class!L152,"AAAAAHr5t0A=")</f>
        <v>#VALUE!</v>
      </c>
      <c r="BN24" t="e">
        <f>AND(class!M152,"AAAAAHr5t0E=")</f>
        <v>#VALUE!</v>
      </c>
      <c r="BO24" t="e">
        <f>AND(class!N152,"AAAAAHr5t0I=")</f>
        <v>#VALUE!</v>
      </c>
      <c r="BP24" t="e">
        <f>AND(class!O152,"AAAAAHr5t0M=")</f>
        <v>#VALUE!</v>
      </c>
      <c r="BQ24" t="e">
        <f>AND(class!P152,"AAAAAHr5t0Q=")</f>
        <v>#VALUE!</v>
      </c>
      <c r="BR24" t="e">
        <f>AND(class!Q152,"AAAAAHr5t0U=")</f>
        <v>#VALUE!</v>
      </c>
      <c r="BS24" t="e">
        <f>AND(class!R152,"AAAAAHr5t0Y=")</f>
        <v>#VALUE!</v>
      </c>
      <c r="BT24" t="e">
        <f>AND(class!S152,"AAAAAHr5t0c=")</f>
        <v>#VALUE!</v>
      </c>
      <c r="BU24" t="e">
        <f>AND(class!T152,"AAAAAHr5t0g=")</f>
        <v>#VALUE!</v>
      </c>
      <c r="BV24" t="e">
        <f>AND(class!U152,"AAAAAHr5t0k=")</f>
        <v>#VALUE!</v>
      </c>
      <c r="BW24" t="e">
        <f>AND(class!V152,"AAAAAHr5t0o=")</f>
        <v>#VALUE!</v>
      </c>
      <c r="BX24" t="e">
        <f>AND(class!W152,"AAAAAHr5t0s=")</f>
        <v>#VALUE!</v>
      </c>
      <c r="BY24" t="e">
        <f>AND(class!X152,"AAAAAHr5t0w=")</f>
        <v>#VALUE!</v>
      </c>
      <c r="BZ24" t="e">
        <f>AND(class!Y152,"AAAAAHr5t00=")</f>
        <v>#VALUE!</v>
      </c>
      <c r="CA24" t="e">
        <f>AND(class!Z152,"AAAAAHr5t04=")</f>
        <v>#VALUE!</v>
      </c>
      <c r="CB24" t="e">
        <f>AND(class!AA152,"AAAAAHr5t08=")</f>
        <v>#VALUE!</v>
      </c>
      <c r="CC24" t="e">
        <f>AND(class!AB152,"AAAAAHr5t1A=")</f>
        <v>#VALUE!</v>
      </c>
      <c r="CD24" t="e">
        <f>AND(class!AC152,"AAAAAHr5t1E=")</f>
        <v>#VALUE!</v>
      </c>
      <c r="CE24">
        <f>IF(class!153:153,"AAAAAHr5t1I=",0)</f>
        <v>0</v>
      </c>
      <c r="CF24" t="e">
        <f>AND(class!A153,"AAAAAHr5t1M=")</f>
        <v>#VALUE!</v>
      </c>
      <c r="CG24" t="e">
        <f>AND(class!B153,"AAAAAHr5t1Q=")</f>
        <v>#VALUE!</v>
      </c>
      <c r="CH24" t="e">
        <f>AND(class!C153,"AAAAAHr5t1U=")</f>
        <v>#VALUE!</v>
      </c>
      <c r="CI24" t="e">
        <f>AND(class!D153,"AAAAAHr5t1Y=")</f>
        <v>#VALUE!</v>
      </c>
      <c r="CJ24" t="e">
        <f>AND(class!E153,"AAAAAHr5t1c=")</f>
        <v>#VALUE!</v>
      </c>
      <c r="CK24" t="e">
        <f>AND(class!F153,"AAAAAHr5t1g=")</f>
        <v>#VALUE!</v>
      </c>
      <c r="CL24" t="e">
        <f>AND(class!G153,"AAAAAHr5t1k=")</f>
        <v>#VALUE!</v>
      </c>
      <c r="CM24" t="e">
        <f>AND(class!H153,"AAAAAHr5t1o=")</f>
        <v>#VALUE!</v>
      </c>
      <c r="CN24" t="e">
        <f>AND(class!I153,"AAAAAHr5t1s=")</f>
        <v>#VALUE!</v>
      </c>
      <c r="CO24" t="e">
        <f>AND(class!J153,"AAAAAHr5t1w=")</f>
        <v>#VALUE!</v>
      </c>
      <c r="CP24" t="e">
        <f>AND(class!K153,"AAAAAHr5t10=")</f>
        <v>#VALUE!</v>
      </c>
      <c r="CQ24" t="e">
        <f>AND(class!L153,"AAAAAHr5t14=")</f>
        <v>#VALUE!</v>
      </c>
      <c r="CR24" t="e">
        <f>AND(class!M153,"AAAAAHr5t18=")</f>
        <v>#VALUE!</v>
      </c>
      <c r="CS24" t="e">
        <f>AND(class!N153,"AAAAAHr5t2A=")</f>
        <v>#VALUE!</v>
      </c>
      <c r="CT24" t="e">
        <f>AND(class!O153,"AAAAAHr5t2E=")</f>
        <v>#VALUE!</v>
      </c>
      <c r="CU24" t="e">
        <f>AND(class!P153,"AAAAAHr5t2I=")</f>
        <v>#VALUE!</v>
      </c>
      <c r="CV24" t="e">
        <f>AND(class!Q153,"AAAAAHr5t2M=")</f>
        <v>#VALUE!</v>
      </c>
      <c r="CW24" t="e">
        <f>AND(class!R153,"AAAAAHr5t2Q=")</f>
        <v>#VALUE!</v>
      </c>
      <c r="CX24" t="e">
        <f>AND(class!S153,"AAAAAHr5t2U=")</f>
        <v>#VALUE!</v>
      </c>
      <c r="CY24" t="e">
        <f>AND(class!T153,"AAAAAHr5t2Y=")</f>
        <v>#VALUE!</v>
      </c>
      <c r="CZ24" t="e">
        <f>AND(class!U153,"AAAAAHr5t2c=")</f>
        <v>#VALUE!</v>
      </c>
      <c r="DA24" t="e">
        <f>AND(class!V153,"AAAAAHr5t2g=")</f>
        <v>#VALUE!</v>
      </c>
      <c r="DB24" t="e">
        <f>AND(class!W153,"AAAAAHr5t2k=")</f>
        <v>#VALUE!</v>
      </c>
      <c r="DC24" t="e">
        <f>AND(class!X153,"AAAAAHr5t2o=")</f>
        <v>#VALUE!</v>
      </c>
      <c r="DD24" t="e">
        <f>AND(class!Y153,"AAAAAHr5t2s=")</f>
        <v>#VALUE!</v>
      </c>
      <c r="DE24" t="e">
        <f>AND(class!Z153,"AAAAAHr5t2w=")</f>
        <v>#VALUE!</v>
      </c>
      <c r="DF24" t="e">
        <f>AND(class!AA153,"AAAAAHr5t20=")</f>
        <v>#VALUE!</v>
      </c>
      <c r="DG24" t="e">
        <f>AND(class!AB153,"AAAAAHr5t24=")</f>
        <v>#VALUE!</v>
      </c>
      <c r="DH24" t="e">
        <f>AND(class!AC153,"AAAAAHr5t28=")</f>
        <v>#VALUE!</v>
      </c>
      <c r="DI24">
        <f>IF(class!154:154,"AAAAAHr5t3A=",0)</f>
        <v>0</v>
      </c>
      <c r="DJ24" t="e">
        <f>AND(class!A154,"AAAAAHr5t3E=")</f>
        <v>#VALUE!</v>
      </c>
      <c r="DK24" t="e">
        <f>AND(class!B154,"AAAAAHr5t3I=")</f>
        <v>#VALUE!</v>
      </c>
      <c r="DL24" t="e">
        <f>AND(class!C154,"AAAAAHr5t3M=")</f>
        <v>#VALUE!</v>
      </c>
      <c r="DM24" t="e">
        <f>AND(class!D154,"AAAAAHr5t3Q=")</f>
        <v>#VALUE!</v>
      </c>
      <c r="DN24" t="e">
        <f>AND(class!E154,"AAAAAHr5t3U=")</f>
        <v>#VALUE!</v>
      </c>
      <c r="DO24" t="e">
        <f>AND(class!F154,"AAAAAHr5t3Y=")</f>
        <v>#VALUE!</v>
      </c>
      <c r="DP24" t="e">
        <f>AND(class!G154,"AAAAAHr5t3c=")</f>
        <v>#VALUE!</v>
      </c>
      <c r="DQ24" t="e">
        <f>AND(class!H154,"AAAAAHr5t3g=")</f>
        <v>#VALUE!</v>
      </c>
      <c r="DR24" t="e">
        <f>AND(class!I154,"AAAAAHr5t3k=")</f>
        <v>#VALUE!</v>
      </c>
      <c r="DS24" t="e">
        <f>AND(class!J154,"AAAAAHr5t3o=")</f>
        <v>#VALUE!</v>
      </c>
      <c r="DT24" t="e">
        <f>AND(class!K154,"AAAAAHr5t3s=")</f>
        <v>#VALUE!</v>
      </c>
      <c r="DU24" t="e">
        <f>AND(class!L154,"AAAAAHr5t3w=")</f>
        <v>#VALUE!</v>
      </c>
      <c r="DV24" t="e">
        <f>AND(class!M154,"AAAAAHr5t30=")</f>
        <v>#VALUE!</v>
      </c>
      <c r="DW24" t="e">
        <f>AND(class!N154,"AAAAAHr5t34=")</f>
        <v>#VALUE!</v>
      </c>
      <c r="DX24" t="e">
        <f>AND(class!O154,"AAAAAHr5t38=")</f>
        <v>#VALUE!</v>
      </c>
      <c r="DY24" t="e">
        <f>AND(class!P154,"AAAAAHr5t4A=")</f>
        <v>#VALUE!</v>
      </c>
      <c r="DZ24" t="e">
        <f>AND(class!Q154,"AAAAAHr5t4E=")</f>
        <v>#VALUE!</v>
      </c>
      <c r="EA24" t="e">
        <f>AND(class!R154,"AAAAAHr5t4I=")</f>
        <v>#VALUE!</v>
      </c>
      <c r="EB24" t="e">
        <f>AND(class!S154,"AAAAAHr5t4M=")</f>
        <v>#VALUE!</v>
      </c>
      <c r="EC24" t="e">
        <f>AND(class!T154,"AAAAAHr5t4Q=")</f>
        <v>#VALUE!</v>
      </c>
      <c r="ED24" t="e">
        <f>AND(class!U154,"AAAAAHr5t4U=")</f>
        <v>#VALUE!</v>
      </c>
      <c r="EE24" t="e">
        <f>AND(class!V154,"AAAAAHr5t4Y=")</f>
        <v>#VALUE!</v>
      </c>
      <c r="EF24" t="e">
        <f>AND(class!W154,"AAAAAHr5t4c=")</f>
        <v>#VALUE!</v>
      </c>
      <c r="EG24" t="e">
        <f>AND(class!X154,"AAAAAHr5t4g=")</f>
        <v>#VALUE!</v>
      </c>
      <c r="EH24" t="e">
        <f>AND(class!Y154,"AAAAAHr5t4k=")</f>
        <v>#VALUE!</v>
      </c>
      <c r="EI24" t="e">
        <f>AND(class!Z154,"AAAAAHr5t4o=")</f>
        <v>#VALUE!</v>
      </c>
      <c r="EJ24" t="e">
        <f>AND(class!AA154,"AAAAAHr5t4s=")</f>
        <v>#VALUE!</v>
      </c>
      <c r="EK24" t="e">
        <f>AND(class!AB154,"AAAAAHr5t4w=")</f>
        <v>#VALUE!</v>
      </c>
      <c r="EL24" t="e">
        <f>AND(class!AC154,"AAAAAHr5t40=")</f>
        <v>#VALUE!</v>
      </c>
      <c r="EM24">
        <f>IF(class!155:155,"AAAAAHr5t44=",0)</f>
        <v>0</v>
      </c>
      <c r="EN24" t="e">
        <f>AND(class!A155,"AAAAAHr5t48=")</f>
        <v>#VALUE!</v>
      </c>
      <c r="EO24" t="e">
        <f>AND(class!B155,"AAAAAHr5t5A=")</f>
        <v>#VALUE!</v>
      </c>
      <c r="EP24" t="e">
        <f>AND(class!C155,"AAAAAHr5t5E=")</f>
        <v>#VALUE!</v>
      </c>
      <c r="EQ24" t="e">
        <f>AND(class!D155,"AAAAAHr5t5I=")</f>
        <v>#VALUE!</v>
      </c>
      <c r="ER24" t="e">
        <f>AND(class!E155,"AAAAAHr5t5M=")</f>
        <v>#VALUE!</v>
      </c>
      <c r="ES24" t="e">
        <f>AND(class!F155,"AAAAAHr5t5Q=")</f>
        <v>#VALUE!</v>
      </c>
      <c r="ET24" t="e">
        <f>AND(class!G155,"AAAAAHr5t5U=")</f>
        <v>#VALUE!</v>
      </c>
      <c r="EU24" t="e">
        <f>AND(class!H155,"AAAAAHr5t5Y=")</f>
        <v>#VALUE!</v>
      </c>
      <c r="EV24" t="e">
        <f>AND(class!I155,"AAAAAHr5t5c=")</f>
        <v>#VALUE!</v>
      </c>
      <c r="EW24" t="e">
        <f>AND(class!J155,"AAAAAHr5t5g=")</f>
        <v>#VALUE!</v>
      </c>
      <c r="EX24" t="e">
        <f>AND(class!K155,"AAAAAHr5t5k=")</f>
        <v>#VALUE!</v>
      </c>
      <c r="EY24" t="e">
        <f>AND(class!L155,"AAAAAHr5t5o=")</f>
        <v>#VALUE!</v>
      </c>
      <c r="EZ24" t="e">
        <f>AND(class!M155,"AAAAAHr5t5s=")</f>
        <v>#VALUE!</v>
      </c>
      <c r="FA24" t="e">
        <f>AND(class!N155,"AAAAAHr5t5w=")</f>
        <v>#VALUE!</v>
      </c>
      <c r="FB24" t="e">
        <f>AND(class!O155,"AAAAAHr5t50=")</f>
        <v>#VALUE!</v>
      </c>
      <c r="FC24" t="e">
        <f>AND(class!P155,"AAAAAHr5t54=")</f>
        <v>#VALUE!</v>
      </c>
      <c r="FD24" t="e">
        <f>AND(class!Q155,"AAAAAHr5t58=")</f>
        <v>#VALUE!</v>
      </c>
      <c r="FE24" t="e">
        <f>AND(class!R155,"AAAAAHr5t6A=")</f>
        <v>#VALUE!</v>
      </c>
      <c r="FF24" t="e">
        <f>AND(class!S155,"AAAAAHr5t6E=")</f>
        <v>#VALUE!</v>
      </c>
      <c r="FG24" t="e">
        <f>AND(class!T155,"AAAAAHr5t6I=")</f>
        <v>#VALUE!</v>
      </c>
      <c r="FH24" t="e">
        <f>AND(class!U155,"AAAAAHr5t6M=")</f>
        <v>#VALUE!</v>
      </c>
      <c r="FI24" t="e">
        <f>AND(class!V155,"AAAAAHr5t6Q=")</f>
        <v>#VALUE!</v>
      </c>
      <c r="FJ24" t="e">
        <f>AND(class!W155,"AAAAAHr5t6U=")</f>
        <v>#VALUE!</v>
      </c>
      <c r="FK24" t="e">
        <f>AND(class!X155,"AAAAAHr5t6Y=")</f>
        <v>#VALUE!</v>
      </c>
      <c r="FL24" t="e">
        <f>AND(class!Y155,"AAAAAHr5t6c=")</f>
        <v>#VALUE!</v>
      </c>
      <c r="FM24" t="e">
        <f>AND(class!Z155,"AAAAAHr5t6g=")</f>
        <v>#VALUE!</v>
      </c>
      <c r="FN24" t="e">
        <f>AND(class!AA155,"AAAAAHr5t6k=")</f>
        <v>#VALUE!</v>
      </c>
      <c r="FO24" t="e">
        <f>AND(class!AB155,"AAAAAHr5t6o=")</f>
        <v>#VALUE!</v>
      </c>
      <c r="FP24" t="e">
        <f>AND(class!AC155,"AAAAAHr5t6s=")</f>
        <v>#VALUE!</v>
      </c>
      <c r="FQ24">
        <f>IF(class!156:156,"AAAAAHr5t6w=",0)</f>
        <v>0</v>
      </c>
      <c r="FR24" t="e">
        <f>AND(class!A156,"AAAAAHr5t60=")</f>
        <v>#VALUE!</v>
      </c>
      <c r="FS24" t="e">
        <f>AND(class!B156,"AAAAAHr5t64=")</f>
        <v>#VALUE!</v>
      </c>
      <c r="FT24" t="e">
        <f>AND(class!C156,"AAAAAHr5t68=")</f>
        <v>#VALUE!</v>
      </c>
      <c r="FU24" t="e">
        <f>AND(class!D156,"AAAAAHr5t7A=")</f>
        <v>#VALUE!</v>
      </c>
      <c r="FV24" t="e">
        <f>AND(class!E156,"AAAAAHr5t7E=")</f>
        <v>#VALUE!</v>
      </c>
      <c r="FW24" t="e">
        <f>AND(class!F156,"AAAAAHr5t7I=")</f>
        <v>#VALUE!</v>
      </c>
      <c r="FX24" t="e">
        <f>AND(class!G156,"AAAAAHr5t7M=")</f>
        <v>#VALUE!</v>
      </c>
      <c r="FY24" t="e">
        <f>AND(class!H156,"AAAAAHr5t7Q=")</f>
        <v>#VALUE!</v>
      </c>
      <c r="FZ24" t="e">
        <f>AND(class!I156,"AAAAAHr5t7U=")</f>
        <v>#VALUE!</v>
      </c>
      <c r="GA24" t="e">
        <f>AND(class!J156,"AAAAAHr5t7Y=")</f>
        <v>#VALUE!</v>
      </c>
      <c r="GB24" t="e">
        <f>AND(class!K156,"AAAAAHr5t7c=")</f>
        <v>#VALUE!</v>
      </c>
      <c r="GC24" t="e">
        <f>AND(class!L156,"AAAAAHr5t7g=")</f>
        <v>#VALUE!</v>
      </c>
      <c r="GD24" t="e">
        <f>AND(class!M156,"AAAAAHr5t7k=")</f>
        <v>#VALUE!</v>
      </c>
      <c r="GE24" t="e">
        <f>AND(class!N156,"AAAAAHr5t7o=")</f>
        <v>#VALUE!</v>
      </c>
      <c r="GF24" t="e">
        <f>AND(class!O156,"AAAAAHr5t7s=")</f>
        <v>#VALUE!</v>
      </c>
      <c r="GG24" t="e">
        <f>AND(class!P156,"AAAAAHr5t7w=")</f>
        <v>#VALUE!</v>
      </c>
      <c r="GH24" t="e">
        <f>AND(class!Q156,"AAAAAHr5t70=")</f>
        <v>#VALUE!</v>
      </c>
      <c r="GI24" t="e">
        <f>AND(class!R156,"AAAAAHr5t74=")</f>
        <v>#VALUE!</v>
      </c>
      <c r="GJ24" t="e">
        <f>AND(class!S156,"AAAAAHr5t78=")</f>
        <v>#VALUE!</v>
      </c>
      <c r="GK24" t="e">
        <f>AND(class!T156,"AAAAAHr5t8A=")</f>
        <v>#VALUE!</v>
      </c>
      <c r="GL24" t="e">
        <f>AND(class!U156,"AAAAAHr5t8E=")</f>
        <v>#VALUE!</v>
      </c>
      <c r="GM24" t="e">
        <f>AND(class!V156,"AAAAAHr5t8I=")</f>
        <v>#VALUE!</v>
      </c>
      <c r="GN24" t="e">
        <f>AND(class!W156,"AAAAAHr5t8M=")</f>
        <v>#VALUE!</v>
      </c>
      <c r="GO24" t="e">
        <f>AND(class!X156,"AAAAAHr5t8Q=")</f>
        <v>#VALUE!</v>
      </c>
      <c r="GP24" t="e">
        <f>AND(class!Y156,"AAAAAHr5t8U=")</f>
        <v>#VALUE!</v>
      </c>
      <c r="GQ24" t="e">
        <f>AND(class!Z156,"AAAAAHr5t8Y=")</f>
        <v>#VALUE!</v>
      </c>
      <c r="GR24" t="e">
        <f>AND(class!AA156,"AAAAAHr5t8c=")</f>
        <v>#VALUE!</v>
      </c>
      <c r="GS24" t="e">
        <f>AND(class!AB156,"AAAAAHr5t8g=")</f>
        <v>#VALUE!</v>
      </c>
      <c r="GT24" t="e">
        <f>AND(class!AC156,"AAAAAHr5t8k=")</f>
        <v>#VALUE!</v>
      </c>
      <c r="GU24">
        <f>IF(class!157:157,"AAAAAHr5t8o=",0)</f>
        <v>0</v>
      </c>
      <c r="GV24" t="e">
        <f>AND(class!A157,"AAAAAHr5t8s=")</f>
        <v>#VALUE!</v>
      </c>
      <c r="GW24" t="e">
        <f>AND(class!B157,"AAAAAHr5t8w=")</f>
        <v>#VALUE!</v>
      </c>
      <c r="GX24" t="e">
        <f>AND(class!C157,"AAAAAHr5t80=")</f>
        <v>#VALUE!</v>
      </c>
      <c r="GY24" t="e">
        <f>AND(class!D157,"AAAAAHr5t84=")</f>
        <v>#VALUE!</v>
      </c>
      <c r="GZ24" t="e">
        <f>AND(class!E157,"AAAAAHr5t88=")</f>
        <v>#VALUE!</v>
      </c>
      <c r="HA24" t="e">
        <f>AND(class!F157,"AAAAAHr5t9A=")</f>
        <v>#VALUE!</v>
      </c>
      <c r="HB24" t="e">
        <f>AND(class!G157,"AAAAAHr5t9E=")</f>
        <v>#VALUE!</v>
      </c>
      <c r="HC24" t="e">
        <f>AND(class!H157,"AAAAAHr5t9I=")</f>
        <v>#VALUE!</v>
      </c>
      <c r="HD24" t="e">
        <f>AND(class!I157,"AAAAAHr5t9M=")</f>
        <v>#VALUE!</v>
      </c>
      <c r="HE24" t="e">
        <f>AND(class!J157,"AAAAAHr5t9Q=")</f>
        <v>#VALUE!</v>
      </c>
      <c r="HF24" t="e">
        <f>AND(class!K157,"AAAAAHr5t9U=")</f>
        <v>#VALUE!</v>
      </c>
      <c r="HG24" t="e">
        <f>AND(class!L157,"AAAAAHr5t9Y=")</f>
        <v>#VALUE!</v>
      </c>
      <c r="HH24" t="e">
        <f>AND(class!M157,"AAAAAHr5t9c=")</f>
        <v>#VALUE!</v>
      </c>
      <c r="HI24" t="e">
        <f>AND(class!N157,"AAAAAHr5t9g=")</f>
        <v>#VALUE!</v>
      </c>
      <c r="HJ24" t="e">
        <f>AND(class!O157,"AAAAAHr5t9k=")</f>
        <v>#VALUE!</v>
      </c>
      <c r="HK24" t="e">
        <f>AND(class!P157,"AAAAAHr5t9o=")</f>
        <v>#VALUE!</v>
      </c>
      <c r="HL24" t="e">
        <f>AND(class!Q157,"AAAAAHr5t9s=")</f>
        <v>#VALUE!</v>
      </c>
      <c r="HM24" t="e">
        <f>AND(class!R157,"AAAAAHr5t9w=")</f>
        <v>#VALUE!</v>
      </c>
      <c r="HN24" t="e">
        <f>AND(class!S157,"AAAAAHr5t90=")</f>
        <v>#VALUE!</v>
      </c>
      <c r="HO24" t="e">
        <f>AND(class!T157,"AAAAAHr5t94=")</f>
        <v>#VALUE!</v>
      </c>
      <c r="HP24" t="e">
        <f>AND(class!U157,"AAAAAHr5t98=")</f>
        <v>#VALUE!</v>
      </c>
      <c r="HQ24" t="e">
        <f>AND(class!V157,"AAAAAHr5t+A=")</f>
        <v>#VALUE!</v>
      </c>
      <c r="HR24" t="e">
        <f>AND(class!W157,"AAAAAHr5t+E=")</f>
        <v>#VALUE!</v>
      </c>
      <c r="HS24" t="e">
        <f>AND(class!X157,"AAAAAHr5t+I=")</f>
        <v>#VALUE!</v>
      </c>
      <c r="HT24" t="e">
        <f>AND(class!Y157,"AAAAAHr5t+M=")</f>
        <v>#VALUE!</v>
      </c>
      <c r="HU24" t="e">
        <f>AND(class!Z157,"AAAAAHr5t+Q=")</f>
        <v>#VALUE!</v>
      </c>
      <c r="HV24" t="e">
        <f>AND(class!AA157,"AAAAAHr5t+U=")</f>
        <v>#VALUE!</v>
      </c>
      <c r="HW24" t="e">
        <f>AND(class!AB157,"AAAAAHr5t+Y=")</f>
        <v>#VALUE!</v>
      </c>
      <c r="HX24" t="e">
        <f>AND(class!AC157,"AAAAAHr5t+c=")</f>
        <v>#VALUE!</v>
      </c>
      <c r="HY24">
        <f>IF(class!158:158,"AAAAAHr5t+g=",0)</f>
        <v>0</v>
      </c>
      <c r="HZ24" t="e">
        <f>AND(class!A158,"AAAAAHr5t+k=")</f>
        <v>#VALUE!</v>
      </c>
      <c r="IA24" t="e">
        <f>AND(class!B158,"AAAAAHr5t+o=")</f>
        <v>#VALUE!</v>
      </c>
      <c r="IB24" t="e">
        <f>AND(class!C158,"AAAAAHr5t+s=")</f>
        <v>#VALUE!</v>
      </c>
      <c r="IC24" t="e">
        <f>AND(class!D158,"AAAAAHr5t+w=")</f>
        <v>#VALUE!</v>
      </c>
      <c r="ID24" t="e">
        <f>AND(class!E158,"AAAAAHr5t+0=")</f>
        <v>#VALUE!</v>
      </c>
      <c r="IE24" t="e">
        <f>AND(class!F158,"AAAAAHr5t+4=")</f>
        <v>#VALUE!</v>
      </c>
      <c r="IF24" t="e">
        <f>AND(class!G158,"AAAAAHr5t+8=")</f>
        <v>#VALUE!</v>
      </c>
      <c r="IG24" t="e">
        <f>AND(class!H158,"AAAAAHr5t/A=")</f>
        <v>#VALUE!</v>
      </c>
      <c r="IH24" t="e">
        <f>AND(class!I158,"AAAAAHr5t/E=")</f>
        <v>#VALUE!</v>
      </c>
      <c r="II24" t="e">
        <f>AND(class!J158,"AAAAAHr5t/I=")</f>
        <v>#VALUE!</v>
      </c>
      <c r="IJ24" t="e">
        <f>AND(class!K158,"AAAAAHr5t/M=")</f>
        <v>#VALUE!</v>
      </c>
      <c r="IK24" t="e">
        <f>AND(class!L158,"AAAAAHr5t/Q=")</f>
        <v>#VALUE!</v>
      </c>
      <c r="IL24" t="e">
        <f>AND(class!M158,"AAAAAHr5t/U=")</f>
        <v>#VALUE!</v>
      </c>
      <c r="IM24" t="e">
        <f>AND(class!N158,"AAAAAHr5t/Y=")</f>
        <v>#VALUE!</v>
      </c>
      <c r="IN24" t="e">
        <f>AND(class!O158,"AAAAAHr5t/c=")</f>
        <v>#VALUE!</v>
      </c>
      <c r="IO24" t="e">
        <f>AND(class!P158,"AAAAAHr5t/g=")</f>
        <v>#VALUE!</v>
      </c>
      <c r="IP24" t="e">
        <f>AND(class!Q158,"AAAAAHr5t/k=")</f>
        <v>#VALUE!</v>
      </c>
      <c r="IQ24" t="e">
        <f>AND(class!R158,"AAAAAHr5t/o=")</f>
        <v>#VALUE!</v>
      </c>
      <c r="IR24" t="e">
        <f>AND(class!S158,"AAAAAHr5t/s=")</f>
        <v>#VALUE!</v>
      </c>
      <c r="IS24" t="e">
        <f>AND(class!T158,"AAAAAHr5t/w=")</f>
        <v>#VALUE!</v>
      </c>
      <c r="IT24" t="e">
        <f>AND(class!U158,"AAAAAHr5t/0=")</f>
        <v>#VALUE!</v>
      </c>
      <c r="IU24" t="e">
        <f>AND(class!V158,"AAAAAHr5t/4=")</f>
        <v>#VALUE!</v>
      </c>
      <c r="IV24" t="e">
        <f>AND(class!W158,"AAAAAHr5t/8=")</f>
        <v>#VALUE!</v>
      </c>
    </row>
    <row r="25" spans="1:256" x14ac:dyDescent="0.2">
      <c r="A25" t="e">
        <f>AND(class!X158,"AAAAAAGb+gA=")</f>
        <v>#VALUE!</v>
      </c>
      <c r="B25" t="e">
        <f>AND(class!Y158,"AAAAAAGb+gE=")</f>
        <v>#VALUE!</v>
      </c>
      <c r="C25" t="e">
        <f>AND(class!Z158,"AAAAAAGb+gI=")</f>
        <v>#VALUE!</v>
      </c>
      <c r="D25" t="e">
        <f>AND(class!AA158,"AAAAAAGb+gM=")</f>
        <v>#VALUE!</v>
      </c>
      <c r="E25" t="e">
        <f>AND(class!AB158,"AAAAAAGb+gQ=")</f>
        <v>#VALUE!</v>
      </c>
      <c r="F25" t="e">
        <f>AND(class!AC158,"AAAAAAGb+gU=")</f>
        <v>#VALUE!</v>
      </c>
      <c r="G25">
        <f>IF(class!159:159,"AAAAAAGb+gY=",0)</f>
        <v>0</v>
      </c>
      <c r="H25" t="e">
        <f>AND(class!A159,"AAAAAAGb+gc=")</f>
        <v>#VALUE!</v>
      </c>
      <c r="I25" t="e">
        <f>AND(class!B159,"AAAAAAGb+gg=")</f>
        <v>#VALUE!</v>
      </c>
      <c r="J25" t="e">
        <f>AND(class!C159,"AAAAAAGb+gk=")</f>
        <v>#VALUE!</v>
      </c>
      <c r="K25" t="e">
        <f>AND(class!D159,"AAAAAAGb+go=")</f>
        <v>#VALUE!</v>
      </c>
      <c r="L25" t="e">
        <f>AND(class!E159,"AAAAAAGb+gs=")</f>
        <v>#VALUE!</v>
      </c>
      <c r="M25" t="e">
        <f>AND(class!F159,"AAAAAAGb+gw=")</f>
        <v>#VALUE!</v>
      </c>
      <c r="N25" t="e">
        <f>AND(class!G159,"AAAAAAGb+g0=")</f>
        <v>#VALUE!</v>
      </c>
      <c r="O25" t="e">
        <f>AND(class!H159,"AAAAAAGb+g4=")</f>
        <v>#VALUE!</v>
      </c>
      <c r="P25" t="e">
        <f>AND(class!I159,"AAAAAAGb+g8=")</f>
        <v>#VALUE!</v>
      </c>
      <c r="Q25" t="e">
        <f>AND(class!J159,"AAAAAAGb+hA=")</f>
        <v>#VALUE!</v>
      </c>
      <c r="R25" t="e">
        <f>AND(class!K159,"AAAAAAGb+hE=")</f>
        <v>#VALUE!</v>
      </c>
      <c r="S25" t="e">
        <f>AND(class!L159,"AAAAAAGb+hI=")</f>
        <v>#VALUE!</v>
      </c>
      <c r="T25" t="e">
        <f>AND(class!M159,"AAAAAAGb+hM=")</f>
        <v>#VALUE!</v>
      </c>
      <c r="U25" t="e">
        <f>AND(class!N159,"AAAAAAGb+hQ=")</f>
        <v>#VALUE!</v>
      </c>
      <c r="V25" t="e">
        <f>AND(class!O159,"AAAAAAGb+hU=")</f>
        <v>#VALUE!</v>
      </c>
      <c r="W25" t="e">
        <f>AND(class!P159,"AAAAAAGb+hY=")</f>
        <v>#VALUE!</v>
      </c>
      <c r="X25" t="e">
        <f>AND(class!Q159,"AAAAAAGb+hc=")</f>
        <v>#VALUE!</v>
      </c>
      <c r="Y25" t="e">
        <f>AND(class!R159,"AAAAAAGb+hg=")</f>
        <v>#VALUE!</v>
      </c>
      <c r="Z25" t="e">
        <f>AND(class!S159,"AAAAAAGb+hk=")</f>
        <v>#VALUE!</v>
      </c>
      <c r="AA25" t="e">
        <f>AND(class!T159,"AAAAAAGb+ho=")</f>
        <v>#VALUE!</v>
      </c>
      <c r="AB25" t="e">
        <f>AND(class!U159,"AAAAAAGb+hs=")</f>
        <v>#VALUE!</v>
      </c>
      <c r="AC25" t="e">
        <f>AND(class!V159,"AAAAAAGb+hw=")</f>
        <v>#VALUE!</v>
      </c>
      <c r="AD25" t="e">
        <f>AND(class!W159,"AAAAAAGb+h0=")</f>
        <v>#VALUE!</v>
      </c>
      <c r="AE25" t="e">
        <f>AND(class!X159,"AAAAAAGb+h4=")</f>
        <v>#VALUE!</v>
      </c>
      <c r="AF25" t="e">
        <f>AND(class!Y159,"AAAAAAGb+h8=")</f>
        <v>#VALUE!</v>
      </c>
      <c r="AG25" t="e">
        <f>AND(class!Z159,"AAAAAAGb+iA=")</f>
        <v>#VALUE!</v>
      </c>
      <c r="AH25" t="e">
        <f>AND(class!AA159,"AAAAAAGb+iE=")</f>
        <v>#VALUE!</v>
      </c>
      <c r="AI25" t="e">
        <f>AND(class!AB159,"AAAAAAGb+iI=")</f>
        <v>#VALUE!</v>
      </c>
      <c r="AJ25" t="e">
        <f>AND(class!AC159,"AAAAAAGb+iM=")</f>
        <v>#VALUE!</v>
      </c>
      <c r="AK25">
        <f>IF(class!160:160,"AAAAAAGb+iQ=",0)</f>
        <v>0</v>
      </c>
      <c r="AL25" t="e">
        <f>AND(class!A160,"AAAAAAGb+iU=")</f>
        <v>#VALUE!</v>
      </c>
      <c r="AM25" t="e">
        <f>AND(class!B160,"AAAAAAGb+iY=")</f>
        <v>#VALUE!</v>
      </c>
      <c r="AN25" t="e">
        <f>AND(class!C160,"AAAAAAGb+ic=")</f>
        <v>#VALUE!</v>
      </c>
      <c r="AO25" t="e">
        <f>AND(class!D160,"AAAAAAGb+ig=")</f>
        <v>#VALUE!</v>
      </c>
      <c r="AP25" t="e">
        <f>AND(class!E160,"AAAAAAGb+ik=")</f>
        <v>#VALUE!</v>
      </c>
      <c r="AQ25" t="e">
        <f>AND(class!F160,"AAAAAAGb+io=")</f>
        <v>#VALUE!</v>
      </c>
      <c r="AR25" t="e">
        <f>AND(class!G160,"AAAAAAGb+is=")</f>
        <v>#VALUE!</v>
      </c>
      <c r="AS25" t="e">
        <f>AND(class!H160,"AAAAAAGb+iw=")</f>
        <v>#VALUE!</v>
      </c>
      <c r="AT25" t="e">
        <f>AND(class!I160,"AAAAAAGb+i0=")</f>
        <v>#VALUE!</v>
      </c>
      <c r="AU25" t="e">
        <f>AND(class!J160,"AAAAAAGb+i4=")</f>
        <v>#VALUE!</v>
      </c>
      <c r="AV25" t="e">
        <f>AND(class!K160,"AAAAAAGb+i8=")</f>
        <v>#VALUE!</v>
      </c>
      <c r="AW25" t="e">
        <f>AND(class!L160,"AAAAAAGb+jA=")</f>
        <v>#VALUE!</v>
      </c>
      <c r="AX25" t="e">
        <f>AND(class!M160,"AAAAAAGb+jE=")</f>
        <v>#VALUE!</v>
      </c>
      <c r="AY25" t="e">
        <f>AND(class!N160,"AAAAAAGb+jI=")</f>
        <v>#VALUE!</v>
      </c>
      <c r="AZ25" t="e">
        <f>AND(class!O160,"AAAAAAGb+jM=")</f>
        <v>#VALUE!</v>
      </c>
      <c r="BA25" t="e">
        <f>AND(class!P160,"AAAAAAGb+jQ=")</f>
        <v>#VALUE!</v>
      </c>
      <c r="BB25" t="e">
        <f>AND(class!Q160,"AAAAAAGb+jU=")</f>
        <v>#VALUE!</v>
      </c>
      <c r="BC25" t="e">
        <f>AND(class!R160,"AAAAAAGb+jY=")</f>
        <v>#VALUE!</v>
      </c>
      <c r="BD25" t="e">
        <f>AND(class!S160,"AAAAAAGb+jc=")</f>
        <v>#VALUE!</v>
      </c>
      <c r="BE25" t="e">
        <f>AND(class!T160,"AAAAAAGb+jg=")</f>
        <v>#VALUE!</v>
      </c>
      <c r="BF25" t="e">
        <f>AND(class!U160,"AAAAAAGb+jk=")</f>
        <v>#VALUE!</v>
      </c>
      <c r="BG25" t="e">
        <f>AND(class!V160,"AAAAAAGb+jo=")</f>
        <v>#VALUE!</v>
      </c>
      <c r="BH25" t="e">
        <f>AND(class!W160,"AAAAAAGb+js=")</f>
        <v>#VALUE!</v>
      </c>
      <c r="BI25" t="e">
        <f>AND(class!X160,"AAAAAAGb+jw=")</f>
        <v>#VALUE!</v>
      </c>
      <c r="BJ25" t="e">
        <f>AND(class!Y160,"AAAAAAGb+j0=")</f>
        <v>#VALUE!</v>
      </c>
      <c r="BK25" t="e">
        <f>AND(class!Z160,"AAAAAAGb+j4=")</f>
        <v>#VALUE!</v>
      </c>
      <c r="BL25" t="e">
        <f>AND(class!AA160,"AAAAAAGb+j8=")</f>
        <v>#VALUE!</v>
      </c>
      <c r="BM25" t="e">
        <f>AND(class!AB160,"AAAAAAGb+kA=")</f>
        <v>#VALUE!</v>
      </c>
      <c r="BN25" t="e">
        <f>AND(class!AC160,"AAAAAAGb+kE=")</f>
        <v>#VALUE!</v>
      </c>
      <c r="BO25">
        <f>IF(class!161:161,"AAAAAAGb+kI=",0)</f>
        <v>0</v>
      </c>
      <c r="BP25" t="e">
        <f>AND(class!A161,"AAAAAAGb+kM=")</f>
        <v>#VALUE!</v>
      </c>
      <c r="BQ25" t="e">
        <f>AND(class!B161,"AAAAAAGb+kQ=")</f>
        <v>#VALUE!</v>
      </c>
      <c r="BR25" t="e">
        <f>AND(class!C161,"AAAAAAGb+kU=")</f>
        <v>#VALUE!</v>
      </c>
      <c r="BS25" t="e">
        <f>AND(class!D161,"AAAAAAGb+kY=")</f>
        <v>#VALUE!</v>
      </c>
      <c r="BT25" t="e">
        <f>AND(class!E161,"AAAAAAGb+kc=")</f>
        <v>#VALUE!</v>
      </c>
      <c r="BU25" t="e">
        <f>AND(class!F161,"AAAAAAGb+kg=")</f>
        <v>#VALUE!</v>
      </c>
      <c r="BV25" t="e">
        <f>AND(class!G161,"AAAAAAGb+kk=")</f>
        <v>#VALUE!</v>
      </c>
      <c r="BW25" t="e">
        <f>AND(class!H161,"AAAAAAGb+ko=")</f>
        <v>#VALUE!</v>
      </c>
      <c r="BX25" t="e">
        <f>AND(class!I161,"AAAAAAGb+ks=")</f>
        <v>#VALUE!</v>
      </c>
      <c r="BY25" t="e">
        <f>AND(class!J161,"AAAAAAGb+kw=")</f>
        <v>#VALUE!</v>
      </c>
      <c r="BZ25" t="e">
        <f>AND(class!K161,"AAAAAAGb+k0=")</f>
        <v>#VALUE!</v>
      </c>
      <c r="CA25" t="e">
        <f>AND(class!L161,"AAAAAAGb+k4=")</f>
        <v>#VALUE!</v>
      </c>
      <c r="CB25" t="e">
        <f>AND(class!M161,"AAAAAAGb+k8=")</f>
        <v>#VALUE!</v>
      </c>
      <c r="CC25" t="e">
        <f>AND(class!N161,"AAAAAAGb+lA=")</f>
        <v>#VALUE!</v>
      </c>
      <c r="CD25" t="e">
        <f>AND(class!O161,"AAAAAAGb+lE=")</f>
        <v>#VALUE!</v>
      </c>
      <c r="CE25" t="e">
        <f>AND(class!P161,"AAAAAAGb+lI=")</f>
        <v>#VALUE!</v>
      </c>
      <c r="CF25" t="e">
        <f>AND(class!Q161,"AAAAAAGb+lM=")</f>
        <v>#VALUE!</v>
      </c>
      <c r="CG25" t="e">
        <f>AND(class!R161,"AAAAAAGb+lQ=")</f>
        <v>#VALUE!</v>
      </c>
      <c r="CH25" t="e">
        <f>AND(class!S161,"AAAAAAGb+lU=")</f>
        <v>#VALUE!</v>
      </c>
      <c r="CI25" t="e">
        <f>AND(class!T161,"AAAAAAGb+lY=")</f>
        <v>#VALUE!</v>
      </c>
      <c r="CJ25" t="e">
        <f>AND(class!U161,"AAAAAAGb+lc=")</f>
        <v>#VALUE!</v>
      </c>
      <c r="CK25" t="e">
        <f>AND(class!V161,"AAAAAAGb+lg=")</f>
        <v>#VALUE!</v>
      </c>
      <c r="CL25" t="e">
        <f>AND(class!W161,"AAAAAAGb+lk=")</f>
        <v>#VALUE!</v>
      </c>
      <c r="CM25" t="e">
        <f>AND(class!X161,"AAAAAAGb+lo=")</f>
        <v>#VALUE!</v>
      </c>
      <c r="CN25" t="e">
        <f>AND(class!Y161,"AAAAAAGb+ls=")</f>
        <v>#VALUE!</v>
      </c>
      <c r="CO25" t="e">
        <f>AND(class!Z161,"AAAAAAGb+lw=")</f>
        <v>#VALUE!</v>
      </c>
      <c r="CP25" t="e">
        <f>AND(class!AA161,"AAAAAAGb+l0=")</f>
        <v>#VALUE!</v>
      </c>
      <c r="CQ25" t="e">
        <f>AND(class!AB161,"AAAAAAGb+l4=")</f>
        <v>#VALUE!</v>
      </c>
      <c r="CR25" t="e">
        <f>AND(class!AC161,"AAAAAAGb+l8=")</f>
        <v>#VALUE!</v>
      </c>
      <c r="CS25">
        <f>IF(class!162:162,"AAAAAAGb+mA=",0)</f>
        <v>0</v>
      </c>
      <c r="CT25" t="e">
        <f>AND(class!A162,"AAAAAAGb+mE=")</f>
        <v>#VALUE!</v>
      </c>
      <c r="CU25" t="e">
        <f>AND(class!B162,"AAAAAAGb+mI=")</f>
        <v>#VALUE!</v>
      </c>
      <c r="CV25" t="e">
        <f>AND(class!C162,"AAAAAAGb+mM=")</f>
        <v>#VALUE!</v>
      </c>
      <c r="CW25" t="e">
        <f>AND(class!D162,"AAAAAAGb+mQ=")</f>
        <v>#VALUE!</v>
      </c>
      <c r="CX25" t="e">
        <f>AND(class!E162,"AAAAAAGb+mU=")</f>
        <v>#VALUE!</v>
      </c>
      <c r="CY25" t="e">
        <f>AND(class!F162,"AAAAAAGb+mY=")</f>
        <v>#VALUE!</v>
      </c>
      <c r="CZ25" t="e">
        <f>AND(class!G162,"AAAAAAGb+mc=")</f>
        <v>#VALUE!</v>
      </c>
      <c r="DA25" t="e">
        <f>AND(class!H162,"AAAAAAGb+mg=")</f>
        <v>#VALUE!</v>
      </c>
      <c r="DB25" t="e">
        <f>AND(class!I162,"AAAAAAGb+mk=")</f>
        <v>#VALUE!</v>
      </c>
      <c r="DC25" t="e">
        <f>AND(class!J162,"AAAAAAGb+mo=")</f>
        <v>#VALUE!</v>
      </c>
      <c r="DD25" t="e">
        <f>AND(class!K162,"AAAAAAGb+ms=")</f>
        <v>#VALUE!</v>
      </c>
      <c r="DE25" t="e">
        <f>AND(class!L162,"AAAAAAGb+mw=")</f>
        <v>#VALUE!</v>
      </c>
      <c r="DF25" t="e">
        <f>AND(class!M162,"AAAAAAGb+m0=")</f>
        <v>#VALUE!</v>
      </c>
      <c r="DG25" t="e">
        <f>AND(class!N162,"AAAAAAGb+m4=")</f>
        <v>#VALUE!</v>
      </c>
      <c r="DH25" t="e">
        <f>AND(class!O162,"AAAAAAGb+m8=")</f>
        <v>#VALUE!</v>
      </c>
      <c r="DI25" t="e">
        <f>AND(class!P162,"AAAAAAGb+nA=")</f>
        <v>#VALUE!</v>
      </c>
      <c r="DJ25" t="e">
        <f>AND(class!Q162,"AAAAAAGb+nE=")</f>
        <v>#VALUE!</v>
      </c>
      <c r="DK25" t="e">
        <f>AND(class!R162,"AAAAAAGb+nI=")</f>
        <v>#VALUE!</v>
      </c>
      <c r="DL25" t="e">
        <f>AND(class!S162,"AAAAAAGb+nM=")</f>
        <v>#VALUE!</v>
      </c>
      <c r="DM25" t="e">
        <f>AND(class!T162,"AAAAAAGb+nQ=")</f>
        <v>#VALUE!</v>
      </c>
      <c r="DN25" t="e">
        <f>AND(class!U162,"AAAAAAGb+nU=")</f>
        <v>#VALUE!</v>
      </c>
      <c r="DO25" t="e">
        <f>AND(class!V162,"AAAAAAGb+nY=")</f>
        <v>#VALUE!</v>
      </c>
      <c r="DP25" t="e">
        <f>AND(class!W162,"AAAAAAGb+nc=")</f>
        <v>#VALUE!</v>
      </c>
      <c r="DQ25" t="e">
        <f>AND(class!X162,"AAAAAAGb+ng=")</f>
        <v>#VALUE!</v>
      </c>
      <c r="DR25" t="e">
        <f>AND(class!Y162,"AAAAAAGb+nk=")</f>
        <v>#VALUE!</v>
      </c>
      <c r="DS25" t="e">
        <f>AND(class!Z162,"AAAAAAGb+no=")</f>
        <v>#VALUE!</v>
      </c>
      <c r="DT25" t="e">
        <f>AND(class!AA162,"AAAAAAGb+ns=")</f>
        <v>#VALUE!</v>
      </c>
      <c r="DU25" t="e">
        <f>AND(class!AB162,"AAAAAAGb+nw=")</f>
        <v>#VALUE!</v>
      </c>
      <c r="DV25" t="e">
        <f>AND(class!AC162,"AAAAAAGb+n0=")</f>
        <v>#VALUE!</v>
      </c>
      <c r="DW25">
        <f>IF(class!163:163,"AAAAAAGb+n4=",0)</f>
        <v>0</v>
      </c>
      <c r="DX25" t="e">
        <f>AND(class!A163,"AAAAAAGb+n8=")</f>
        <v>#VALUE!</v>
      </c>
      <c r="DY25" t="e">
        <f>AND(class!B163,"AAAAAAGb+oA=")</f>
        <v>#VALUE!</v>
      </c>
      <c r="DZ25" t="e">
        <f>AND(class!C163,"AAAAAAGb+oE=")</f>
        <v>#VALUE!</v>
      </c>
      <c r="EA25" t="e">
        <f>AND(class!D163,"AAAAAAGb+oI=")</f>
        <v>#VALUE!</v>
      </c>
      <c r="EB25" t="e">
        <f>AND(class!E163,"AAAAAAGb+oM=")</f>
        <v>#VALUE!</v>
      </c>
      <c r="EC25" t="e">
        <f>AND(class!F163,"AAAAAAGb+oQ=")</f>
        <v>#VALUE!</v>
      </c>
      <c r="ED25" t="e">
        <f>AND(class!G163,"AAAAAAGb+oU=")</f>
        <v>#VALUE!</v>
      </c>
      <c r="EE25" t="e">
        <f>AND(class!H163,"AAAAAAGb+oY=")</f>
        <v>#VALUE!</v>
      </c>
      <c r="EF25" t="e">
        <f>AND(class!I163,"AAAAAAGb+oc=")</f>
        <v>#VALUE!</v>
      </c>
      <c r="EG25" t="e">
        <f>AND(class!J163,"AAAAAAGb+og=")</f>
        <v>#VALUE!</v>
      </c>
      <c r="EH25" t="e">
        <f>AND(class!K163,"AAAAAAGb+ok=")</f>
        <v>#VALUE!</v>
      </c>
      <c r="EI25" t="e">
        <f>AND(class!L163,"AAAAAAGb+oo=")</f>
        <v>#VALUE!</v>
      </c>
      <c r="EJ25" t="e">
        <f>AND(class!M163,"AAAAAAGb+os=")</f>
        <v>#VALUE!</v>
      </c>
      <c r="EK25" t="e">
        <f>AND(class!N163,"AAAAAAGb+ow=")</f>
        <v>#VALUE!</v>
      </c>
      <c r="EL25" t="e">
        <f>AND(class!O163,"AAAAAAGb+o0=")</f>
        <v>#VALUE!</v>
      </c>
      <c r="EM25" t="e">
        <f>AND(class!P163,"AAAAAAGb+o4=")</f>
        <v>#VALUE!</v>
      </c>
      <c r="EN25" t="e">
        <f>AND(class!Q163,"AAAAAAGb+o8=")</f>
        <v>#VALUE!</v>
      </c>
      <c r="EO25" t="e">
        <f>AND(class!R163,"AAAAAAGb+pA=")</f>
        <v>#VALUE!</v>
      </c>
      <c r="EP25" t="e">
        <f>AND(class!S163,"AAAAAAGb+pE=")</f>
        <v>#VALUE!</v>
      </c>
      <c r="EQ25" t="e">
        <f>AND(class!T163,"AAAAAAGb+pI=")</f>
        <v>#VALUE!</v>
      </c>
      <c r="ER25" t="e">
        <f>AND(class!U163,"AAAAAAGb+pM=")</f>
        <v>#VALUE!</v>
      </c>
      <c r="ES25" t="e">
        <f>AND(class!V163,"AAAAAAGb+pQ=")</f>
        <v>#VALUE!</v>
      </c>
      <c r="ET25" t="e">
        <f>AND(class!W163,"AAAAAAGb+pU=")</f>
        <v>#VALUE!</v>
      </c>
      <c r="EU25" t="e">
        <f>AND(class!X163,"AAAAAAGb+pY=")</f>
        <v>#VALUE!</v>
      </c>
      <c r="EV25" t="e">
        <f>AND(class!Y163,"AAAAAAGb+pc=")</f>
        <v>#VALUE!</v>
      </c>
      <c r="EW25" t="e">
        <f>AND(class!Z163,"AAAAAAGb+pg=")</f>
        <v>#VALUE!</v>
      </c>
      <c r="EX25" t="e">
        <f>AND(class!AA163,"AAAAAAGb+pk=")</f>
        <v>#VALUE!</v>
      </c>
      <c r="EY25" t="e">
        <f>AND(class!AB163,"AAAAAAGb+po=")</f>
        <v>#VALUE!</v>
      </c>
      <c r="EZ25" t="e">
        <f>AND(class!AC163,"AAAAAAGb+ps=")</f>
        <v>#VALUE!</v>
      </c>
      <c r="FA25">
        <f>IF(class!164:164,"AAAAAAGb+pw=",0)</f>
        <v>0</v>
      </c>
      <c r="FB25" t="e">
        <f>AND(class!A164,"AAAAAAGb+p0=")</f>
        <v>#VALUE!</v>
      </c>
      <c r="FC25" t="e">
        <f>AND(class!B164,"AAAAAAGb+p4=")</f>
        <v>#VALUE!</v>
      </c>
      <c r="FD25" t="e">
        <f>AND(class!C164,"AAAAAAGb+p8=")</f>
        <v>#VALUE!</v>
      </c>
      <c r="FE25" t="e">
        <f>AND(class!D164,"AAAAAAGb+qA=")</f>
        <v>#VALUE!</v>
      </c>
      <c r="FF25" t="e">
        <f>AND(class!E164,"AAAAAAGb+qE=")</f>
        <v>#VALUE!</v>
      </c>
      <c r="FG25" t="e">
        <f>AND(class!F164,"AAAAAAGb+qI=")</f>
        <v>#VALUE!</v>
      </c>
      <c r="FH25" t="e">
        <f>AND(class!G164,"AAAAAAGb+qM=")</f>
        <v>#VALUE!</v>
      </c>
      <c r="FI25" t="e">
        <f>AND(class!H164,"AAAAAAGb+qQ=")</f>
        <v>#VALUE!</v>
      </c>
      <c r="FJ25" t="e">
        <f>AND(class!I164,"AAAAAAGb+qU=")</f>
        <v>#VALUE!</v>
      </c>
      <c r="FK25" t="e">
        <f>AND(class!J164,"AAAAAAGb+qY=")</f>
        <v>#VALUE!</v>
      </c>
      <c r="FL25" t="e">
        <f>AND(class!K164,"AAAAAAGb+qc=")</f>
        <v>#VALUE!</v>
      </c>
      <c r="FM25" t="e">
        <f>AND(class!L164,"AAAAAAGb+qg=")</f>
        <v>#VALUE!</v>
      </c>
      <c r="FN25" t="e">
        <f>AND(class!M164,"AAAAAAGb+qk=")</f>
        <v>#VALUE!</v>
      </c>
      <c r="FO25" t="e">
        <f>AND(class!N164,"AAAAAAGb+qo=")</f>
        <v>#VALUE!</v>
      </c>
      <c r="FP25" t="e">
        <f>AND(class!O164,"AAAAAAGb+qs=")</f>
        <v>#VALUE!</v>
      </c>
      <c r="FQ25" t="e">
        <f>AND(class!P164,"AAAAAAGb+qw=")</f>
        <v>#VALUE!</v>
      </c>
      <c r="FR25" t="e">
        <f>AND(class!Q164,"AAAAAAGb+q0=")</f>
        <v>#VALUE!</v>
      </c>
      <c r="FS25" t="e">
        <f>AND(class!R164,"AAAAAAGb+q4=")</f>
        <v>#VALUE!</v>
      </c>
      <c r="FT25" t="e">
        <f>AND(class!S164,"AAAAAAGb+q8=")</f>
        <v>#VALUE!</v>
      </c>
      <c r="FU25" t="e">
        <f>AND(class!T164,"AAAAAAGb+rA=")</f>
        <v>#VALUE!</v>
      </c>
      <c r="FV25" t="e">
        <f>AND(class!U164,"AAAAAAGb+rE=")</f>
        <v>#VALUE!</v>
      </c>
      <c r="FW25" t="e">
        <f>AND(class!V164,"AAAAAAGb+rI=")</f>
        <v>#VALUE!</v>
      </c>
      <c r="FX25" t="e">
        <f>AND(class!W164,"AAAAAAGb+rM=")</f>
        <v>#VALUE!</v>
      </c>
      <c r="FY25" t="e">
        <f>AND(class!X164,"AAAAAAGb+rQ=")</f>
        <v>#VALUE!</v>
      </c>
      <c r="FZ25" t="e">
        <f>AND(class!Y164,"AAAAAAGb+rU=")</f>
        <v>#VALUE!</v>
      </c>
      <c r="GA25" t="e">
        <f>AND(class!Z164,"AAAAAAGb+rY=")</f>
        <v>#VALUE!</v>
      </c>
      <c r="GB25" t="e">
        <f>AND(class!AA164,"AAAAAAGb+rc=")</f>
        <v>#VALUE!</v>
      </c>
      <c r="GC25" t="e">
        <f>AND(class!AB164,"AAAAAAGb+rg=")</f>
        <v>#VALUE!</v>
      </c>
      <c r="GD25" t="e">
        <f>AND(class!AC164,"AAAAAAGb+rk=")</f>
        <v>#VALUE!</v>
      </c>
      <c r="GE25">
        <f>IF(class!165:165,"AAAAAAGb+ro=",0)</f>
        <v>0</v>
      </c>
      <c r="GF25" t="e">
        <f>AND(class!A165,"AAAAAAGb+rs=")</f>
        <v>#VALUE!</v>
      </c>
      <c r="GG25" t="e">
        <f>AND(class!B165,"AAAAAAGb+rw=")</f>
        <v>#VALUE!</v>
      </c>
      <c r="GH25" t="e">
        <f>AND(class!C165,"AAAAAAGb+r0=")</f>
        <v>#VALUE!</v>
      </c>
      <c r="GI25" t="e">
        <f>AND(class!D165,"AAAAAAGb+r4=")</f>
        <v>#VALUE!</v>
      </c>
      <c r="GJ25" t="e">
        <f>AND(class!E165,"AAAAAAGb+r8=")</f>
        <v>#VALUE!</v>
      </c>
      <c r="GK25" t="e">
        <f>AND(class!F165,"AAAAAAGb+sA=")</f>
        <v>#VALUE!</v>
      </c>
      <c r="GL25" t="e">
        <f>AND(class!G165,"AAAAAAGb+sE=")</f>
        <v>#VALUE!</v>
      </c>
      <c r="GM25" t="e">
        <f>AND(class!H165,"AAAAAAGb+sI=")</f>
        <v>#VALUE!</v>
      </c>
      <c r="GN25" t="e">
        <f>AND(class!I165,"AAAAAAGb+sM=")</f>
        <v>#VALUE!</v>
      </c>
      <c r="GO25" t="e">
        <f>AND(class!J165,"AAAAAAGb+sQ=")</f>
        <v>#VALUE!</v>
      </c>
      <c r="GP25" t="e">
        <f>AND(class!K165,"AAAAAAGb+sU=")</f>
        <v>#VALUE!</v>
      </c>
      <c r="GQ25" t="e">
        <f>AND(class!L165,"AAAAAAGb+sY=")</f>
        <v>#VALUE!</v>
      </c>
      <c r="GR25" t="e">
        <f>AND(class!M165,"AAAAAAGb+sc=")</f>
        <v>#VALUE!</v>
      </c>
      <c r="GS25" t="e">
        <f>AND(class!N165,"AAAAAAGb+sg=")</f>
        <v>#VALUE!</v>
      </c>
      <c r="GT25" t="e">
        <f>AND(class!O165,"AAAAAAGb+sk=")</f>
        <v>#VALUE!</v>
      </c>
      <c r="GU25" t="e">
        <f>AND(class!P165,"AAAAAAGb+so=")</f>
        <v>#VALUE!</v>
      </c>
      <c r="GV25" t="e">
        <f>AND(class!Q165,"AAAAAAGb+ss=")</f>
        <v>#VALUE!</v>
      </c>
      <c r="GW25" t="e">
        <f>AND(class!R165,"AAAAAAGb+sw=")</f>
        <v>#VALUE!</v>
      </c>
      <c r="GX25" t="e">
        <f>AND(class!S165,"AAAAAAGb+s0=")</f>
        <v>#VALUE!</v>
      </c>
      <c r="GY25" t="e">
        <f>AND(class!T165,"AAAAAAGb+s4=")</f>
        <v>#VALUE!</v>
      </c>
      <c r="GZ25" t="e">
        <f>AND(class!U165,"AAAAAAGb+s8=")</f>
        <v>#VALUE!</v>
      </c>
      <c r="HA25" t="e">
        <f>AND(class!V165,"AAAAAAGb+tA=")</f>
        <v>#VALUE!</v>
      </c>
      <c r="HB25" t="e">
        <f>AND(class!W165,"AAAAAAGb+tE=")</f>
        <v>#VALUE!</v>
      </c>
      <c r="HC25" t="e">
        <f>AND(class!X165,"AAAAAAGb+tI=")</f>
        <v>#VALUE!</v>
      </c>
      <c r="HD25" t="e">
        <f>AND(class!Y165,"AAAAAAGb+tM=")</f>
        <v>#VALUE!</v>
      </c>
      <c r="HE25" t="e">
        <f>AND(class!Z165,"AAAAAAGb+tQ=")</f>
        <v>#VALUE!</v>
      </c>
      <c r="HF25" t="e">
        <f>AND(class!AA165,"AAAAAAGb+tU=")</f>
        <v>#VALUE!</v>
      </c>
      <c r="HG25" t="e">
        <f>AND(class!AB165,"AAAAAAGb+tY=")</f>
        <v>#VALUE!</v>
      </c>
      <c r="HH25" t="e">
        <f>AND(class!AC165,"AAAAAAGb+tc=")</f>
        <v>#VALUE!</v>
      </c>
      <c r="HI25">
        <f>IF(class!166:166,"AAAAAAGb+tg=",0)</f>
        <v>0</v>
      </c>
      <c r="HJ25" t="e">
        <f>AND(class!A166,"AAAAAAGb+tk=")</f>
        <v>#VALUE!</v>
      </c>
      <c r="HK25" t="e">
        <f>AND(class!B166,"AAAAAAGb+to=")</f>
        <v>#VALUE!</v>
      </c>
      <c r="HL25" t="e">
        <f>AND(class!C166,"AAAAAAGb+ts=")</f>
        <v>#VALUE!</v>
      </c>
      <c r="HM25" t="e">
        <f>AND(class!D166,"AAAAAAGb+tw=")</f>
        <v>#VALUE!</v>
      </c>
      <c r="HN25" t="e">
        <f>AND(class!E166,"AAAAAAGb+t0=")</f>
        <v>#VALUE!</v>
      </c>
      <c r="HO25" t="e">
        <f>AND(class!F166,"AAAAAAGb+t4=")</f>
        <v>#VALUE!</v>
      </c>
      <c r="HP25" t="e">
        <f>AND(class!G166,"AAAAAAGb+t8=")</f>
        <v>#VALUE!</v>
      </c>
      <c r="HQ25" t="e">
        <f>AND(class!H166,"AAAAAAGb+uA=")</f>
        <v>#VALUE!</v>
      </c>
      <c r="HR25" t="e">
        <f>AND(class!I166,"AAAAAAGb+uE=")</f>
        <v>#VALUE!</v>
      </c>
      <c r="HS25" t="e">
        <f>AND(class!J166,"AAAAAAGb+uI=")</f>
        <v>#VALUE!</v>
      </c>
      <c r="HT25" t="e">
        <f>AND(class!K166,"AAAAAAGb+uM=")</f>
        <v>#VALUE!</v>
      </c>
      <c r="HU25" t="e">
        <f>AND(class!L166,"AAAAAAGb+uQ=")</f>
        <v>#VALUE!</v>
      </c>
      <c r="HV25" t="e">
        <f>AND(class!M166,"AAAAAAGb+uU=")</f>
        <v>#VALUE!</v>
      </c>
      <c r="HW25" t="e">
        <f>AND(class!N166,"AAAAAAGb+uY=")</f>
        <v>#VALUE!</v>
      </c>
      <c r="HX25" t="e">
        <f>AND(class!O166,"AAAAAAGb+uc=")</f>
        <v>#VALUE!</v>
      </c>
      <c r="HY25" t="e">
        <f>AND(class!P166,"AAAAAAGb+ug=")</f>
        <v>#VALUE!</v>
      </c>
      <c r="HZ25" t="e">
        <f>AND(class!Q166,"AAAAAAGb+uk=")</f>
        <v>#VALUE!</v>
      </c>
      <c r="IA25" t="e">
        <f>AND(class!R166,"AAAAAAGb+uo=")</f>
        <v>#VALUE!</v>
      </c>
      <c r="IB25" t="e">
        <f>AND(class!S166,"AAAAAAGb+us=")</f>
        <v>#VALUE!</v>
      </c>
      <c r="IC25" t="e">
        <f>AND(class!T166,"AAAAAAGb+uw=")</f>
        <v>#VALUE!</v>
      </c>
      <c r="ID25" t="e">
        <f>AND(class!U166,"AAAAAAGb+u0=")</f>
        <v>#VALUE!</v>
      </c>
      <c r="IE25" t="e">
        <f>AND(class!V166,"AAAAAAGb+u4=")</f>
        <v>#VALUE!</v>
      </c>
      <c r="IF25" t="e">
        <f>AND(class!W166,"AAAAAAGb+u8=")</f>
        <v>#VALUE!</v>
      </c>
      <c r="IG25" t="e">
        <f>AND(class!X166,"AAAAAAGb+vA=")</f>
        <v>#VALUE!</v>
      </c>
      <c r="IH25" t="e">
        <f>AND(class!Y166,"AAAAAAGb+vE=")</f>
        <v>#VALUE!</v>
      </c>
      <c r="II25" t="e">
        <f>AND(class!Z166,"AAAAAAGb+vI=")</f>
        <v>#VALUE!</v>
      </c>
      <c r="IJ25" t="e">
        <f>AND(class!AA166,"AAAAAAGb+vM=")</f>
        <v>#VALUE!</v>
      </c>
      <c r="IK25" t="e">
        <f>AND(class!AB166,"AAAAAAGb+vQ=")</f>
        <v>#VALUE!</v>
      </c>
      <c r="IL25" t="e">
        <f>AND(class!AC166,"AAAAAAGb+vU=")</f>
        <v>#VALUE!</v>
      </c>
      <c r="IM25">
        <f>IF(class!167:167,"AAAAAAGb+vY=",0)</f>
        <v>0</v>
      </c>
      <c r="IN25" t="e">
        <f>AND(class!A167,"AAAAAAGb+vc=")</f>
        <v>#VALUE!</v>
      </c>
      <c r="IO25" t="e">
        <f>AND(class!B167,"AAAAAAGb+vg=")</f>
        <v>#VALUE!</v>
      </c>
      <c r="IP25" t="e">
        <f>AND(class!C167,"AAAAAAGb+vk=")</f>
        <v>#VALUE!</v>
      </c>
      <c r="IQ25" t="e">
        <f>AND(class!D167,"AAAAAAGb+vo=")</f>
        <v>#VALUE!</v>
      </c>
      <c r="IR25" t="e">
        <f>AND(class!E167,"AAAAAAGb+vs=")</f>
        <v>#VALUE!</v>
      </c>
      <c r="IS25" t="e">
        <f>AND(class!F167,"AAAAAAGb+vw=")</f>
        <v>#VALUE!</v>
      </c>
      <c r="IT25" t="e">
        <f>AND(class!G167,"AAAAAAGb+v0=")</f>
        <v>#VALUE!</v>
      </c>
      <c r="IU25" t="e">
        <f>AND(class!H167,"AAAAAAGb+v4=")</f>
        <v>#VALUE!</v>
      </c>
      <c r="IV25" t="e">
        <f>AND(class!I167,"AAAAAAGb+v8=")</f>
        <v>#VALUE!</v>
      </c>
    </row>
    <row r="26" spans="1:256" x14ac:dyDescent="0.2">
      <c r="A26" t="e">
        <f>AND(class!J167,"AAAAAG5+iAA=")</f>
        <v>#VALUE!</v>
      </c>
      <c r="B26" t="e">
        <f>AND(class!K167,"AAAAAG5+iAE=")</f>
        <v>#VALUE!</v>
      </c>
      <c r="C26" t="e">
        <f>AND(class!L167,"AAAAAG5+iAI=")</f>
        <v>#VALUE!</v>
      </c>
      <c r="D26" t="e">
        <f>AND(class!M167,"AAAAAG5+iAM=")</f>
        <v>#VALUE!</v>
      </c>
      <c r="E26" t="e">
        <f>AND(class!N167,"AAAAAG5+iAQ=")</f>
        <v>#VALUE!</v>
      </c>
      <c r="F26" t="e">
        <f>AND(class!O167,"AAAAAG5+iAU=")</f>
        <v>#VALUE!</v>
      </c>
      <c r="G26" t="e">
        <f>AND(class!P167,"AAAAAG5+iAY=")</f>
        <v>#VALUE!</v>
      </c>
      <c r="H26" t="e">
        <f>AND(class!Q167,"AAAAAG5+iAc=")</f>
        <v>#VALUE!</v>
      </c>
      <c r="I26" t="e">
        <f>AND(class!R167,"AAAAAG5+iAg=")</f>
        <v>#VALUE!</v>
      </c>
      <c r="J26" t="e">
        <f>AND(class!S167,"AAAAAG5+iAk=")</f>
        <v>#VALUE!</v>
      </c>
      <c r="K26" t="e">
        <f>AND(class!T167,"AAAAAG5+iAo=")</f>
        <v>#VALUE!</v>
      </c>
      <c r="L26" t="e">
        <f>AND(class!U167,"AAAAAG5+iAs=")</f>
        <v>#VALUE!</v>
      </c>
      <c r="M26" t="e">
        <f>AND(class!V167,"AAAAAG5+iAw=")</f>
        <v>#VALUE!</v>
      </c>
      <c r="N26" t="e">
        <f>AND(class!W167,"AAAAAG5+iA0=")</f>
        <v>#VALUE!</v>
      </c>
      <c r="O26" t="e">
        <f>AND(class!X167,"AAAAAG5+iA4=")</f>
        <v>#VALUE!</v>
      </c>
      <c r="P26" t="e">
        <f>AND(class!Y167,"AAAAAG5+iA8=")</f>
        <v>#VALUE!</v>
      </c>
      <c r="Q26" t="e">
        <f>AND(class!Z167,"AAAAAG5+iBA=")</f>
        <v>#VALUE!</v>
      </c>
      <c r="R26" t="e">
        <f>AND(class!AA167,"AAAAAG5+iBE=")</f>
        <v>#VALUE!</v>
      </c>
      <c r="S26" t="e">
        <f>AND(class!AB167,"AAAAAG5+iBI=")</f>
        <v>#VALUE!</v>
      </c>
      <c r="T26" t="e">
        <f>AND(class!AC167,"AAAAAG5+iBM=")</f>
        <v>#VALUE!</v>
      </c>
      <c r="U26">
        <f>IF(class!168:168,"AAAAAG5+iBQ=",0)</f>
        <v>0</v>
      </c>
      <c r="V26" t="e">
        <f>AND(class!A168,"AAAAAG5+iBU=")</f>
        <v>#VALUE!</v>
      </c>
      <c r="W26" t="e">
        <f>AND(class!B168,"AAAAAG5+iBY=")</f>
        <v>#VALUE!</v>
      </c>
      <c r="X26" t="e">
        <f>AND(class!C168,"AAAAAG5+iBc=")</f>
        <v>#VALUE!</v>
      </c>
      <c r="Y26" t="e">
        <f>AND(class!D168,"AAAAAG5+iBg=")</f>
        <v>#VALUE!</v>
      </c>
      <c r="Z26" t="e">
        <f>AND(class!E168,"AAAAAG5+iBk=")</f>
        <v>#VALUE!</v>
      </c>
      <c r="AA26" t="e">
        <f>AND(class!F168,"AAAAAG5+iBo=")</f>
        <v>#VALUE!</v>
      </c>
      <c r="AB26" t="e">
        <f>AND(class!G168,"AAAAAG5+iBs=")</f>
        <v>#VALUE!</v>
      </c>
      <c r="AC26" t="e">
        <f>AND(class!H168,"AAAAAG5+iBw=")</f>
        <v>#VALUE!</v>
      </c>
      <c r="AD26" t="e">
        <f>AND(class!I168,"AAAAAG5+iB0=")</f>
        <v>#VALUE!</v>
      </c>
      <c r="AE26" t="e">
        <f>AND(class!J168,"AAAAAG5+iB4=")</f>
        <v>#VALUE!</v>
      </c>
      <c r="AF26" t="e">
        <f>AND(class!K168,"AAAAAG5+iB8=")</f>
        <v>#VALUE!</v>
      </c>
      <c r="AG26" t="e">
        <f>AND(class!L168,"AAAAAG5+iCA=")</f>
        <v>#VALUE!</v>
      </c>
      <c r="AH26" t="e">
        <f>AND(class!M168,"AAAAAG5+iCE=")</f>
        <v>#VALUE!</v>
      </c>
      <c r="AI26" t="e">
        <f>AND(class!N168,"AAAAAG5+iCI=")</f>
        <v>#VALUE!</v>
      </c>
      <c r="AJ26" t="e">
        <f>AND(class!O168,"AAAAAG5+iCM=")</f>
        <v>#VALUE!</v>
      </c>
      <c r="AK26" t="e">
        <f>AND(class!P168,"AAAAAG5+iCQ=")</f>
        <v>#VALUE!</v>
      </c>
      <c r="AL26" t="e">
        <f>AND(class!Q168,"AAAAAG5+iCU=")</f>
        <v>#VALUE!</v>
      </c>
      <c r="AM26" t="e">
        <f>AND(class!R168,"AAAAAG5+iCY=")</f>
        <v>#VALUE!</v>
      </c>
      <c r="AN26" t="e">
        <f>AND(class!S168,"AAAAAG5+iCc=")</f>
        <v>#VALUE!</v>
      </c>
      <c r="AO26" t="e">
        <f>AND(class!T168,"AAAAAG5+iCg=")</f>
        <v>#VALUE!</v>
      </c>
      <c r="AP26" t="e">
        <f>AND(class!U168,"AAAAAG5+iCk=")</f>
        <v>#VALUE!</v>
      </c>
      <c r="AQ26" t="e">
        <f>AND(class!V168,"AAAAAG5+iCo=")</f>
        <v>#VALUE!</v>
      </c>
      <c r="AR26" t="e">
        <f>AND(class!W168,"AAAAAG5+iCs=")</f>
        <v>#VALUE!</v>
      </c>
      <c r="AS26" t="e">
        <f>AND(class!X168,"AAAAAG5+iCw=")</f>
        <v>#VALUE!</v>
      </c>
      <c r="AT26" t="e">
        <f>AND(class!Y168,"AAAAAG5+iC0=")</f>
        <v>#VALUE!</v>
      </c>
      <c r="AU26" t="e">
        <f>AND(class!Z168,"AAAAAG5+iC4=")</f>
        <v>#VALUE!</v>
      </c>
      <c r="AV26" t="e">
        <f>AND(class!AA168,"AAAAAG5+iC8=")</f>
        <v>#VALUE!</v>
      </c>
      <c r="AW26" t="e">
        <f>AND(class!AB168,"AAAAAG5+iDA=")</f>
        <v>#VALUE!</v>
      </c>
      <c r="AX26" t="e">
        <f>AND(class!AC168,"AAAAAG5+iDE=")</f>
        <v>#VALUE!</v>
      </c>
      <c r="AY26">
        <f>IF(class!169:169,"AAAAAG5+iDI=",0)</f>
        <v>0</v>
      </c>
      <c r="AZ26" t="e">
        <f>AND(class!A169,"AAAAAG5+iDM=")</f>
        <v>#VALUE!</v>
      </c>
      <c r="BA26" t="e">
        <f>AND(class!B169,"AAAAAG5+iDQ=")</f>
        <v>#VALUE!</v>
      </c>
      <c r="BB26" t="e">
        <f>AND(class!C169,"AAAAAG5+iDU=")</f>
        <v>#VALUE!</v>
      </c>
      <c r="BC26" t="e">
        <f>AND(class!D169,"AAAAAG5+iDY=")</f>
        <v>#VALUE!</v>
      </c>
      <c r="BD26" t="e">
        <f>AND(class!E169,"AAAAAG5+iDc=")</f>
        <v>#VALUE!</v>
      </c>
      <c r="BE26" t="e">
        <f>AND(class!F169,"AAAAAG5+iDg=")</f>
        <v>#VALUE!</v>
      </c>
      <c r="BF26" t="e">
        <f>AND(class!G169,"AAAAAG5+iDk=")</f>
        <v>#VALUE!</v>
      </c>
      <c r="BG26" t="e">
        <f>AND(class!H169,"AAAAAG5+iDo=")</f>
        <v>#VALUE!</v>
      </c>
      <c r="BH26" t="e">
        <f>AND(class!I169,"AAAAAG5+iDs=")</f>
        <v>#VALUE!</v>
      </c>
      <c r="BI26" t="e">
        <f>AND(class!J169,"AAAAAG5+iDw=")</f>
        <v>#VALUE!</v>
      </c>
      <c r="BJ26" t="e">
        <f>AND(class!K169,"AAAAAG5+iD0=")</f>
        <v>#VALUE!</v>
      </c>
      <c r="BK26" t="e">
        <f>AND(class!L169,"AAAAAG5+iD4=")</f>
        <v>#VALUE!</v>
      </c>
      <c r="BL26" t="e">
        <f>AND(class!M169,"AAAAAG5+iD8=")</f>
        <v>#VALUE!</v>
      </c>
      <c r="BM26" t="e">
        <f>AND(class!N169,"AAAAAG5+iEA=")</f>
        <v>#VALUE!</v>
      </c>
      <c r="BN26" t="e">
        <f>AND(class!O169,"AAAAAG5+iEE=")</f>
        <v>#VALUE!</v>
      </c>
      <c r="BO26" t="e">
        <f>AND(class!P169,"AAAAAG5+iEI=")</f>
        <v>#VALUE!</v>
      </c>
      <c r="BP26" t="e">
        <f>AND(class!Q169,"AAAAAG5+iEM=")</f>
        <v>#VALUE!</v>
      </c>
      <c r="BQ26" t="e">
        <f>AND(class!R169,"AAAAAG5+iEQ=")</f>
        <v>#VALUE!</v>
      </c>
      <c r="BR26" t="e">
        <f>AND(class!S169,"AAAAAG5+iEU=")</f>
        <v>#VALUE!</v>
      </c>
      <c r="BS26" t="e">
        <f>AND(class!T169,"AAAAAG5+iEY=")</f>
        <v>#VALUE!</v>
      </c>
      <c r="BT26" t="e">
        <f>AND(class!U169,"AAAAAG5+iEc=")</f>
        <v>#VALUE!</v>
      </c>
      <c r="BU26" t="e">
        <f>AND(class!V169,"AAAAAG5+iEg=")</f>
        <v>#VALUE!</v>
      </c>
      <c r="BV26" t="e">
        <f>AND(class!W169,"AAAAAG5+iEk=")</f>
        <v>#VALUE!</v>
      </c>
      <c r="BW26" t="e">
        <f>AND(class!X169,"AAAAAG5+iEo=")</f>
        <v>#VALUE!</v>
      </c>
      <c r="BX26" t="e">
        <f>AND(class!Y169,"AAAAAG5+iEs=")</f>
        <v>#VALUE!</v>
      </c>
      <c r="BY26" t="e">
        <f>AND(class!Z169,"AAAAAG5+iEw=")</f>
        <v>#VALUE!</v>
      </c>
      <c r="BZ26" t="e">
        <f>AND(class!AA169,"AAAAAG5+iE0=")</f>
        <v>#VALUE!</v>
      </c>
      <c r="CA26" t="e">
        <f>AND(class!AB169,"AAAAAG5+iE4=")</f>
        <v>#VALUE!</v>
      </c>
      <c r="CB26" t="e">
        <f>AND(class!AC169,"AAAAAG5+iE8=")</f>
        <v>#VALUE!</v>
      </c>
      <c r="CC26">
        <f>IF(class!170:170,"AAAAAG5+iFA=",0)</f>
        <v>0</v>
      </c>
      <c r="CD26" t="e">
        <f>AND(class!A170,"AAAAAG5+iFE=")</f>
        <v>#VALUE!</v>
      </c>
      <c r="CE26" t="e">
        <f>AND(class!B170,"AAAAAG5+iFI=")</f>
        <v>#VALUE!</v>
      </c>
      <c r="CF26" t="e">
        <f>AND(class!C170,"AAAAAG5+iFM=")</f>
        <v>#VALUE!</v>
      </c>
      <c r="CG26" t="e">
        <f>AND(class!D170,"AAAAAG5+iFQ=")</f>
        <v>#VALUE!</v>
      </c>
      <c r="CH26" t="e">
        <f>AND(class!E170,"AAAAAG5+iFU=")</f>
        <v>#VALUE!</v>
      </c>
      <c r="CI26" t="e">
        <f>AND(class!F170,"AAAAAG5+iFY=")</f>
        <v>#VALUE!</v>
      </c>
      <c r="CJ26" t="e">
        <f>AND(class!G170,"AAAAAG5+iFc=")</f>
        <v>#VALUE!</v>
      </c>
      <c r="CK26" t="e">
        <f>AND(class!H170,"AAAAAG5+iFg=")</f>
        <v>#VALUE!</v>
      </c>
      <c r="CL26" t="e">
        <f>AND(class!I170,"AAAAAG5+iFk=")</f>
        <v>#VALUE!</v>
      </c>
      <c r="CM26" t="e">
        <f>AND(class!J170,"AAAAAG5+iFo=")</f>
        <v>#VALUE!</v>
      </c>
      <c r="CN26" t="e">
        <f>AND(class!K170,"AAAAAG5+iFs=")</f>
        <v>#VALUE!</v>
      </c>
      <c r="CO26" t="e">
        <f>AND(class!L170,"AAAAAG5+iFw=")</f>
        <v>#VALUE!</v>
      </c>
      <c r="CP26" t="e">
        <f>AND(class!M170,"AAAAAG5+iF0=")</f>
        <v>#VALUE!</v>
      </c>
      <c r="CQ26" t="e">
        <f>AND(class!N170,"AAAAAG5+iF4=")</f>
        <v>#VALUE!</v>
      </c>
      <c r="CR26" t="e">
        <f>AND(class!O170,"AAAAAG5+iF8=")</f>
        <v>#VALUE!</v>
      </c>
      <c r="CS26" t="e">
        <f>AND(class!P170,"AAAAAG5+iGA=")</f>
        <v>#VALUE!</v>
      </c>
      <c r="CT26" t="e">
        <f>AND(class!Q170,"AAAAAG5+iGE=")</f>
        <v>#VALUE!</v>
      </c>
      <c r="CU26" t="e">
        <f>AND(class!R170,"AAAAAG5+iGI=")</f>
        <v>#VALUE!</v>
      </c>
      <c r="CV26" t="e">
        <f>AND(class!S170,"AAAAAG5+iGM=")</f>
        <v>#VALUE!</v>
      </c>
      <c r="CW26" t="e">
        <f>AND(class!T170,"AAAAAG5+iGQ=")</f>
        <v>#VALUE!</v>
      </c>
      <c r="CX26" t="e">
        <f>AND(class!U170,"AAAAAG5+iGU=")</f>
        <v>#VALUE!</v>
      </c>
      <c r="CY26" t="e">
        <f>AND(class!V170,"AAAAAG5+iGY=")</f>
        <v>#VALUE!</v>
      </c>
      <c r="CZ26" t="e">
        <f>AND(class!W170,"AAAAAG5+iGc=")</f>
        <v>#VALUE!</v>
      </c>
      <c r="DA26" t="e">
        <f>AND(class!X170,"AAAAAG5+iGg=")</f>
        <v>#VALUE!</v>
      </c>
      <c r="DB26" t="e">
        <f>AND(class!Y170,"AAAAAG5+iGk=")</f>
        <v>#VALUE!</v>
      </c>
      <c r="DC26" t="e">
        <f>AND(class!Z170,"AAAAAG5+iGo=")</f>
        <v>#VALUE!</v>
      </c>
      <c r="DD26" t="e">
        <f>AND(class!AA170,"AAAAAG5+iGs=")</f>
        <v>#VALUE!</v>
      </c>
      <c r="DE26" t="e">
        <f>AND(class!AB170,"AAAAAG5+iGw=")</f>
        <v>#VALUE!</v>
      </c>
      <c r="DF26" t="e">
        <f>AND(class!AC170,"AAAAAG5+iG0=")</f>
        <v>#VALUE!</v>
      </c>
      <c r="DG26">
        <f>IF(class!171:171,"AAAAAG5+iG4=",0)</f>
        <v>0</v>
      </c>
      <c r="DH26" t="e">
        <f>AND(class!A171,"AAAAAG5+iG8=")</f>
        <v>#VALUE!</v>
      </c>
      <c r="DI26" t="e">
        <f>AND(class!B171,"AAAAAG5+iHA=")</f>
        <v>#VALUE!</v>
      </c>
      <c r="DJ26" t="e">
        <f>AND(class!C171,"AAAAAG5+iHE=")</f>
        <v>#VALUE!</v>
      </c>
      <c r="DK26" t="e">
        <f>AND(class!D171,"AAAAAG5+iHI=")</f>
        <v>#VALUE!</v>
      </c>
      <c r="DL26" t="e">
        <f>AND(class!E171,"AAAAAG5+iHM=")</f>
        <v>#VALUE!</v>
      </c>
      <c r="DM26" t="e">
        <f>AND(class!F171,"AAAAAG5+iHQ=")</f>
        <v>#VALUE!</v>
      </c>
      <c r="DN26" t="e">
        <f>AND(class!G171,"AAAAAG5+iHU=")</f>
        <v>#VALUE!</v>
      </c>
      <c r="DO26" t="e">
        <f>AND(class!H171,"AAAAAG5+iHY=")</f>
        <v>#VALUE!</v>
      </c>
      <c r="DP26" t="e">
        <f>AND(class!I171,"AAAAAG5+iHc=")</f>
        <v>#VALUE!</v>
      </c>
      <c r="DQ26" t="e">
        <f>AND(class!J171,"AAAAAG5+iHg=")</f>
        <v>#VALUE!</v>
      </c>
      <c r="DR26" t="e">
        <f>AND(class!K171,"AAAAAG5+iHk=")</f>
        <v>#VALUE!</v>
      </c>
      <c r="DS26" t="e">
        <f>AND(class!L171,"AAAAAG5+iHo=")</f>
        <v>#VALUE!</v>
      </c>
      <c r="DT26" t="e">
        <f>AND(class!M171,"AAAAAG5+iHs=")</f>
        <v>#VALUE!</v>
      </c>
      <c r="DU26" t="e">
        <f>AND(class!N171,"AAAAAG5+iHw=")</f>
        <v>#VALUE!</v>
      </c>
      <c r="DV26" t="e">
        <f>AND(class!O171,"AAAAAG5+iH0=")</f>
        <v>#VALUE!</v>
      </c>
      <c r="DW26" t="e">
        <f>AND(class!P171,"AAAAAG5+iH4=")</f>
        <v>#VALUE!</v>
      </c>
      <c r="DX26" t="e">
        <f>AND(class!Q171,"AAAAAG5+iH8=")</f>
        <v>#VALUE!</v>
      </c>
      <c r="DY26" t="e">
        <f>AND(class!R171,"AAAAAG5+iIA=")</f>
        <v>#VALUE!</v>
      </c>
      <c r="DZ26" t="e">
        <f>AND(class!S171,"AAAAAG5+iIE=")</f>
        <v>#VALUE!</v>
      </c>
      <c r="EA26" t="e">
        <f>AND(class!T171,"AAAAAG5+iII=")</f>
        <v>#VALUE!</v>
      </c>
      <c r="EB26" t="e">
        <f>AND(class!U171,"AAAAAG5+iIM=")</f>
        <v>#VALUE!</v>
      </c>
      <c r="EC26" t="e">
        <f>AND(class!V171,"AAAAAG5+iIQ=")</f>
        <v>#VALUE!</v>
      </c>
      <c r="ED26" t="e">
        <f>AND(class!W171,"AAAAAG5+iIU=")</f>
        <v>#VALUE!</v>
      </c>
      <c r="EE26" t="e">
        <f>AND(class!X171,"AAAAAG5+iIY=")</f>
        <v>#VALUE!</v>
      </c>
      <c r="EF26" t="e">
        <f>AND(class!Y171,"AAAAAG5+iIc=")</f>
        <v>#VALUE!</v>
      </c>
      <c r="EG26" t="e">
        <f>AND(class!Z171,"AAAAAG5+iIg=")</f>
        <v>#VALUE!</v>
      </c>
      <c r="EH26" t="e">
        <f>AND(class!AA171,"AAAAAG5+iIk=")</f>
        <v>#VALUE!</v>
      </c>
      <c r="EI26" t="e">
        <f>AND(class!AB171,"AAAAAG5+iIo=")</f>
        <v>#VALUE!</v>
      </c>
      <c r="EJ26" t="e">
        <f>AND(class!AC171,"AAAAAG5+iIs=")</f>
        <v>#VALUE!</v>
      </c>
      <c r="EK26">
        <f>IF(class!172:172,"AAAAAG5+iIw=",0)</f>
        <v>0</v>
      </c>
      <c r="EL26" t="e">
        <f>AND(class!A172,"AAAAAG5+iI0=")</f>
        <v>#VALUE!</v>
      </c>
      <c r="EM26" t="e">
        <f>AND(class!B172,"AAAAAG5+iI4=")</f>
        <v>#VALUE!</v>
      </c>
      <c r="EN26" t="e">
        <f>AND(class!C172,"AAAAAG5+iI8=")</f>
        <v>#VALUE!</v>
      </c>
      <c r="EO26" t="e">
        <f>AND(class!D172,"AAAAAG5+iJA=")</f>
        <v>#VALUE!</v>
      </c>
      <c r="EP26" t="e">
        <f>AND(class!E172,"AAAAAG5+iJE=")</f>
        <v>#VALUE!</v>
      </c>
      <c r="EQ26" t="e">
        <f>AND(class!F172,"AAAAAG5+iJI=")</f>
        <v>#VALUE!</v>
      </c>
      <c r="ER26" t="e">
        <f>AND(class!G172,"AAAAAG5+iJM=")</f>
        <v>#VALUE!</v>
      </c>
      <c r="ES26" t="e">
        <f>AND(class!H172,"AAAAAG5+iJQ=")</f>
        <v>#VALUE!</v>
      </c>
      <c r="ET26" t="e">
        <f>AND(class!I172,"AAAAAG5+iJU=")</f>
        <v>#VALUE!</v>
      </c>
      <c r="EU26" t="e">
        <f>AND(class!J172,"AAAAAG5+iJY=")</f>
        <v>#VALUE!</v>
      </c>
      <c r="EV26" t="e">
        <f>AND(class!K172,"AAAAAG5+iJc=")</f>
        <v>#VALUE!</v>
      </c>
      <c r="EW26" t="e">
        <f>AND(class!L172,"AAAAAG5+iJg=")</f>
        <v>#VALUE!</v>
      </c>
      <c r="EX26" t="e">
        <f>AND(class!M172,"AAAAAG5+iJk=")</f>
        <v>#VALUE!</v>
      </c>
      <c r="EY26" t="e">
        <f>AND(class!N172,"AAAAAG5+iJo=")</f>
        <v>#VALUE!</v>
      </c>
      <c r="EZ26" t="e">
        <f>AND(class!O172,"AAAAAG5+iJs=")</f>
        <v>#VALUE!</v>
      </c>
      <c r="FA26" t="e">
        <f>AND(class!P172,"AAAAAG5+iJw=")</f>
        <v>#VALUE!</v>
      </c>
      <c r="FB26" t="e">
        <f>AND(class!Q172,"AAAAAG5+iJ0=")</f>
        <v>#VALUE!</v>
      </c>
      <c r="FC26" t="e">
        <f>AND(class!R172,"AAAAAG5+iJ4=")</f>
        <v>#VALUE!</v>
      </c>
      <c r="FD26" t="e">
        <f>AND(class!S172,"AAAAAG5+iJ8=")</f>
        <v>#VALUE!</v>
      </c>
      <c r="FE26" t="e">
        <f>AND(class!T172,"AAAAAG5+iKA=")</f>
        <v>#VALUE!</v>
      </c>
      <c r="FF26" t="e">
        <f>AND(class!U172,"AAAAAG5+iKE=")</f>
        <v>#VALUE!</v>
      </c>
      <c r="FG26" t="e">
        <f>AND(class!V172,"AAAAAG5+iKI=")</f>
        <v>#VALUE!</v>
      </c>
      <c r="FH26" t="e">
        <f>AND(class!W172,"AAAAAG5+iKM=")</f>
        <v>#VALUE!</v>
      </c>
      <c r="FI26" t="e">
        <f>AND(class!X172,"AAAAAG5+iKQ=")</f>
        <v>#VALUE!</v>
      </c>
      <c r="FJ26" t="e">
        <f>AND(class!Y172,"AAAAAG5+iKU=")</f>
        <v>#VALUE!</v>
      </c>
      <c r="FK26" t="e">
        <f>AND(class!Z172,"AAAAAG5+iKY=")</f>
        <v>#VALUE!</v>
      </c>
      <c r="FL26" t="e">
        <f>AND(class!AA172,"AAAAAG5+iKc=")</f>
        <v>#VALUE!</v>
      </c>
      <c r="FM26" t="e">
        <f>AND(class!AB172,"AAAAAG5+iKg=")</f>
        <v>#VALUE!</v>
      </c>
      <c r="FN26" t="e">
        <f>AND(class!AC172,"AAAAAG5+iKk=")</f>
        <v>#VALUE!</v>
      </c>
      <c r="FO26">
        <f>IF(class!173:173,"AAAAAG5+iKo=",0)</f>
        <v>0</v>
      </c>
      <c r="FP26" t="e">
        <f>AND(class!A173,"AAAAAG5+iKs=")</f>
        <v>#VALUE!</v>
      </c>
      <c r="FQ26" t="e">
        <f>AND(class!B173,"AAAAAG5+iKw=")</f>
        <v>#VALUE!</v>
      </c>
      <c r="FR26" t="e">
        <f>AND(class!C173,"AAAAAG5+iK0=")</f>
        <v>#VALUE!</v>
      </c>
      <c r="FS26" t="e">
        <f>AND(class!D173,"AAAAAG5+iK4=")</f>
        <v>#VALUE!</v>
      </c>
      <c r="FT26" t="e">
        <f>AND(class!E173,"AAAAAG5+iK8=")</f>
        <v>#VALUE!</v>
      </c>
      <c r="FU26" t="e">
        <f>AND(class!F173,"AAAAAG5+iLA=")</f>
        <v>#VALUE!</v>
      </c>
      <c r="FV26" t="e">
        <f>AND(class!G173,"AAAAAG5+iLE=")</f>
        <v>#VALUE!</v>
      </c>
      <c r="FW26" t="e">
        <f>AND(class!H173,"AAAAAG5+iLI=")</f>
        <v>#VALUE!</v>
      </c>
      <c r="FX26" t="e">
        <f>AND(class!I173,"AAAAAG5+iLM=")</f>
        <v>#VALUE!</v>
      </c>
      <c r="FY26" t="e">
        <f>AND(class!J173,"AAAAAG5+iLQ=")</f>
        <v>#VALUE!</v>
      </c>
      <c r="FZ26" t="e">
        <f>AND(class!K173,"AAAAAG5+iLU=")</f>
        <v>#VALUE!</v>
      </c>
      <c r="GA26" t="e">
        <f>AND(class!L173,"AAAAAG5+iLY=")</f>
        <v>#VALUE!</v>
      </c>
      <c r="GB26" t="e">
        <f>AND(class!M173,"AAAAAG5+iLc=")</f>
        <v>#VALUE!</v>
      </c>
      <c r="GC26" t="e">
        <f>AND(class!N173,"AAAAAG5+iLg=")</f>
        <v>#VALUE!</v>
      </c>
      <c r="GD26" t="e">
        <f>AND(class!O173,"AAAAAG5+iLk=")</f>
        <v>#VALUE!</v>
      </c>
      <c r="GE26" t="e">
        <f>AND(class!P173,"AAAAAG5+iLo=")</f>
        <v>#VALUE!</v>
      </c>
      <c r="GF26" t="e">
        <f>AND(class!Q173,"AAAAAG5+iLs=")</f>
        <v>#VALUE!</v>
      </c>
      <c r="GG26" t="e">
        <f>AND(class!R173,"AAAAAG5+iLw=")</f>
        <v>#VALUE!</v>
      </c>
      <c r="GH26" t="e">
        <f>AND(class!S173,"AAAAAG5+iL0=")</f>
        <v>#VALUE!</v>
      </c>
      <c r="GI26" t="e">
        <f>AND(class!T173,"AAAAAG5+iL4=")</f>
        <v>#VALUE!</v>
      </c>
      <c r="GJ26" t="e">
        <f>AND(class!U173,"AAAAAG5+iL8=")</f>
        <v>#VALUE!</v>
      </c>
      <c r="GK26" t="e">
        <f>AND(class!V173,"AAAAAG5+iMA=")</f>
        <v>#VALUE!</v>
      </c>
      <c r="GL26" t="e">
        <f>AND(class!W173,"AAAAAG5+iME=")</f>
        <v>#VALUE!</v>
      </c>
      <c r="GM26" t="e">
        <f>AND(class!X173,"AAAAAG5+iMI=")</f>
        <v>#VALUE!</v>
      </c>
      <c r="GN26" t="e">
        <f>AND(class!Y173,"AAAAAG5+iMM=")</f>
        <v>#VALUE!</v>
      </c>
      <c r="GO26" t="e">
        <f>AND(class!Z173,"AAAAAG5+iMQ=")</f>
        <v>#VALUE!</v>
      </c>
      <c r="GP26" t="e">
        <f>AND(class!AA173,"AAAAAG5+iMU=")</f>
        <v>#VALUE!</v>
      </c>
      <c r="GQ26" t="e">
        <f>AND(class!AB173,"AAAAAG5+iMY=")</f>
        <v>#VALUE!</v>
      </c>
      <c r="GR26" t="e">
        <f>AND(class!AC173,"AAAAAG5+iMc=")</f>
        <v>#VALUE!</v>
      </c>
      <c r="GS26">
        <f>IF(class!174:174,"AAAAAG5+iMg=",0)</f>
        <v>0</v>
      </c>
      <c r="GT26" t="e">
        <f>AND(class!A174,"AAAAAG5+iMk=")</f>
        <v>#VALUE!</v>
      </c>
      <c r="GU26" t="e">
        <f>AND(class!B174,"AAAAAG5+iMo=")</f>
        <v>#VALUE!</v>
      </c>
      <c r="GV26" t="e">
        <f>AND(class!C174,"AAAAAG5+iMs=")</f>
        <v>#VALUE!</v>
      </c>
      <c r="GW26" t="e">
        <f>AND(class!D174,"AAAAAG5+iMw=")</f>
        <v>#VALUE!</v>
      </c>
      <c r="GX26" t="e">
        <f>AND(class!E174,"AAAAAG5+iM0=")</f>
        <v>#VALUE!</v>
      </c>
      <c r="GY26" t="e">
        <f>AND(class!F174,"AAAAAG5+iM4=")</f>
        <v>#VALUE!</v>
      </c>
      <c r="GZ26" t="e">
        <f>AND(class!G174,"AAAAAG5+iM8=")</f>
        <v>#VALUE!</v>
      </c>
      <c r="HA26" t="e">
        <f>AND(class!H174,"AAAAAG5+iNA=")</f>
        <v>#VALUE!</v>
      </c>
      <c r="HB26" t="e">
        <f>AND(class!I174,"AAAAAG5+iNE=")</f>
        <v>#VALUE!</v>
      </c>
      <c r="HC26" t="e">
        <f>AND(class!J174,"AAAAAG5+iNI=")</f>
        <v>#VALUE!</v>
      </c>
      <c r="HD26" t="e">
        <f>AND(class!K174,"AAAAAG5+iNM=")</f>
        <v>#VALUE!</v>
      </c>
      <c r="HE26" t="e">
        <f>AND(class!L174,"AAAAAG5+iNQ=")</f>
        <v>#VALUE!</v>
      </c>
      <c r="HF26" t="e">
        <f>AND(class!M174,"AAAAAG5+iNU=")</f>
        <v>#VALUE!</v>
      </c>
      <c r="HG26" t="e">
        <f>AND(class!N174,"AAAAAG5+iNY=")</f>
        <v>#VALUE!</v>
      </c>
      <c r="HH26" t="e">
        <f>AND(class!O174,"AAAAAG5+iNc=")</f>
        <v>#VALUE!</v>
      </c>
      <c r="HI26" t="e">
        <f>AND(class!P174,"AAAAAG5+iNg=")</f>
        <v>#VALUE!</v>
      </c>
      <c r="HJ26" t="e">
        <f>AND(class!Q174,"AAAAAG5+iNk=")</f>
        <v>#VALUE!</v>
      </c>
      <c r="HK26" t="e">
        <f>AND(class!R174,"AAAAAG5+iNo=")</f>
        <v>#VALUE!</v>
      </c>
      <c r="HL26" t="e">
        <f>AND(class!S174,"AAAAAG5+iNs=")</f>
        <v>#VALUE!</v>
      </c>
      <c r="HM26" t="e">
        <f>AND(class!T174,"AAAAAG5+iNw=")</f>
        <v>#VALUE!</v>
      </c>
      <c r="HN26" t="e">
        <f>AND(class!U174,"AAAAAG5+iN0=")</f>
        <v>#VALUE!</v>
      </c>
      <c r="HO26" t="e">
        <f>AND(class!V174,"AAAAAG5+iN4=")</f>
        <v>#VALUE!</v>
      </c>
      <c r="HP26" t="e">
        <f>AND(class!W174,"AAAAAG5+iN8=")</f>
        <v>#VALUE!</v>
      </c>
      <c r="HQ26" t="e">
        <f>AND(class!X174,"AAAAAG5+iOA=")</f>
        <v>#VALUE!</v>
      </c>
      <c r="HR26" t="e">
        <f>AND(class!Y174,"AAAAAG5+iOE=")</f>
        <v>#VALUE!</v>
      </c>
      <c r="HS26" t="e">
        <f>AND(class!Z174,"AAAAAG5+iOI=")</f>
        <v>#VALUE!</v>
      </c>
      <c r="HT26" t="e">
        <f>AND(class!AA174,"AAAAAG5+iOM=")</f>
        <v>#VALUE!</v>
      </c>
      <c r="HU26" t="e">
        <f>AND(class!AB174,"AAAAAG5+iOQ=")</f>
        <v>#VALUE!</v>
      </c>
      <c r="HV26" t="e">
        <f>AND(class!AC174,"AAAAAG5+iOU=")</f>
        <v>#VALUE!</v>
      </c>
      <c r="HW26">
        <f>IF(class!175:175,"AAAAAG5+iOY=",0)</f>
        <v>0</v>
      </c>
      <c r="HX26" t="e">
        <f>AND(class!A175,"AAAAAG5+iOc=")</f>
        <v>#VALUE!</v>
      </c>
      <c r="HY26" t="e">
        <f>AND(class!B175,"AAAAAG5+iOg=")</f>
        <v>#VALUE!</v>
      </c>
      <c r="HZ26" t="e">
        <f>AND(class!C175,"AAAAAG5+iOk=")</f>
        <v>#VALUE!</v>
      </c>
      <c r="IA26" t="e">
        <f>AND(class!D175,"AAAAAG5+iOo=")</f>
        <v>#VALUE!</v>
      </c>
      <c r="IB26" t="e">
        <f>AND(class!E175,"AAAAAG5+iOs=")</f>
        <v>#VALUE!</v>
      </c>
      <c r="IC26" t="e">
        <f>AND(class!F175,"AAAAAG5+iOw=")</f>
        <v>#VALUE!</v>
      </c>
      <c r="ID26" t="e">
        <f>AND(class!G175,"AAAAAG5+iO0=")</f>
        <v>#VALUE!</v>
      </c>
      <c r="IE26" t="e">
        <f>AND(class!H175,"AAAAAG5+iO4=")</f>
        <v>#VALUE!</v>
      </c>
      <c r="IF26" t="e">
        <f>AND(class!I175,"AAAAAG5+iO8=")</f>
        <v>#VALUE!</v>
      </c>
      <c r="IG26" t="e">
        <f>AND(class!J175,"AAAAAG5+iPA=")</f>
        <v>#VALUE!</v>
      </c>
      <c r="IH26" t="e">
        <f>AND(class!K175,"AAAAAG5+iPE=")</f>
        <v>#VALUE!</v>
      </c>
      <c r="II26" t="e">
        <f>AND(class!L175,"AAAAAG5+iPI=")</f>
        <v>#VALUE!</v>
      </c>
      <c r="IJ26" t="e">
        <f>AND(class!M175,"AAAAAG5+iPM=")</f>
        <v>#VALUE!</v>
      </c>
      <c r="IK26" t="e">
        <f>AND(class!N175,"AAAAAG5+iPQ=")</f>
        <v>#VALUE!</v>
      </c>
      <c r="IL26" t="e">
        <f>AND(class!O175,"AAAAAG5+iPU=")</f>
        <v>#VALUE!</v>
      </c>
      <c r="IM26" t="e">
        <f>AND(class!P175,"AAAAAG5+iPY=")</f>
        <v>#VALUE!</v>
      </c>
      <c r="IN26" t="e">
        <f>AND(class!Q175,"AAAAAG5+iPc=")</f>
        <v>#VALUE!</v>
      </c>
      <c r="IO26" t="e">
        <f>AND(class!R175,"AAAAAG5+iPg=")</f>
        <v>#VALUE!</v>
      </c>
      <c r="IP26" t="e">
        <f>AND(class!S175,"AAAAAG5+iPk=")</f>
        <v>#VALUE!</v>
      </c>
      <c r="IQ26" t="e">
        <f>AND(class!T175,"AAAAAG5+iPo=")</f>
        <v>#VALUE!</v>
      </c>
      <c r="IR26" t="e">
        <f>AND(class!U175,"AAAAAG5+iPs=")</f>
        <v>#VALUE!</v>
      </c>
      <c r="IS26" t="e">
        <f>AND(class!V175,"AAAAAG5+iPw=")</f>
        <v>#VALUE!</v>
      </c>
      <c r="IT26" t="e">
        <f>AND(class!W175,"AAAAAG5+iP0=")</f>
        <v>#VALUE!</v>
      </c>
      <c r="IU26" t="e">
        <f>AND(class!X175,"AAAAAG5+iP4=")</f>
        <v>#VALUE!</v>
      </c>
      <c r="IV26" t="e">
        <f>AND(class!Y175,"AAAAAG5+iP8=")</f>
        <v>#VALUE!</v>
      </c>
    </row>
    <row r="27" spans="1:256" x14ac:dyDescent="0.2">
      <c r="A27" t="e">
        <f>AND(class!Z175,"AAAAADHX/gA=")</f>
        <v>#VALUE!</v>
      </c>
      <c r="B27" t="e">
        <f>AND(class!AA175,"AAAAADHX/gE=")</f>
        <v>#VALUE!</v>
      </c>
      <c r="C27" t="e">
        <f>AND(class!AB175,"AAAAADHX/gI=")</f>
        <v>#VALUE!</v>
      </c>
      <c r="D27" t="e">
        <f>AND(class!AC175,"AAAAADHX/gM=")</f>
        <v>#VALUE!</v>
      </c>
      <c r="E27">
        <f>IF(class!176:176,"AAAAADHX/gQ=",0)</f>
        <v>0</v>
      </c>
      <c r="F27" t="e">
        <f>AND(class!A176,"AAAAADHX/gU=")</f>
        <v>#VALUE!</v>
      </c>
      <c r="G27" t="e">
        <f>AND(class!B176,"AAAAADHX/gY=")</f>
        <v>#VALUE!</v>
      </c>
      <c r="H27" t="e">
        <f>AND(class!C176,"AAAAADHX/gc=")</f>
        <v>#VALUE!</v>
      </c>
      <c r="I27" t="e">
        <f>AND(class!D176,"AAAAADHX/gg=")</f>
        <v>#VALUE!</v>
      </c>
      <c r="J27" t="e">
        <f>AND(class!E176,"AAAAADHX/gk=")</f>
        <v>#VALUE!</v>
      </c>
      <c r="K27" t="e">
        <f>AND(class!F176,"AAAAADHX/go=")</f>
        <v>#VALUE!</v>
      </c>
      <c r="L27" t="e">
        <f>AND(class!G176,"AAAAADHX/gs=")</f>
        <v>#VALUE!</v>
      </c>
      <c r="M27" t="e">
        <f>AND(class!H176,"AAAAADHX/gw=")</f>
        <v>#VALUE!</v>
      </c>
      <c r="N27" t="e">
        <f>AND(class!I176,"AAAAADHX/g0=")</f>
        <v>#VALUE!</v>
      </c>
      <c r="O27" t="e">
        <f>AND(class!J176,"AAAAADHX/g4=")</f>
        <v>#VALUE!</v>
      </c>
      <c r="P27" t="e">
        <f>AND(class!K176,"AAAAADHX/g8=")</f>
        <v>#VALUE!</v>
      </c>
      <c r="Q27" t="e">
        <f>AND(class!L176,"AAAAADHX/hA=")</f>
        <v>#VALUE!</v>
      </c>
      <c r="R27" t="e">
        <f>AND(class!M176,"AAAAADHX/hE=")</f>
        <v>#VALUE!</v>
      </c>
      <c r="S27" t="e">
        <f>AND(class!N176,"AAAAADHX/hI=")</f>
        <v>#VALUE!</v>
      </c>
      <c r="T27" t="e">
        <f>AND(class!O176,"AAAAADHX/hM=")</f>
        <v>#VALUE!</v>
      </c>
      <c r="U27" t="e">
        <f>AND(class!P176,"AAAAADHX/hQ=")</f>
        <v>#VALUE!</v>
      </c>
      <c r="V27" t="e">
        <f>AND(class!Q176,"AAAAADHX/hU=")</f>
        <v>#VALUE!</v>
      </c>
      <c r="W27" t="e">
        <f>AND(class!R176,"AAAAADHX/hY=")</f>
        <v>#VALUE!</v>
      </c>
      <c r="X27" t="e">
        <f>AND(class!S176,"AAAAADHX/hc=")</f>
        <v>#VALUE!</v>
      </c>
      <c r="Y27" t="e">
        <f>AND(class!T176,"AAAAADHX/hg=")</f>
        <v>#VALUE!</v>
      </c>
      <c r="Z27" t="e">
        <f>AND(class!U176,"AAAAADHX/hk=")</f>
        <v>#VALUE!</v>
      </c>
      <c r="AA27" t="e">
        <f>AND(class!V176,"AAAAADHX/ho=")</f>
        <v>#VALUE!</v>
      </c>
      <c r="AB27" t="e">
        <f>AND(class!W176,"AAAAADHX/hs=")</f>
        <v>#VALUE!</v>
      </c>
      <c r="AC27" t="e">
        <f>AND(class!X176,"AAAAADHX/hw=")</f>
        <v>#VALUE!</v>
      </c>
      <c r="AD27" t="e">
        <f>AND(class!Y176,"AAAAADHX/h0=")</f>
        <v>#VALUE!</v>
      </c>
      <c r="AE27" t="e">
        <f>AND(class!Z176,"AAAAADHX/h4=")</f>
        <v>#VALUE!</v>
      </c>
      <c r="AF27" t="e">
        <f>AND(class!AA176,"AAAAADHX/h8=")</f>
        <v>#VALUE!</v>
      </c>
      <c r="AG27" t="e">
        <f>AND(class!AB176,"AAAAADHX/iA=")</f>
        <v>#VALUE!</v>
      </c>
      <c r="AH27" t="e">
        <f>AND(class!AC176,"AAAAADHX/iE=")</f>
        <v>#VALUE!</v>
      </c>
      <c r="AI27">
        <f>IF(class!177:177,"AAAAADHX/iI=",0)</f>
        <v>0</v>
      </c>
      <c r="AJ27" t="e">
        <f>AND(class!A177,"AAAAADHX/iM=")</f>
        <v>#VALUE!</v>
      </c>
      <c r="AK27" t="e">
        <f>AND(class!B177,"AAAAADHX/iQ=")</f>
        <v>#VALUE!</v>
      </c>
      <c r="AL27" t="e">
        <f>AND(class!C177,"AAAAADHX/iU=")</f>
        <v>#VALUE!</v>
      </c>
      <c r="AM27" t="e">
        <f>AND(class!D177,"AAAAADHX/iY=")</f>
        <v>#VALUE!</v>
      </c>
      <c r="AN27" t="e">
        <f>AND(class!E177,"AAAAADHX/ic=")</f>
        <v>#VALUE!</v>
      </c>
      <c r="AO27" t="e">
        <f>AND(class!F177,"AAAAADHX/ig=")</f>
        <v>#VALUE!</v>
      </c>
      <c r="AP27" t="e">
        <f>AND(class!G177,"AAAAADHX/ik=")</f>
        <v>#VALUE!</v>
      </c>
      <c r="AQ27" t="e">
        <f>AND(class!H177,"AAAAADHX/io=")</f>
        <v>#VALUE!</v>
      </c>
      <c r="AR27" t="e">
        <f>AND(class!I177,"AAAAADHX/is=")</f>
        <v>#VALUE!</v>
      </c>
      <c r="AS27" t="e">
        <f>AND(class!J177,"AAAAADHX/iw=")</f>
        <v>#VALUE!</v>
      </c>
      <c r="AT27" t="e">
        <f>AND(class!K177,"AAAAADHX/i0=")</f>
        <v>#VALUE!</v>
      </c>
      <c r="AU27" t="e">
        <f>AND(class!L177,"AAAAADHX/i4=")</f>
        <v>#VALUE!</v>
      </c>
      <c r="AV27" t="e">
        <f>AND(class!M177,"AAAAADHX/i8=")</f>
        <v>#VALUE!</v>
      </c>
      <c r="AW27" t="e">
        <f>AND(class!N177,"AAAAADHX/jA=")</f>
        <v>#VALUE!</v>
      </c>
      <c r="AX27" t="e">
        <f>AND(class!O177,"AAAAADHX/jE=")</f>
        <v>#VALUE!</v>
      </c>
      <c r="AY27" t="e">
        <f>AND(class!P177,"AAAAADHX/jI=")</f>
        <v>#VALUE!</v>
      </c>
      <c r="AZ27" t="e">
        <f>AND(class!Q177,"AAAAADHX/jM=")</f>
        <v>#VALUE!</v>
      </c>
      <c r="BA27" t="e">
        <f>AND(class!R177,"AAAAADHX/jQ=")</f>
        <v>#VALUE!</v>
      </c>
      <c r="BB27" t="e">
        <f>AND(class!S177,"AAAAADHX/jU=")</f>
        <v>#VALUE!</v>
      </c>
      <c r="BC27" t="e">
        <f>AND(class!T177,"AAAAADHX/jY=")</f>
        <v>#VALUE!</v>
      </c>
      <c r="BD27" t="e">
        <f>AND(class!U177,"AAAAADHX/jc=")</f>
        <v>#VALUE!</v>
      </c>
      <c r="BE27" t="e">
        <f>AND(class!V177,"AAAAADHX/jg=")</f>
        <v>#VALUE!</v>
      </c>
      <c r="BF27" t="e">
        <f>AND(class!W177,"AAAAADHX/jk=")</f>
        <v>#VALUE!</v>
      </c>
      <c r="BG27" t="e">
        <f>AND(class!X177,"AAAAADHX/jo=")</f>
        <v>#VALUE!</v>
      </c>
      <c r="BH27" t="e">
        <f>AND(class!Y177,"AAAAADHX/js=")</f>
        <v>#VALUE!</v>
      </c>
      <c r="BI27" t="e">
        <f>AND(class!Z177,"AAAAADHX/jw=")</f>
        <v>#VALUE!</v>
      </c>
      <c r="BJ27" t="e">
        <f>AND(class!AA177,"AAAAADHX/j0=")</f>
        <v>#VALUE!</v>
      </c>
      <c r="BK27" t="e">
        <f>AND(class!AB177,"AAAAADHX/j4=")</f>
        <v>#VALUE!</v>
      </c>
      <c r="BL27" t="e">
        <f>AND(class!AC177,"AAAAADHX/j8=")</f>
        <v>#VALUE!</v>
      </c>
      <c r="BM27">
        <f>IF(class!178:178,"AAAAADHX/kA=",0)</f>
        <v>0</v>
      </c>
      <c r="BN27" t="e">
        <f>AND(class!A178,"AAAAADHX/kE=")</f>
        <v>#VALUE!</v>
      </c>
      <c r="BO27" t="e">
        <f>AND(class!B178,"AAAAADHX/kI=")</f>
        <v>#VALUE!</v>
      </c>
      <c r="BP27" t="e">
        <f>AND(class!C178,"AAAAADHX/kM=")</f>
        <v>#VALUE!</v>
      </c>
      <c r="BQ27" t="e">
        <f>AND(class!D178,"AAAAADHX/kQ=")</f>
        <v>#VALUE!</v>
      </c>
      <c r="BR27" t="e">
        <f>AND(class!E178,"AAAAADHX/kU=")</f>
        <v>#VALUE!</v>
      </c>
      <c r="BS27" t="e">
        <f>AND(class!F178,"AAAAADHX/kY=")</f>
        <v>#VALUE!</v>
      </c>
      <c r="BT27" t="e">
        <f>AND(class!G178,"AAAAADHX/kc=")</f>
        <v>#VALUE!</v>
      </c>
      <c r="BU27" t="e">
        <f>AND(class!H178,"AAAAADHX/kg=")</f>
        <v>#VALUE!</v>
      </c>
      <c r="BV27" t="e">
        <f>AND(class!I178,"AAAAADHX/kk=")</f>
        <v>#VALUE!</v>
      </c>
      <c r="BW27" t="e">
        <f>AND(class!J178,"AAAAADHX/ko=")</f>
        <v>#VALUE!</v>
      </c>
      <c r="BX27" t="e">
        <f>AND(class!K178,"AAAAADHX/ks=")</f>
        <v>#VALUE!</v>
      </c>
      <c r="BY27" t="e">
        <f>AND(class!L178,"AAAAADHX/kw=")</f>
        <v>#VALUE!</v>
      </c>
      <c r="BZ27" t="e">
        <f>AND(class!M178,"AAAAADHX/k0=")</f>
        <v>#VALUE!</v>
      </c>
      <c r="CA27" t="e">
        <f>AND(class!N178,"AAAAADHX/k4=")</f>
        <v>#VALUE!</v>
      </c>
      <c r="CB27" t="e">
        <f>AND(class!O178,"AAAAADHX/k8=")</f>
        <v>#VALUE!</v>
      </c>
      <c r="CC27" t="e">
        <f>AND(class!P178,"AAAAADHX/lA=")</f>
        <v>#VALUE!</v>
      </c>
      <c r="CD27" t="e">
        <f>AND(class!Q178,"AAAAADHX/lE=")</f>
        <v>#VALUE!</v>
      </c>
      <c r="CE27" t="e">
        <f>AND(class!R178,"AAAAADHX/lI=")</f>
        <v>#VALUE!</v>
      </c>
      <c r="CF27" t="e">
        <f>AND(class!S178,"AAAAADHX/lM=")</f>
        <v>#VALUE!</v>
      </c>
      <c r="CG27" t="e">
        <f>AND(class!T178,"AAAAADHX/lQ=")</f>
        <v>#VALUE!</v>
      </c>
      <c r="CH27" t="e">
        <f>AND(class!U178,"AAAAADHX/lU=")</f>
        <v>#VALUE!</v>
      </c>
      <c r="CI27" t="e">
        <f>AND(class!V178,"AAAAADHX/lY=")</f>
        <v>#VALUE!</v>
      </c>
      <c r="CJ27" t="e">
        <f>AND(class!W178,"AAAAADHX/lc=")</f>
        <v>#VALUE!</v>
      </c>
      <c r="CK27" t="e">
        <f>AND(class!X178,"AAAAADHX/lg=")</f>
        <v>#VALUE!</v>
      </c>
      <c r="CL27" t="e">
        <f>AND(class!Y178,"AAAAADHX/lk=")</f>
        <v>#VALUE!</v>
      </c>
      <c r="CM27" t="e">
        <f>AND(class!Z178,"AAAAADHX/lo=")</f>
        <v>#VALUE!</v>
      </c>
      <c r="CN27" t="e">
        <f>AND(class!AA178,"AAAAADHX/ls=")</f>
        <v>#VALUE!</v>
      </c>
      <c r="CO27" t="e">
        <f>AND(class!AB178,"AAAAADHX/lw=")</f>
        <v>#VALUE!</v>
      </c>
      <c r="CP27" t="e">
        <f>AND(class!AC178,"AAAAADHX/l0=")</f>
        <v>#VALUE!</v>
      </c>
      <c r="CQ27">
        <f>IF(class!179:179,"AAAAADHX/l4=",0)</f>
        <v>0</v>
      </c>
      <c r="CR27" t="e">
        <f>AND(class!A179,"AAAAADHX/l8=")</f>
        <v>#VALUE!</v>
      </c>
      <c r="CS27" t="e">
        <f>AND(class!B179,"AAAAADHX/mA=")</f>
        <v>#VALUE!</v>
      </c>
      <c r="CT27" t="e">
        <f>AND(class!C179,"AAAAADHX/mE=")</f>
        <v>#VALUE!</v>
      </c>
      <c r="CU27" t="e">
        <f>AND(class!D179,"AAAAADHX/mI=")</f>
        <v>#VALUE!</v>
      </c>
      <c r="CV27" t="e">
        <f>AND(class!E179,"AAAAADHX/mM=")</f>
        <v>#VALUE!</v>
      </c>
      <c r="CW27" t="e">
        <f>AND(class!F179,"AAAAADHX/mQ=")</f>
        <v>#VALUE!</v>
      </c>
      <c r="CX27" t="e">
        <f>AND(class!G179,"AAAAADHX/mU=")</f>
        <v>#VALUE!</v>
      </c>
      <c r="CY27" t="e">
        <f>AND(class!H179,"AAAAADHX/mY=")</f>
        <v>#VALUE!</v>
      </c>
      <c r="CZ27" t="e">
        <f>AND(class!I179,"AAAAADHX/mc=")</f>
        <v>#VALUE!</v>
      </c>
      <c r="DA27" t="e">
        <f>AND(class!J179,"AAAAADHX/mg=")</f>
        <v>#VALUE!</v>
      </c>
      <c r="DB27" t="e">
        <f>AND(class!K179,"AAAAADHX/mk=")</f>
        <v>#VALUE!</v>
      </c>
      <c r="DC27" t="e">
        <f>AND(class!L179,"AAAAADHX/mo=")</f>
        <v>#VALUE!</v>
      </c>
      <c r="DD27" t="e">
        <f>AND(class!M179,"AAAAADHX/ms=")</f>
        <v>#VALUE!</v>
      </c>
      <c r="DE27" t="e">
        <f>AND(class!N179,"AAAAADHX/mw=")</f>
        <v>#VALUE!</v>
      </c>
      <c r="DF27" t="e">
        <f>AND(class!O179,"AAAAADHX/m0=")</f>
        <v>#VALUE!</v>
      </c>
      <c r="DG27" t="e">
        <f>AND(class!P179,"AAAAADHX/m4=")</f>
        <v>#VALUE!</v>
      </c>
      <c r="DH27" t="e">
        <f>AND(class!Q179,"AAAAADHX/m8=")</f>
        <v>#VALUE!</v>
      </c>
      <c r="DI27" t="e">
        <f>AND(class!R179,"AAAAADHX/nA=")</f>
        <v>#VALUE!</v>
      </c>
      <c r="DJ27" t="e">
        <f>AND(class!S179,"AAAAADHX/nE=")</f>
        <v>#VALUE!</v>
      </c>
      <c r="DK27" t="e">
        <f>AND(class!T179,"AAAAADHX/nI=")</f>
        <v>#VALUE!</v>
      </c>
      <c r="DL27" t="e">
        <f>AND(class!U179,"AAAAADHX/nM=")</f>
        <v>#VALUE!</v>
      </c>
      <c r="DM27" t="e">
        <f>AND(class!V179,"AAAAADHX/nQ=")</f>
        <v>#VALUE!</v>
      </c>
      <c r="DN27" t="e">
        <f>AND(class!W179,"AAAAADHX/nU=")</f>
        <v>#VALUE!</v>
      </c>
      <c r="DO27" t="e">
        <f>AND(class!X179,"AAAAADHX/nY=")</f>
        <v>#VALUE!</v>
      </c>
      <c r="DP27" t="e">
        <f>AND(class!Y179,"AAAAADHX/nc=")</f>
        <v>#VALUE!</v>
      </c>
      <c r="DQ27" t="e">
        <f>AND(class!Z179,"AAAAADHX/ng=")</f>
        <v>#VALUE!</v>
      </c>
      <c r="DR27" t="e">
        <f>AND(class!AA179,"AAAAADHX/nk=")</f>
        <v>#VALUE!</v>
      </c>
      <c r="DS27" t="e">
        <f>AND(class!AB179,"AAAAADHX/no=")</f>
        <v>#VALUE!</v>
      </c>
      <c r="DT27" t="e">
        <f>AND(class!AC179,"AAAAADHX/ns=")</f>
        <v>#VALUE!</v>
      </c>
      <c r="DU27">
        <f>IF(class!180:180,"AAAAADHX/nw=",0)</f>
        <v>0</v>
      </c>
      <c r="DV27" t="e">
        <f>AND(class!A180,"AAAAADHX/n0=")</f>
        <v>#VALUE!</v>
      </c>
      <c r="DW27" t="e">
        <f>AND(class!B180,"AAAAADHX/n4=")</f>
        <v>#VALUE!</v>
      </c>
      <c r="DX27" t="e">
        <f>AND(class!C180,"AAAAADHX/n8=")</f>
        <v>#VALUE!</v>
      </c>
      <c r="DY27" t="e">
        <f>AND(class!D180,"AAAAADHX/oA=")</f>
        <v>#VALUE!</v>
      </c>
      <c r="DZ27" t="e">
        <f>AND(class!E180,"AAAAADHX/oE=")</f>
        <v>#VALUE!</v>
      </c>
      <c r="EA27" t="e">
        <f>AND(class!F180,"AAAAADHX/oI=")</f>
        <v>#VALUE!</v>
      </c>
      <c r="EB27" t="e">
        <f>AND(class!G180,"AAAAADHX/oM=")</f>
        <v>#VALUE!</v>
      </c>
      <c r="EC27" t="e">
        <f>AND(class!H180,"AAAAADHX/oQ=")</f>
        <v>#VALUE!</v>
      </c>
      <c r="ED27" t="e">
        <f>AND(class!I180,"AAAAADHX/oU=")</f>
        <v>#VALUE!</v>
      </c>
      <c r="EE27" t="e">
        <f>AND(class!J180,"AAAAADHX/oY=")</f>
        <v>#VALUE!</v>
      </c>
      <c r="EF27" t="e">
        <f>AND(class!K180,"AAAAADHX/oc=")</f>
        <v>#VALUE!</v>
      </c>
      <c r="EG27" t="e">
        <f>AND(class!L180,"AAAAADHX/og=")</f>
        <v>#VALUE!</v>
      </c>
      <c r="EH27" t="e">
        <f>AND(class!M180,"AAAAADHX/ok=")</f>
        <v>#VALUE!</v>
      </c>
      <c r="EI27" t="e">
        <f>AND(class!N180,"AAAAADHX/oo=")</f>
        <v>#VALUE!</v>
      </c>
      <c r="EJ27" t="e">
        <f>AND(class!O180,"AAAAADHX/os=")</f>
        <v>#VALUE!</v>
      </c>
      <c r="EK27" t="e">
        <f>AND(class!P180,"AAAAADHX/ow=")</f>
        <v>#VALUE!</v>
      </c>
      <c r="EL27" t="e">
        <f>AND(class!Q180,"AAAAADHX/o0=")</f>
        <v>#VALUE!</v>
      </c>
      <c r="EM27" t="e">
        <f>AND(class!R180,"AAAAADHX/o4=")</f>
        <v>#VALUE!</v>
      </c>
      <c r="EN27" t="e">
        <f>AND(class!S180,"AAAAADHX/o8=")</f>
        <v>#VALUE!</v>
      </c>
      <c r="EO27" t="e">
        <f>AND(class!T180,"AAAAADHX/pA=")</f>
        <v>#VALUE!</v>
      </c>
      <c r="EP27" t="e">
        <f>AND(class!U180,"AAAAADHX/pE=")</f>
        <v>#VALUE!</v>
      </c>
      <c r="EQ27" t="e">
        <f>AND(class!V180,"AAAAADHX/pI=")</f>
        <v>#VALUE!</v>
      </c>
      <c r="ER27" t="e">
        <f>AND(class!W180,"AAAAADHX/pM=")</f>
        <v>#VALUE!</v>
      </c>
      <c r="ES27" t="e">
        <f>AND(class!X180,"AAAAADHX/pQ=")</f>
        <v>#VALUE!</v>
      </c>
      <c r="ET27" t="e">
        <f>AND(class!Y180,"AAAAADHX/pU=")</f>
        <v>#VALUE!</v>
      </c>
      <c r="EU27" t="e">
        <f>AND(class!Z180,"AAAAADHX/pY=")</f>
        <v>#VALUE!</v>
      </c>
      <c r="EV27" t="e">
        <f>AND(class!AA180,"AAAAADHX/pc=")</f>
        <v>#VALUE!</v>
      </c>
      <c r="EW27" t="e">
        <f>AND(class!AB180,"AAAAADHX/pg=")</f>
        <v>#VALUE!</v>
      </c>
      <c r="EX27" t="e">
        <f>AND(class!AC180,"AAAAADHX/pk=")</f>
        <v>#VALUE!</v>
      </c>
      <c r="EY27">
        <f>IF(class!181:181,"AAAAADHX/po=",0)</f>
        <v>0</v>
      </c>
      <c r="EZ27" t="e">
        <f>AND(class!A181,"AAAAADHX/ps=")</f>
        <v>#VALUE!</v>
      </c>
      <c r="FA27" t="e">
        <f>AND(class!B181,"AAAAADHX/pw=")</f>
        <v>#VALUE!</v>
      </c>
      <c r="FB27" t="e">
        <f>AND(class!C181,"AAAAADHX/p0=")</f>
        <v>#VALUE!</v>
      </c>
      <c r="FC27" t="e">
        <f>AND(class!D181,"AAAAADHX/p4=")</f>
        <v>#VALUE!</v>
      </c>
      <c r="FD27" t="e">
        <f>AND(class!E181,"AAAAADHX/p8=")</f>
        <v>#VALUE!</v>
      </c>
      <c r="FE27" t="e">
        <f>AND(class!F181,"AAAAADHX/qA=")</f>
        <v>#VALUE!</v>
      </c>
      <c r="FF27" t="e">
        <f>AND(class!G181,"AAAAADHX/qE=")</f>
        <v>#VALUE!</v>
      </c>
      <c r="FG27" t="e">
        <f>AND(class!H181,"AAAAADHX/qI=")</f>
        <v>#VALUE!</v>
      </c>
      <c r="FH27" t="e">
        <f>AND(class!I181,"AAAAADHX/qM=")</f>
        <v>#VALUE!</v>
      </c>
      <c r="FI27" t="e">
        <f>AND(class!J181,"AAAAADHX/qQ=")</f>
        <v>#VALUE!</v>
      </c>
      <c r="FJ27" t="e">
        <f>AND(class!K181,"AAAAADHX/qU=")</f>
        <v>#VALUE!</v>
      </c>
      <c r="FK27" t="e">
        <f>AND(class!L181,"AAAAADHX/qY=")</f>
        <v>#VALUE!</v>
      </c>
      <c r="FL27" t="e">
        <f>AND(class!M181,"AAAAADHX/qc=")</f>
        <v>#VALUE!</v>
      </c>
      <c r="FM27" t="e">
        <f>AND(class!N181,"AAAAADHX/qg=")</f>
        <v>#VALUE!</v>
      </c>
      <c r="FN27" t="e">
        <f>AND(class!O181,"AAAAADHX/qk=")</f>
        <v>#VALUE!</v>
      </c>
      <c r="FO27" t="e">
        <f>AND(class!P181,"AAAAADHX/qo=")</f>
        <v>#VALUE!</v>
      </c>
      <c r="FP27" t="e">
        <f>AND(class!Q181,"AAAAADHX/qs=")</f>
        <v>#VALUE!</v>
      </c>
      <c r="FQ27" t="e">
        <f>AND(class!R181,"AAAAADHX/qw=")</f>
        <v>#VALUE!</v>
      </c>
      <c r="FR27" t="e">
        <f>AND(class!S181,"AAAAADHX/q0=")</f>
        <v>#VALUE!</v>
      </c>
      <c r="FS27" t="e">
        <f>AND(class!T181,"AAAAADHX/q4=")</f>
        <v>#VALUE!</v>
      </c>
      <c r="FT27" t="e">
        <f>AND(class!U181,"AAAAADHX/q8=")</f>
        <v>#VALUE!</v>
      </c>
      <c r="FU27" t="e">
        <f>AND(class!V181,"AAAAADHX/rA=")</f>
        <v>#VALUE!</v>
      </c>
      <c r="FV27" t="e">
        <f>AND(class!W181,"AAAAADHX/rE=")</f>
        <v>#VALUE!</v>
      </c>
      <c r="FW27" t="e">
        <f>AND(class!X181,"AAAAADHX/rI=")</f>
        <v>#VALUE!</v>
      </c>
      <c r="FX27" t="e">
        <f>AND(class!Y181,"AAAAADHX/rM=")</f>
        <v>#VALUE!</v>
      </c>
      <c r="FY27" t="e">
        <f>AND(class!Z181,"AAAAADHX/rQ=")</f>
        <v>#VALUE!</v>
      </c>
      <c r="FZ27" t="e">
        <f>AND(class!AA181,"AAAAADHX/rU=")</f>
        <v>#VALUE!</v>
      </c>
      <c r="GA27" t="e">
        <f>AND(class!AB181,"AAAAADHX/rY=")</f>
        <v>#VALUE!</v>
      </c>
      <c r="GB27" t="e">
        <f>AND(class!AC181,"AAAAADHX/rc=")</f>
        <v>#VALUE!</v>
      </c>
      <c r="GC27">
        <f>IF(class!182:182,"AAAAADHX/rg=",0)</f>
        <v>0</v>
      </c>
      <c r="GD27" t="e">
        <f>AND(class!A182,"AAAAADHX/rk=")</f>
        <v>#VALUE!</v>
      </c>
      <c r="GE27" t="e">
        <f>AND(class!B182,"AAAAADHX/ro=")</f>
        <v>#VALUE!</v>
      </c>
      <c r="GF27" t="e">
        <f>AND(class!C182,"AAAAADHX/rs=")</f>
        <v>#VALUE!</v>
      </c>
      <c r="GG27" t="e">
        <f>AND(class!D182,"AAAAADHX/rw=")</f>
        <v>#VALUE!</v>
      </c>
      <c r="GH27" t="e">
        <f>AND(class!E182,"AAAAADHX/r0=")</f>
        <v>#VALUE!</v>
      </c>
      <c r="GI27" t="e">
        <f>AND(class!F182,"AAAAADHX/r4=")</f>
        <v>#VALUE!</v>
      </c>
      <c r="GJ27" t="e">
        <f>AND(class!G182,"AAAAADHX/r8=")</f>
        <v>#VALUE!</v>
      </c>
      <c r="GK27" t="e">
        <f>AND(class!H182,"AAAAADHX/sA=")</f>
        <v>#VALUE!</v>
      </c>
      <c r="GL27" t="e">
        <f>AND(class!I182,"AAAAADHX/sE=")</f>
        <v>#VALUE!</v>
      </c>
      <c r="GM27" t="e">
        <f>AND(class!J182,"AAAAADHX/sI=")</f>
        <v>#VALUE!</v>
      </c>
      <c r="GN27" t="e">
        <f>AND(class!K182,"AAAAADHX/sM=")</f>
        <v>#VALUE!</v>
      </c>
      <c r="GO27" t="e">
        <f>AND(class!L182,"AAAAADHX/sQ=")</f>
        <v>#VALUE!</v>
      </c>
      <c r="GP27" t="e">
        <f>AND(class!M182,"AAAAADHX/sU=")</f>
        <v>#VALUE!</v>
      </c>
      <c r="GQ27" t="e">
        <f>AND(class!N182,"AAAAADHX/sY=")</f>
        <v>#VALUE!</v>
      </c>
      <c r="GR27" t="e">
        <f>AND(class!O182,"AAAAADHX/sc=")</f>
        <v>#VALUE!</v>
      </c>
      <c r="GS27" t="e">
        <f>AND(class!P182,"AAAAADHX/sg=")</f>
        <v>#VALUE!</v>
      </c>
      <c r="GT27" t="e">
        <f>AND(class!Q182,"AAAAADHX/sk=")</f>
        <v>#VALUE!</v>
      </c>
      <c r="GU27" t="e">
        <f>AND(class!R182,"AAAAADHX/so=")</f>
        <v>#VALUE!</v>
      </c>
      <c r="GV27" t="e">
        <f>AND(class!S182,"AAAAADHX/ss=")</f>
        <v>#VALUE!</v>
      </c>
      <c r="GW27" t="e">
        <f>AND(class!T182,"AAAAADHX/sw=")</f>
        <v>#VALUE!</v>
      </c>
      <c r="GX27" t="e">
        <f>AND(class!U182,"AAAAADHX/s0=")</f>
        <v>#VALUE!</v>
      </c>
      <c r="GY27" t="e">
        <f>AND(class!V182,"AAAAADHX/s4=")</f>
        <v>#VALUE!</v>
      </c>
      <c r="GZ27" t="e">
        <f>AND(class!W182,"AAAAADHX/s8=")</f>
        <v>#VALUE!</v>
      </c>
      <c r="HA27" t="e">
        <f>AND(class!X182,"AAAAADHX/tA=")</f>
        <v>#VALUE!</v>
      </c>
      <c r="HB27" t="e">
        <f>AND(class!Y182,"AAAAADHX/tE=")</f>
        <v>#VALUE!</v>
      </c>
      <c r="HC27" t="e">
        <f>AND(class!Z182,"AAAAADHX/tI=")</f>
        <v>#VALUE!</v>
      </c>
      <c r="HD27" t="e">
        <f>AND(class!AA182,"AAAAADHX/tM=")</f>
        <v>#VALUE!</v>
      </c>
      <c r="HE27" t="e">
        <f>AND(class!AB182,"AAAAADHX/tQ=")</f>
        <v>#VALUE!</v>
      </c>
      <c r="HF27" t="e">
        <f>AND(class!AC182,"AAAAADHX/tU=")</f>
        <v>#VALUE!</v>
      </c>
      <c r="HG27">
        <f>IF(class!183:183,"AAAAADHX/tY=",0)</f>
        <v>0</v>
      </c>
      <c r="HH27" t="e">
        <f>AND(class!A183,"AAAAADHX/tc=")</f>
        <v>#VALUE!</v>
      </c>
      <c r="HI27" t="e">
        <f>AND(class!B183,"AAAAADHX/tg=")</f>
        <v>#VALUE!</v>
      </c>
      <c r="HJ27" t="e">
        <f>AND(class!C183,"AAAAADHX/tk=")</f>
        <v>#VALUE!</v>
      </c>
      <c r="HK27" t="e">
        <f>AND(class!D183,"AAAAADHX/to=")</f>
        <v>#VALUE!</v>
      </c>
      <c r="HL27" t="e">
        <f>AND(class!E183,"AAAAADHX/ts=")</f>
        <v>#VALUE!</v>
      </c>
      <c r="HM27" t="e">
        <f>AND(class!F183,"AAAAADHX/tw=")</f>
        <v>#VALUE!</v>
      </c>
      <c r="HN27" t="e">
        <f>AND(class!G183,"AAAAADHX/t0=")</f>
        <v>#VALUE!</v>
      </c>
      <c r="HO27" t="e">
        <f>AND(class!H183,"AAAAADHX/t4=")</f>
        <v>#VALUE!</v>
      </c>
      <c r="HP27" t="e">
        <f>AND(class!I183,"AAAAADHX/t8=")</f>
        <v>#VALUE!</v>
      </c>
      <c r="HQ27" t="e">
        <f>AND(class!J183,"AAAAADHX/uA=")</f>
        <v>#VALUE!</v>
      </c>
      <c r="HR27" t="e">
        <f>AND(class!K183,"AAAAADHX/uE=")</f>
        <v>#VALUE!</v>
      </c>
      <c r="HS27" t="e">
        <f>AND(class!L183,"AAAAADHX/uI=")</f>
        <v>#VALUE!</v>
      </c>
      <c r="HT27" t="e">
        <f>AND(class!M183,"AAAAADHX/uM=")</f>
        <v>#VALUE!</v>
      </c>
      <c r="HU27" t="e">
        <f>AND(class!N183,"AAAAADHX/uQ=")</f>
        <v>#VALUE!</v>
      </c>
      <c r="HV27" t="e">
        <f>AND(class!O183,"AAAAADHX/uU=")</f>
        <v>#VALUE!</v>
      </c>
      <c r="HW27" t="e">
        <f>AND(class!P183,"AAAAADHX/uY=")</f>
        <v>#VALUE!</v>
      </c>
      <c r="HX27" t="e">
        <f>AND(class!Q183,"AAAAADHX/uc=")</f>
        <v>#VALUE!</v>
      </c>
      <c r="HY27" t="e">
        <f>AND(class!R183,"AAAAADHX/ug=")</f>
        <v>#VALUE!</v>
      </c>
      <c r="HZ27" t="e">
        <f>AND(class!S183,"AAAAADHX/uk=")</f>
        <v>#VALUE!</v>
      </c>
      <c r="IA27" t="e">
        <f>AND(class!T183,"AAAAADHX/uo=")</f>
        <v>#VALUE!</v>
      </c>
      <c r="IB27" t="e">
        <f>AND(class!U183,"AAAAADHX/us=")</f>
        <v>#VALUE!</v>
      </c>
      <c r="IC27" t="e">
        <f>AND(class!V183,"AAAAADHX/uw=")</f>
        <v>#VALUE!</v>
      </c>
      <c r="ID27" t="e">
        <f>AND(class!W183,"AAAAADHX/u0=")</f>
        <v>#VALUE!</v>
      </c>
      <c r="IE27" t="e">
        <f>AND(class!X183,"AAAAADHX/u4=")</f>
        <v>#VALUE!</v>
      </c>
      <c r="IF27" t="e">
        <f>AND(class!Y183,"AAAAADHX/u8=")</f>
        <v>#VALUE!</v>
      </c>
      <c r="IG27" t="e">
        <f>AND(class!Z183,"AAAAADHX/vA=")</f>
        <v>#VALUE!</v>
      </c>
      <c r="IH27" t="e">
        <f>AND(class!AA183,"AAAAADHX/vE=")</f>
        <v>#VALUE!</v>
      </c>
      <c r="II27" t="e">
        <f>AND(class!AB183,"AAAAADHX/vI=")</f>
        <v>#VALUE!</v>
      </c>
      <c r="IJ27" t="e">
        <f>AND(class!AC183,"AAAAADHX/vM=")</f>
        <v>#VALUE!</v>
      </c>
      <c r="IK27">
        <f>IF(class!184:184,"AAAAADHX/vQ=",0)</f>
        <v>0</v>
      </c>
      <c r="IL27" t="e">
        <f>AND(class!A184,"AAAAADHX/vU=")</f>
        <v>#VALUE!</v>
      </c>
      <c r="IM27" t="e">
        <f>AND(class!B184,"AAAAADHX/vY=")</f>
        <v>#VALUE!</v>
      </c>
      <c r="IN27" t="e">
        <f>AND(class!C184,"AAAAADHX/vc=")</f>
        <v>#VALUE!</v>
      </c>
      <c r="IO27" t="e">
        <f>AND(class!D184,"AAAAADHX/vg=")</f>
        <v>#VALUE!</v>
      </c>
      <c r="IP27" t="e">
        <f>AND(class!E184,"AAAAADHX/vk=")</f>
        <v>#VALUE!</v>
      </c>
      <c r="IQ27" t="e">
        <f>AND(class!F184,"AAAAADHX/vo=")</f>
        <v>#VALUE!</v>
      </c>
      <c r="IR27" t="e">
        <f>AND(class!G184,"AAAAADHX/vs=")</f>
        <v>#VALUE!</v>
      </c>
      <c r="IS27" t="e">
        <f>AND(class!H184,"AAAAADHX/vw=")</f>
        <v>#VALUE!</v>
      </c>
      <c r="IT27" t="e">
        <f>AND(class!I184,"AAAAADHX/v0=")</f>
        <v>#VALUE!</v>
      </c>
      <c r="IU27" t="e">
        <f>AND(class!J184,"AAAAADHX/v4=")</f>
        <v>#VALUE!</v>
      </c>
      <c r="IV27" t="e">
        <f>AND(class!K184,"AAAAADHX/v8=")</f>
        <v>#VALUE!</v>
      </c>
    </row>
    <row r="28" spans="1:256" x14ac:dyDescent="0.2">
      <c r="A28" t="e">
        <f>AND(class!L184,"AAAAAH+XfQA=")</f>
        <v>#VALUE!</v>
      </c>
      <c r="B28" t="e">
        <f>AND(class!M184,"AAAAAH+XfQE=")</f>
        <v>#VALUE!</v>
      </c>
      <c r="C28" t="e">
        <f>AND(class!N184,"AAAAAH+XfQI=")</f>
        <v>#VALUE!</v>
      </c>
      <c r="D28" t="e">
        <f>AND(class!O184,"AAAAAH+XfQM=")</f>
        <v>#VALUE!</v>
      </c>
      <c r="E28" t="e">
        <f>AND(class!P184,"AAAAAH+XfQQ=")</f>
        <v>#VALUE!</v>
      </c>
      <c r="F28" t="e">
        <f>AND(class!Q184,"AAAAAH+XfQU=")</f>
        <v>#VALUE!</v>
      </c>
      <c r="G28" t="e">
        <f>AND(class!R184,"AAAAAH+XfQY=")</f>
        <v>#VALUE!</v>
      </c>
      <c r="H28" t="e">
        <f>AND(class!S184,"AAAAAH+XfQc=")</f>
        <v>#VALUE!</v>
      </c>
      <c r="I28" t="e">
        <f>AND(class!T184,"AAAAAH+XfQg=")</f>
        <v>#VALUE!</v>
      </c>
      <c r="J28" t="e">
        <f>AND(class!U184,"AAAAAH+XfQk=")</f>
        <v>#VALUE!</v>
      </c>
      <c r="K28" t="e">
        <f>AND(class!V184,"AAAAAH+XfQo=")</f>
        <v>#VALUE!</v>
      </c>
      <c r="L28" t="e">
        <f>AND(class!W184,"AAAAAH+XfQs=")</f>
        <v>#VALUE!</v>
      </c>
      <c r="M28" t="e">
        <f>AND(class!X184,"AAAAAH+XfQw=")</f>
        <v>#VALUE!</v>
      </c>
      <c r="N28" t="e">
        <f>AND(class!Y184,"AAAAAH+XfQ0=")</f>
        <v>#VALUE!</v>
      </c>
      <c r="O28" t="e">
        <f>AND(class!Z184,"AAAAAH+XfQ4=")</f>
        <v>#VALUE!</v>
      </c>
      <c r="P28" t="e">
        <f>AND(class!AA184,"AAAAAH+XfQ8=")</f>
        <v>#VALUE!</v>
      </c>
      <c r="Q28" t="e">
        <f>AND(class!AB184,"AAAAAH+XfRA=")</f>
        <v>#VALUE!</v>
      </c>
      <c r="R28" t="e">
        <f>AND(class!AC184,"AAAAAH+XfRE=")</f>
        <v>#VALUE!</v>
      </c>
      <c r="S28">
        <f>IF(class!185:185,"AAAAAH+XfRI=",0)</f>
        <v>0</v>
      </c>
      <c r="T28" t="e">
        <f>AND(class!A185,"AAAAAH+XfRM=")</f>
        <v>#VALUE!</v>
      </c>
      <c r="U28" t="e">
        <f>AND(class!B185,"AAAAAH+XfRQ=")</f>
        <v>#VALUE!</v>
      </c>
      <c r="V28" t="e">
        <f>AND(class!C185,"AAAAAH+XfRU=")</f>
        <v>#VALUE!</v>
      </c>
      <c r="W28" t="e">
        <f>AND(class!D185,"AAAAAH+XfRY=")</f>
        <v>#VALUE!</v>
      </c>
      <c r="X28" t="e">
        <f>AND(class!E185,"AAAAAH+XfRc=")</f>
        <v>#VALUE!</v>
      </c>
      <c r="Y28" t="e">
        <f>AND(class!F185,"AAAAAH+XfRg=")</f>
        <v>#VALUE!</v>
      </c>
      <c r="Z28" t="e">
        <f>AND(class!G185,"AAAAAH+XfRk=")</f>
        <v>#VALUE!</v>
      </c>
      <c r="AA28" t="e">
        <f>AND(class!H185,"AAAAAH+XfRo=")</f>
        <v>#VALUE!</v>
      </c>
      <c r="AB28" t="e">
        <f>AND(class!I185,"AAAAAH+XfRs=")</f>
        <v>#VALUE!</v>
      </c>
      <c r="AC28" t="e">
        <f>AND(class!J185,"AAAAAH+XfRw=")</f>
        <v>#VALUE!</v>
      </c>
      <c r="AD28" t="e">
        <f>AND(class!K185,"AAAAAH+XfR0=")</f>
        <v>#VALUE!</v>
      </c>
      <c r="AE28" t="e">
        <f>AND(class!L185,"AAAAAH+XfR4=")</f>
        <v>#VALUE!</v>
      </c>
      <c r="AF28" t="e">
        <f>AND(class!M185,"AAAAAH+XfR8=")</f>
        <v>#VALUE!</v>
      </c>
      <c r="AG28" t="e">
        <f>AND(class!N185,"AAAAAH+XfSA=")</f>
        <v>#VALUE!</v>
      </c>
      <c r="AH28" t="e">
        <f>AND(class!O185,"AAAAAH+XfSE=")</f>
        <v>#VALUE!</v>
      </c>
      <c r="AI28" t="e">
        <f>AND(class!P185,"AAAAAH+XfSI=")</f>
        <v>#VALUE!</v>
      </c>
      <c r="AJ28" t="e">
        <f>AND(class!Q185,"AAAAAH+XfSM=")</f>
        <v>#VALUE!</v>
      </c>
      <c r="AK28" t="e">
        <f>AND(class!R185,"AAAAAH+XfSQ=")</f>
        <v>#VALUE!</v>
      </c>
      <c r="AL28" t="e">
        <f>AND(class!S185,"AAAAAH+XfSU=")</f>
        <v>#VALUE!</v>
      </c>
      <c r="AM28" t="e">
        <f>AND(class!T185,"AAAAAH+XfSY=")</f>
        <v>#VALUE!</v>
      </c>
      <c r="AN28" t="e">
        <f>AND(class!U185,"AAAAAH+XfSc=")</f>
        <v>#VALUE!</v>
      </c>
      <c r="AO28" t="e">
        <f>AND(class!V185,"AAAAAH+XfSg=")</f>
        <v>#VALUE!</v>
      </c>
      <c r="AP28" t="e">
        <f>AND(class!W185,"AAAAAH+XfSk=")</f>
        <v>#VALUE!</v>
      </c>
      <c r="AQ28" t="e">
        <f>AND(class!X185,"AAAAAH+XfSo=")</f>
        <v>#VALUE!</v>
      </c>
      <c r="AR28" t="e">
        <f>AND(class!Y185,"AAAAAH+XfSs=")</f>
        <v>#VALUE!</v>
      </c>
      <c r="AS28" t="e">
        <f>AND(class!Z185,"AAAAAH+XfSw=")</f>
        <v>#VALUE!</v>
      </c>
      <c r="AT28" t="e">
        <f>AND(class!AA185,"AAAAAH+XfS0=")</f>
        <v>#VALUE!</v>
      </c>
      <c r="AU28" t="e">
        <f>AND(class!AB185,"AAAAAH+XfS4=")</f>
        <v>#VALUE!</v>
      </c>
      <c r="AV28" t="e">
        <f>AND(class!AC185,"AAAAAH+XfS8=")</f>
        <v>#VALUE!</v>
      </c>
      <c r="AW28">
        <f>IF(class!A:A,"AAAAAH+XfTA=",0)</f>
        <v>0</v>
      </c>
      <c r="AX28">
        <f>IF(class!B:B,"AAAAAH+XfTE=",0)</f>
        <v>0</v>
      </c>
      <c r="AY28">
        <f>IF(class!C:C,"AAAAAH+XfTI=",0)</f>
        <v>0</v>
      </c>
      <c r="AZ28">
        <f>IF(class!D:D,"AAAAAH+XfTM=",0)</f>
        <v>0</v>
      </c>
      <c r="BA28">
        <f>IF(class!E:E,"AAAAAH+XfTQ=",0)</f>
        <v>0</v>
      </c>
      <c r="BB28">
        <f>IF(class!F:F,"AAAAAH+XfTU=",0)</f>
        <v>0</v>
      </c>
      <c r="BC28">
        <f>IF(class!G:G,"AAAAAH+XfTY=",0)</f>
        <v>0</v>
      </c>
      <c r="BD28">
        <f>IF(class!H:H,"AAAAAH+XfTc=",0)</f>
        <v>0</v>
      </c>
      <c r="BE28">
        <f>IF(class!I:I,"AAAAAH+XfTg=",0)</f>
        <v>0</v>
      </c>
      <c r="BF28">
        <f>IF(class!J:J,"AAAAAH+XfTk=",0)</f>
        <v>0</v>
      </c>
      <c r="BG28">
        <f>IF(class!K:K,"AAAAAH+XfTo=",0)</f>
        <v>0</v>
      </c>
      <c r="BH28">
        <f>IF(class!L:L,"AAAAAH+XfTs=",0)</f>
        <v>0</v>
      </c>
      <c r="BI28">
        <f>IF(class!M:M,"AAAAAH+XfTw=",0)</f>
        <v>0</v>
      </c>
      <c r="BJ28">
        <f>IF(class!N:N,"AAAAAH+XfT0=",0)</f>
        <v>0</v>
      </c>
      <c r="BK28">
        <f>IF(class!O:O,"AAAAAH+XfT4=",0)</f>
        <v>0</v>
      </c>
      <c r="BL28">
        <f>IF(class!P:P,"AAAAAH+XfT8=",0)</f>
        <v>0</v>
      </c>
      <c r="BM28">
        <f>IF(class!Q:Q,"AAAAAH+XfUA=",0)</f>
        <v>0</v>
      </c>
      <c r="BN28">
        <f>IF(class!R:R,"AAAAAH+XfUE=",0)</f>
        <v>0</v>
      </c>
      <c r="BO28">
        <f>IF(class!S:S,"AAAAAH+XfUI=",0)</f>
        <v>0</v>
      </c>
      <c r="BP28">
        <f>IF(class!T:T,"AAAAAH+XfUM=",0)</f>
        <v>0</v>
      </c>
      <c r="BQ28">
        <f>IF(class!U:U,"AAAAAH+XfUQ=",0)</f>
        <v>0</v>
      </c>
      <c r="BR28">
        <f>IF(class!V:V,"AAAAAH+XfUU=",0)</f>
        <v>0</v>
      </c>
      <c r="BS28">
        <f>IF(class!W:W,"AAAAAH+XfUY=",0)</f>
        <v>0</v>
      </c>
      <c r="BT28">
        <f>IF(class!X:X,"AAAAAH+XfUc=",0)</f>
        <v>0</v>
      </c>
      <c r="BU28">
        <f>IF(class!Y:Y,"AAAAAH+XfUg=",0)</f>
        <v>0</v>
      </c>
      <c r="BV28">
        <f>IF(class!Z:Z,"AAAAAH+XfUk=",0)</f>
        <v>0</v>
      </c>
      <c r="BW28">
        <f>IF(class!AA:AA,"AAAAAH+XfUo=",0)</f>
        <v>0</v>
      </c>
      <c r="BX28">
        <f>IF(class!AB:AB,"AAAAAH+XfUs=",0)</f>
        <v>0</v>
      </c>
      <c r="BY28">
        <f>IF(class!AC:AC,"AAAAAH+XfUw=",0)</f>
        <v>0</v>
      </c>
      <c r="BZ28" t="e">
        <f>IF(medidas!#REF!,"AAAAAH+XfU0=",0)</f>
        <v>#REF!</v>
      </c>
      <c r="CA28" t="e">
        <f>AND(medidas!#REF!,"AAAAAH+XfU4=")</f>
        <v>#REF!</v>
      </c>
      <c r="CB28" t="e">
        <f>AND(medidas!#REF!,"AAAAAH+XfU8=")</f>
        <v>#REF!</v>
      </c>
      <c r="CC28" t="e">
        <f>AND(medidas!#REF!,"AAAAAH+XfVA=")</f>
        <v>#REF!</v>
      </c>
      <c r="CD28" t="e">
        <f>AND(medidas!#REF!,"AAAAAH+XfVE=")</f>
        <v>#REF!</v>
      </c>
      <c r="CE28" t="e">
        <f>AND(medidas!#REF!,"AAAAAH+XfVI=")</f>
        <v>#REF!</v>
      </c>
      <c r="CF28" t="e">
        <f>AND(medidas!#REF!,"AAAAAH+XfVM=")</f>
        <v>#REF!</v>
      </c>
      <c r="CG28" t="e">
        <f>AND(medidas!#REF!,"AAAAAH+XfVQ=")</f>
        <v>#REF!</v>
      </c>
      <c r="CH28" t="e">
        <f>AND(medidas!#REF!,"AAAAAH+XfVU=")</f>
        <v>#REF!</v>
      </c>
      <c r="CI28" t="e">
        <f>AND(medidas!#REF!,"AAAAAH+XfVY=")</f>
        <v>#REF!</v>
      </c>
      <c r="CJ28" t="e">
        <f>AND(medidas!#REF!,"AAAAAH+XfVc=")</f>
        <v>#REF!</v>
      </c>
      <c r="CK28" t="e">
        <f>AND(medidas!#REF!,"AAAAAH+XfVg=")</f>
        <v>#REF!</v>
      </c>
      <c r="CL28" t="e">
        <f>AND(medidas!#REF!,"AAAAAH+XfVk=")</f>
        <v>#REF!</v>
      </c>
      <c r="CM28" t="e">
        <f>AND(medidas!#REF!,"AAAAAH+XfVo=")</f>
        <v>#REF!</v>
      </c>
      <c r="CN28" t="e">
        <f>AND(medidas!#REF!,"AAAAAH+XfVs=")</f>
        <v>#REF!</v>
      </c>
      <c r="CO28" t="e">
        <f>AND(medidas!#REF!,"AAAAAH+XfVw=")</f>
        <v>#REF!</v>
      </c>
      <c r="CP28" t="e">
        <f>AND(medidas!#REF!,"AAAAAH+XfV0=")</f>
        <v>#REF!</v>
      </c>
      <c r="CQ28" t="e">
        <f>AND(medidas!#REF!,"AAAAAH+XfV4=")</f>
        <v>#REF!</v>
      </c>
      <c r="CR28" t="e">
        <f>AND(medidas!#REF!,"AAAAAH+XfV8=")</f>
        <v>#REF!</v>
      </c>
      <c r="CS28" t="e">
        <f>AND(medidas!#REF!,"AAAAAH+XfWA=")</f>
        <v>#REF!</v>
      </c>
      <c r="CT28" t="e">
        <f>AND(medidas!#REF!,"AAAAAH+XfWE=")</f>
        <v>#REF!</v>
      </c>
      <c r="CU28" t="e">
        <f>AND(medidas!#REF!,"AAAAAH+XfWI=")</f>
        <v>#REF!</v>
      </c>
      <c r="CV28" t="e">
        <f>AND(medidas!#REF!,"AAAAAH+XfWM=")</f>
        <v>#REF!</v>
      </c>
      <c r="CW28" t="e">
        <f>AND(medidas!#REF!,"AAAAAH+XfWQ=")</f>
        <v>#REF!</v>
      </c>
      <c r="CX28" t="e">
        <f>AND(medidas!#REF!,"AAAAAH+XfWU=")</f>
        <v>#REF!</v>
      </c>
      <c r="CY28" t="e">
        <f>AND(medidas!#REF!,"AAAAAH+XfWY=")</f>
        <v>#REF!</v>
      </c>
      <c r="CZ28" t="e">
        <f>AND(medidas!#REF!,"AAAAAH+XfWc=")</f>
        <v>#REF!</v>
      </c>
      <c r="DA28" t="e">
        <f>AND(medidas!#REF!,"AAAAAH+XfWg=")</f>
        <v>#REF!</v>
      </c>
      <c r="DB28" t="e">
        <f>AND(medidas!#REF!,"AAAAAH+XfWk=")</f>
        <v>#REF!</v>
      </c>
      <c r="DC28" t="e">
        <f>AND(medidas!#REF!,"AAAAAH+XfWo=")</f>
        <v>#REF!</v>
      </c>
      <c r="DD28" t="e">
        <f>AND(medidas!#REF!,"AAAAAH+XfWs=")</f>
        <v>#REF!</v>
      </c>
      <c r="DE28" t="e">
        <f>AND(medidas!#REF!,"AAAAAH+XfWw=")</f>
        <v>#REF!</v>
      </c>
      <c r="DF28" t="e">
        <f>AND(medidas!#REF!,"AAAAAH+XfW0=")</f>
        <v>#REF!</v>
      </c>
      <c r="DG28" t="e">
        <f>AND(medidas!#REF!,"AAAAAH+XfW4=")</f>
        <v>#REF!</v>
      </c>
      <c r="DH28" t="e">
        <f>AND(medidas!#REF!,"AAAAAH+XfW8=")</f>
        <v>#REF!</v>
      </c>
      <c r="DI28" t="e">
        <f>AND(medidas!#REF!,"AAAAAH+XfXA=")</f>
        <v>#REF!</v>
      </c>
      <c r="DJ28" t="e">
        <f>AND(medidas!#REF!,"AAAAAH+XfXE=")</f>
        <v>#REF!</v>
      </c>
      <c r="DK28" t="e">
        <f>AND(medidas!#REF!,"AAAAAH+XfXI=")</f>
        <v>#REF!</v>
      </c>
      <c r="DL28" t="e">
        <f>AND(medidas!#REF!,"AAAAAH+XfXM=")</f>
        <v>#REF!</v>
      </c>
      <c r="DM28" t="e">
        <f>AND(medidas!#REF!,"AAAAAH+XfXQ=")</f>
        <v>#REF!</v>
      </c>
      <c r="DN28" t="e">
        <f>AND(medidas!#REF!,"AAAAAH+XfXU=")</f>
        <v>#REF!</v>
      </c>
      <c r="DO28" t="e">
        <f>AND(medidas!#REF!,"AAAAAH+XfXY=")</f>
        <v>#REF!</v>
      </c>
      <c r="DP28" t="e">
        <f>AND(medidas!#REF!,"AAAAAH+XfXc=")</f>
        <v>#REF!</v>
      </c>
      <c r="DQ28" t="e">
        <f>AND(medidas!#REF!,"AAAAAH+XfXg=")</f>
        <v>#REF!</v>
      </c>
      <c r="DR28" t="e">
        <f>AND(medidas!#REF!,"AAAAAH+XfXk=")</f>
        <v>#REF!</v>
      </c>
      <c r="DS28" t="e">
        <f>AND(medidas!#REF!,"AAAAAH+XfXo=")</f>
        <v>#REF!</v>
      </c>
      <c r="DT28" t="e">
        <f>AND(medidas!#REF!,"AAAAAH+XfXs=")</f>
        <v>#REF!</v>
      </c>
      <c r="DU28" t="e">
        <f>AND(medidas!#REF!,"AAAAAH+XfXw=")</f>
        <v>#REF!</v>
      </c>
      <c r="DV28" t="e">
        <f>AND(medidas!#REF!,"AAAAAH+XfX0=")</f>
        <v>#REF!</v>
      </c>
      <c r="DW28" t="e">
        <f>AND(medidas!#REF!,"AAAAAH+XfX4=")</f>
        <v>#REF!</v>
      </c>
      <c r="DX28" t="e">
        <f>AND(medidas!#REF!,"AAAAAH+XfX8=")</f>
        <v>#REF!</v>
      </c>
      <c r="DY28" t="e">
        <f>AND(medidas!#REF!,"AAAAAH+XfYA=")</f>
        <v>#REF!</v>
      </c>
      <c r="DZ28" t="e">
        <f>AND(medidas!#REF!,"AAAAAH+XfYE=")</f>
        <v>#REF!</v>
      </c>
      <c r="EA28" t="e">
        <f>AND(medidas!#REF!,"AAAAAH+XfYI=")</f>
        <v>#REF!</v>
      </c>
      <c r="EB28" t="e">
        <f>AND(medidas!#REF!,"AAAAAH+XfYM=")</f>
        <v>#REF!</v>
      </c>
      <c r="EC28" t="e">
        <f>AND(medidas!#REF!,"AAAAAH+XfYQ=")</f>
        <v>#REF!</v>
      </c>
      <c r="ED28" t="e">
        <f>AND(medidas!#REF!,"AAAAAH+XfYU=")</f>
        <v>#REF!</v>
      </c>
      <c r="EE28" t="e">
        <f>AND(medidas!#REF!,"AAAAAH+XfYY=")</f>
        <v>#REF!</v>
      </c>
      <c r="EF28" t="e">
        <f>AND(medidas!#REF!,"AAAAAH+XfYc=")</f>
        <v>#REF!</v>
      </c>
      <c r="EG28" t="e">
        <f>AND(medidas!#REF!,"AAAAAH+XfYg=")</f>
        <v>#REF!</v>
      </c>
      <c r="EH28" t="e">
        <f>AND(medidas!#REF!,"AAAAAH+XfYk=")</f>
        <v>#REF!</v>
      </c>
      <c r="EI28" t="e">
        <f>AND(medidas!#REF!,"AAAAAH+XfYo=")</f>
        <v>#REF!</v>
      </c>
      <c r="EJ28" t="e">
        <f>AND(medidas!#REF!,"AAAAAH+XfYs=")</f>
        <v>#REF!</v>
      </c>
      <c r="EK28" t="e">
        <f>AND(medidas!#REF!,"AAAAAH+XfYw=")</f>
        <v>#REF!</v>
      </c>
      <c r="EL28" t="e">
        <f>AND(medidas!#REF!,"AAAAAH+XfY0=")</f>
        <v>#REF!</v>
      </c>
      <c r="EM28" t="e">
        <f>AND(medidas!#REF!,"AAAAAH+XfY4=")</f>
        <v>#REF!</v>
      </c>
      <c r="EN28" t="e">
        <f>AND(medidas!#REF!,"AAAAAH+XfY8=")</f>
        <v>#REF!</v>
      </c>
      <c r="EO28" t="e">
        <f>AND(medidas!#REF!,"AAAAAH+XfZA=")</f>
        <v>#REF!</v>
      </c>
      <c r="EP28" t="e">
        <f>AND(medidas!#REF!,"AAAAAH+XfZE=")</f>
        <v>#REF!</v>
      </c>
      <c r="EQ28" t="e">
        <f>AND(medidas!#REF!,"AAAAAH+XfZI=")</f>
        <v>#REF!</v>
      </c>
      <c r="ER28" t="e">
        <f>AND(medidas!#REF!,"AAAAAH+XfZM=")</f>
        <v>#REF!</v>
      </c>
      <c r="ES28" t="e">
        <f>AND(medidas!#REF!,"AAAAAH+XfZQ=")</f>
        <v>#REF!</v>
      </c>
      <c r="ET28" t="e">
        <f>AND(medidas!#REF!,"AAAAAH+XfZU=")</f>
        <v>#REF!</v>
      </c>
      <c r="EU28" t="e">
        <f>AND(medidas!#REF!,"AAAAAH+XfZY=")</f>
        <v>#REF!</v>
      </c>
      <c r="EV28" t="e">
        <f>AND(medidas!#REF!,"AAAAAH+XfZc=")</f>
        <v>#REF!</v>
      </c>
      <c r="EW28" t="e">
        <f>AND(medidas!#REF!,"AAAAAH+XfZg=")</f>
        <v>#REF!</v>
      </c>
      <c r="EX28" t="e">
        <f>AND(medidas!#REF!,"AAAAAH+XfZk=")</f>
        <v>#REF!</v>
      </c>
      <c r="EY28">
        <f>IF(medidas!2:2,"AAAAAH+XfZo=",0)</f>
        <v>0</v>
      </c>
      <c r="EZ28" t="e">
        <f>AND(medidas!B2,"AAAAAH+XfZs=")</f>
        <v>#VALUE!</v>
      </c>
      <c r="FA28" t="e">
        <f>AND(medidas!C2,"AAAAAH+XfZw=")</f>
        <v>#VALUE!</v>
      </c>
      <c r="FB28" t="e">
        <f>AND(medidas!D2,"AAAAAH+XfZ0=")</f>
        <v>#VALUE!</v>
      </c>
      <c r="FC28" t="e">
        <f>AND(medidas!E2,"AAAAAH+XfZ4=")</f>
        <v>#VALUE!</v>
      </c>
      <c r="FD28" t="e">
        <f>AND(medidas!F2,"AAAAAH+XfZ8=")</f>
        <v>#VALUE!</v>
      </c>
      <c r="FE28" t="e">
        <f>AND(medidas!G2,"AAAAAH+XfaA=")</f>
        <v>#VALUE!</v>
      </c>
      <c r="FF28" t="e">
        <f>AND(medidas!H2,"AAAAAH+XfaE=")</f>
        <v>#VALUE!</v>
      </c>
      <c r="FG28" t="e">
        <f>AND(medidas!I2,"AAAAAH+XfaI=")</f>
        <v>#VALUE!</v>
      </c>
      <c r="FH28" t="e">
        <f>AND(medidas!J2,"AAAAAH+XfaM=")</f>
        <v>#VALUE!</v>
      </c>
      <c r="FI28" t="e">
        <f>AND(medidas!K2,"AAAAAH+XfaQ=")</f>
        <v>#VALUE!</v>
      </c>
      <c r="FJ28" t="e">
        <f>AND(medidas!L2,"AAAAAH+XfaU=")</f>
        <v>#VALUE!</v>
      </c>
      <c r="FK28" t="e">
        <f>AND(medidas!M2,"AAAAAH+XfaY=")</f>
        <v>#VALUE!</v>
      </c>
      <c r="FL28" t="e">
        <f>AND(medidas!N2,"AAAAAH+Xfac=")</f>
        <v>#VALUE!</v>
      </c>
      <c r="FM28" t="e">
        <f>AND(medidas!O2,"AAAAAH+Xfag=")</f>
        <v>#VALUE!</v>
      </c>
      <c r="FN28" t="e">
        <f>AND(medidas!P2,"AAAAAH+Xfak=")</f>
        <v>#VALUE!</v>
      </c>
      <c r="FO28" t="e">
        <f>AND(medidas!Q2,"AAAAAH+Xfao=")</f>
        <v>#VALUE!</v>
      </c>
      <c r="FP28" t="e">
        <f>AND(medidas!R2,"AAAAAH+Xfas=")</f>
        <v>#VALUE!</v>
      </c>
      <c r="FQ28" t="e">
        <f>AND(medidas!S2,"AAAAAH+Xfaw=")</f>
        <v>#VALUE!</v>
      </c>
      <c r="FR28" t="e">
        <f>AND(medidas!T2,"AAAAAH+Xfa0=")</f>
        <v>#VALUE!</v>
      </c>
      <c r="FS28" t="e">
        <f>AND(medidas!U2,"AAAAAH+Xfa4=")</f>
        <v>#VALUE!</v>
      </c>
      <c r="FT28" t="e">
        <f>AND(medidas!V2,"AAAAAH+Xfa8=")</f>
        <v>#VALUE!</v>
      </c>
      <c r="FU28" t="e">
        <f>AND(medidas!W2,"AAAAAH+XfbA=")</f>
        <v>#VALUE!</v>
      </c>
      <c r="FV28" t="e">
        <f>AND(medidas!X2,"AAAAAH+XfbE=")</f>
        <v>#VALUE!</v>
      </c>
      <c r="FW28" t="e">
        <f>AND(medidas!Y2,"AAAAAH+XfbI=")</f>
        <v>#VALUE!</v>
      </c>
      <c r="FX28" t="e">
        <f>AND(medidas!Z2,"AAAAAH+XfbM=")</f>
        <v>#VALUE!</v>
      </c>
      <c r="FY28" t="e">
        <f>AND(medidas!AA2,"AAAAAH+XfbQ=")</f>
        <v>#VALUE!</v>
      </c>
      <c r="FZ28" t="e">
        <f>AND(medidas!AB2,"AAAAAH+XfbU=")</f>
        <v>#VALUE!</v>
      </c>
      <c r="GA28" t="e">
        <f>AND(medidas!AC2,"AAAAAH+XfbY=")</f>
        <v>#VALUE!</v>
      </c>
      <c r="GB28" t="e">
        <f>AND(medidas!AD2,"AAAAAH+Xfbc=")</f>
        <v>#VALUE!</v>
      </c>
      <c r="GC28" t="e">
        <f>AND(medidas!AE2,"AAAAAH+Xfbg=")</f>
        <v>#VALUE!</v>
      </c>
      <c r="GD28" t="e">
        <f>AND(medidas!AF2,"AAAAAH+Xfbk=")</f>
        <v>#VALUE!</v>
      </c>
      <c r="GE28" t="e">
        <f>AND(medidas!AG2,"AAAAAH+Xfbo=")</f>
        <v>#VALUE!</v>
      </c>
      <c r="GF28" t="e">
        <f>AND(medidas!AH2,"AAAAAH+Xfbs=")</f>
        <v>#VALUE!</v>
      </c>
      <c r="GG28" t="e">
        <f>AND(medidas!AI2,"AAAAAH+Xfbw=")</f>
        <v>#VALUE!</v>
      </c>
      <c r="GH28" t="e">
        <f>AND(medidas!AJ2,"AAAAAH+Xfb0=")</f>
        <v>#VALUE!</v>
      </c>
      <c r="GI28" t="e">
        <f>AND(medidas!AK2,"AAAAAH+Xfb4=")</f>
        <v>#VALUE!</v>
      </c>
      <c r="GJ28" t="e">
        <f>AND(medidas!AL2,"AAAAAH+Xfb8=")</f>
        <v>#VALUE!</v>
      </c>
      <c r="GK28" t="e">
        <f>AND(medidas!AM2,"AAAAAH+XfcA=")</f>
        <v>#VALUE!</v>
      </c>
      <c r="GL28" t="e">
        <f>AND(medidas!AN2,"AAAAAH+XfcE=")</f>
        <v>#VALUE!</v>
      </c>
      <c r="GM28" t="e">
        <f>AND(medidas!AO2,"AAAAAH+XfcI=")</f>
        <v>#VALUE!</v>
      </c>
      <c r="GN28" t="e">
        <f>AND(medidas!AP2,"AAAAAH+XfcM=")</f>
        <v>#VALUE!</v>
      </c>
      <c r="GO28" t="e">
        <f>AND(medidas!AQ2,"AAAAAH+XfcQ=")</f>
        <v>#VALUE!</v>
      </c>
      <c r="GP28" t="e">
        <f>AND(medidas!AR2,"AAAAAH+XfcU=")</f>
        <v>#VALUE!</v>
      </c>
      <c r="GQ28" t="e">
        <f>AND(medidas!AS2,"AAAAAH+XfcY=")</f>
        <v>#VALUE!</v>
      </c>
      <c r="GR28" t="e">
        <f>AND(medidas!AT2,"AAAAAH+Xfcc=")</f>
        <v>#VALUE!</v>
      </c>
      <c r="GS28" t="e">
        <f>AND(medidas!AU2,"AAAAAH+Xfcg=")</f>
        <v>#VALUE!</v>
      </c>
      <c r="GT28" t="e">
        <f>AND(medidas!AV2,"AAAAAH+Xfck=")</f>
        <v>#VALUE!</v>
      </c>
      <c r="GU28" t="e">
        <f>AND(medidas!AW2,"AAAAAH+Xfco=")</f>
        <v>#VALUE!</v>
      </c>
      <c r="GV28" t="e">
        <f>AND(medidas!AX2,"AAAAAH+Xfcs=")</f>
        <v>#VALUE!</v>
      </c>
      <c r="GW28" t="e">
        <f>AND(medidas!AY2,"AAAAAH+Xfcw=")</f>
        <v>#VALUE!</v>
      </c>
      <c r="GX28" t="e">
        <f>AND(medidas!AZ2,"AAAAAH+Xfc0=")</f>
        <v>#VALUE!</v>
      </c>
      <c r="GY28" t="e">
        <f>AND(medidas!BA2,"AAAAAH+Xfc4=")</f>
        <v>#VALUE!</v>
      </c>
      <c r="GZ28" t="e">
        <f>AND(medidas!BB2,"AAAAAH+Xfc8=")</f>
        <v>#VALUE!</v>
      </c>
      <c r="HA28" t="e">
        <f>AND(medidas!BC2,"AAAAAH+XfdA=")</f>
        <v>#VALUE!</v>
      </c>
      <c r="HB28" t="e">
        <f>AND(medidas!BD2,"AAAAAH+XfdE=")</f>
        <v>#VALUE!</v>
      </c>
      <c r="HC28" t="e">
        <f>AND(medidas!BE2,"AAAAAH+XfdI=")</f>
        <v>#VALUE!</v>
      </c>
      <c r="HD28" t="e">
        <f>AND(medidas!BF2,"AAAAAH+XfdM=")</f>
        <v>#VALUE!</v>
      </c>
      <c r="HE28" t="e">
        <f>AND(medidas!BG2,"AAAAAH+XfdQ=")</f>
        <v>#VALUE!</v>
      </c>
      <c r="HF28" t="e">
        <f>AND(medidas!BH2,"AAAAAH+XfdU=")</f>
        <v>#VALUE!</v>
      </c>
      <c r="HG28" t="e">
        <f>AND(medidas!BI2,"AAAAAH+XfdY=")</f>
        <v>#VALUE!</v>
      </c>
      <c r="HH28" t="e">
        <f>AND(medidas!BJ2,"AAAAAH+Xfdc=")</f>
        <v>#VALUE!</v>
      </c>
      <c r="HI28" t="e">
        <f>AND(medidas!BK2,"AAAAAH+Xfdg=")</f>
        <v>#VALUE!</v>
      </c>
      <c r="HJ28" t="e">
        <f>AND(medidas!BL2,"AAAAAH+Xfdk=")</f>
        <v>#VALUE!</v>
      </c>
      <c r="HK28" t="e">
        <f>AND(medidas!BM2,"AAAAAH+Xfdo=")</f>
        <v>#VALUE!</v>
      </c>
      <c r="HL28" t="e">
        <f>AND(medidas!BN2,"AAAAAH+Xfds=")</f>
        <v>#VALUE!</v>
      </c>
      <c r="HM28" t="e">
        <f>AND(medidas!BO2,"AAAAAH+Xfdw=")</f>
        <v>#VALUE!</v>
      </c>
      <c r="HN28" t="e">
        <f>AND(medidas!BP2,"AAAAAH+Xfd0=")</f>
        <v>#VALUE!</v>
      </c>
      <c r="HO28" t="e">
        <f>AND(medidas!BQ2,"AAAAAH+Xfd4=")</f>
        <v>#VALUE!</v>
      </c>
      <c r="HP28" t="e">
        <f>AND(medidas!BR2,"AAAAAH+Xfd8=")</f>
        <v>#VALUE!</v>
      </c>
      <c r="HQ28" t="e">
        <f>AND(medidas!BS2,"AAAAAH+XfeA=")</f>
        <v>#VALUE!</v>
      </c>
      <c r="HR28" t="e">
        <f>AND(medidas!BT2,"AAAAAH+XfeE=")</f>
        <v>#VALUE!</v>
      </c>
      <c r="HS28" t="e">
        <f>AND(medidas!BU2,"AAAAAH+XfeI=")</f>
        <v>#VALUE!</v>
      </c>
      <c r="HT28" t="e">
        <f>AND(medidas!BV2,"AAAAAH+XfeM=")</f>
        <v>#VALUE!</v>
      </c>
      <c r="HU28" t="e">
        <f>AND(medidas!BW2,"AAAAAH+XfeQ=")</f>
        <v>#VALUE!</v>
      </c>
      <c r="HV28" t="e">
        <f>AND(medidas!BX2,"AAAAAH+XfeU=")</f>
        <v>#VALUE!</v>
      </c>
      <c r="HW28" t="e">
        <f>AND(medidas!BY2,"AAAAAH+XfeY=")</f>
        <v>#VALUE!</v>
      </c>
      <c r="HX28">
        <f>IF(medidas!3:3,"AAAAAH+Xfec=",0)</f>
        <v>0</v>
      </c>
      <c r="HY28" t="e">
        <f>AND(medidas!B3,"AAAAAH+Xfeg=")</f>
        <v>#VALUE!</v>
      </c>
      <c r="HZ28" t="e">
        <f>AND(medidas!C3,"AAAAAH+Xfek=")</f>
        <v>#VALUE!</v>
      </c>
      <c r="IA28" t="e">
        <f>AND(medidas!D3,"AAAAAH+Xfeo=")</f>
        <v>#VALUE!</v>
      </c>
      <c r="IB28" t="e">
        <f>AND(medidas!E3,"AAAAAH+Xfes=")</f>
        <v>#VALUE!</v>
      </c>
      <c r="IC28" t="e">
        <f>AND(medidas!F3,"AAAAAH+Xfew=")</f>
        <v>#VALUE!</v>
      </c>
      <c r="ID28" t="e">
        <f>AND(medidas!G3,"AAAAAH+Xfe0=")</f>
        <v>#VALUE!</v>
      </c>
      <c r="IE28" t="e">
        <f>AND(medidas!H3,"AAAAAH+Xfe4=")</f>
        <v>#VALUE!</v>
      </c>
      <c r="IF28" t="e">
        <f>AND(medidas!I3,"AAAAAH+Xfe8=")</f>
        <v>#VALUE!</v>
      </c>
      <c r="IG28" t="e">
        <f>AND(medidas!J3,"AAAAAH+XffA=")</f>
        <v>#VALUE!</v>
      </c>
      <c r="IH28" t="e">
        <f>AND(medidas!K3,"AAAAAH+XffE=")</f>
        <v>#VALUE!</v>
      </c>
      <c r="II28" t="e">
        <f>AND(medidas!L3,"AAAAAH+XffI=")</f>
        <v>#VALUE!</v>
      </c>
      <c r="IJ28" t="e">
        <f>AND(medidas!M3,"AAAAAH+XffM=")</f>
        <v>#VALUE!</v>
      </c>
      <c r="IK28" t="e">
        <f>AND(medidas!N3,"AAAAAH+XffQ=")</f>
        <v>#VALUE!</v>
      </c>
      <c r="IL28" t="e">
        <f>AND(medidas!O3,"AAAAAH+XffU=")</f>
        <v>#VALUE!</v>
      </c>
      <c r="IM28" t="e">
        <f>AND(medidas!P3,"AAAAAH+XffY=")</f>
        <v>#VALUE!</v>
      </c>
      <c r="IN28" t="e">
        <f>AND(medidas!Q3,"AAAAAH+Xffc=")</f>
        <v>#VALUE!</v>
      </c>
      <c r="IO28" t="e">
        <f>AND(medidas!R3,"AAAAAH+Xffg=")</f>
        <v>#VALUE!</v>
      </c>
      <c r="IP28" t="e">
        <f>AND(medidas!S3,"AAAAAH+Xffk=")</f>
        <v>#VALUE!</v>
      </c>
      <c r="IQ28" t="e">
        <f>AND(medidas!T3,"AAAAAH+Xffo=")</f>
        <v>#VALUE!</v>
      </c>
      <c r="IR28" t="e">
        <f>AND(medidas!U3,"AAAAAH+Xffs=")</f>
        <v>#VALUE!</v>
      </c>
      <c r="IS28" t="e">
        <f>AND(medidas!V3,"AAAAAH+Xffw=")</f>
        <v>#VALUE!</v>
      </c>
      <c r="IT28" t="e">
        <f>AND(medidas!W3,"AAAAAH+Xff0=")</f>
        <v>#VALUE!</v>
      </c>
      <c r="IU28" t="e">
        <f>AND(medidas!X3,"AAAAAH+Xff4=")</f>
        <v>#VALUE!</v>
      </c>
      <c r="IV28" t="e">
        <f>AND(medidas!Y3,"AAAAAH+Xff8=")</f>
        <v>#VALUE!</v>
      </c>
    </row>
    <row r="29" spans="1:256" x14ac:dyDescent="0.2">
      <c r="A29" t="e">
        <f>AND(medidas!Z3,"AAAAAHv/rQA=")</f>
        <v>#VALUE!</v>
      </c>
      <c r="B29" t="e">
        <f>AND(medidas!AA3,"AAAAAHv/rQE=")</f>
        <v>#VALUE!</v>
      </c>
      <c r="C29" t="e">
        <f>AND(medidas!AB3,"AAAAAHv/rQI=")</f>
        <v>#VALUE!</v>
      </c>
      <c r="D29" t="e">
        <f>AND(medidas!AC3,"AAAAAHv/rQM=")</f>
        <v>#VALUE!</v>
      </c>
      <c r="E29" t="e">
        <f>AND(medidas!AD3,"AAAAAHv/rQQ=")</f>
        <v>#VALUE!</v>
      </c>
      <c r="F29" t="e">
        <f>AND(medidas!AE3,"AAAAAHv/rQU=")</f>
        <v>#VALUE!</v>
      </c>
      <c r="G29" t="e">
        <f>AND(medidas!AF3,"AAAAAHv/rQY=")</f>
        <v>#VALUE!</v>
      </c>
      <c r="H29" t="e">
        <f>AND(medidas!AG3,"AAAAAHv/rQc=")</f>
        <v>#VALUE!</v>
      </c>
      <c r="I29" t="e">
        <f>AND(medidas!AH3,"AAAAAHv/rQg=")</f>
        <v>#VALUE!</v>
      </c>
      <c r="J29" t="e">
        <f>AND(medidas!AI3,"AAAAAHv/rQk=")</f>
        <v>#VALUE!</v>
      </c>
      <c r="K29" t="e">
        <f>AND(medidas!AJ3,"AAAAAHv/rQo=")</f>
        <v>#VALUE!</v>
      </c>
      <c r="L29" t="e">
        <f>AND(medidas!AK3,"AAAAAHv/rQs=")</f>
        <v>#VALUE!</v>
      </c>
      <c r="M29" t="e">
        <f>AND(medidas!AL3,"AAAAAHv/rQw=")</f>
        <v>#VALUE!</v>
      </c>
      <c r="N29" t="e">
        <f>AND(medidas!AM3,"AAAAAHv/rQ0=")</f>
        <v>#VALUE!</v>
      </c>
      <c r="O29" t="e">
        <f>AND(medidas!AN3,"AAAAAHv/rQ4=")</f>
        <v>#VALUE!</v>
      </c>
      <c r="P29" t="e">
        <f>AND(medidas!AO3,"AAAAAHv/rQ8=")</f>
        <v>#VALUE!</v>
      </c>
      <c r="Q29" t="e">
        <f>AND(medidas!AP3,"AAAAAHv/rRA=")</f>
        <v>#VALUE!</v>
      </c>
      <c r="R29" t="e">
        <f>AND(medidas!AQ3,"AAAAAHv/rRE=")</f>
        <v>#VALUE!</v>
      </c>
      <c r="S29" t="e">
        <f>AND(medidas!AR3,"AAAAAHv/rRI=")</f>
        <v>#VALUE!</v>
      </c>
      <c r="T29" t="e">
        <f>AND(medidas!AS3,"AAAAAHv/rRM=")</f>
        <v>#VALUE!</v>
      </c>
      <c r="U29" t="e">
        <f>AND(medidas!AT3,"AAAAAHv/rRQ=")</f>
        <v>#VALUE!</v>
      </c>
      <c r="V29" t="e">
        <f>AND(medidas!AU3,"AAAAAHv/rRU=")</f>
        <v>#VALUE!</v>
      </c>
      <c r="W29" t="e">
        <f>AND(medidas!AV3,"AAAAAHv/rRY=")</f>
        <v>#VALUE!</v>
      </c>
      <c r="X29" t="e">
        <f>AND(medidas!AW3,"AAAAAHv/rRc=")</f>
        <v>#VALUE!</v>
      </c>
      <c r="Y29" t="e">
        <f>AND(medidas!AX3,"AAAAAHv/rRg=")</f>
        <v>#VALUE!</v>
      </c>
      <c r="Z29" t="e">
        <f>AND(medidas!AY3,"AAAAAHv/rRk=")</f>
        <v>#VALUE!</v>
      </c>
      <c r="AA29" t="e">
        <f>AND(medidas!AZ3,"AAAAAHv/rRo=")</f>
        <v>#VALUE!</v>
      </c>
      <c r="AB29" t="e">
        <f>AND(medidas!BA3,"AAAAAHv/rRs=")</f>
        <v>#VALUE!</v>
      </c>
      <c r="AC29" t="e">
        <f>AND(medidas!BB3,"AAAAAHv/rRw=")</f>
        <v>#VALUE!</v>
      </c>
      <c r="AD29" t="e">
        <f>AND(medidas!BC3,"AAAAAHv/rR0=")</f>
        <v>#VALUE!</v>
      </c>
      <c r="AE29" t="e">
        <f>AND(medidas!BD3,"AAAAAHv/rR4=")</f>
        <v>#VALUE!</v>
      </c>
      <c r="AF29" t="e">
        <f>AND(medidas!BE3,"AAAAAHv/rR8=")</f>
        <v>#VALUE!</v>
      </c>
      <c r="AG29" t="e">
        <f>AND(medidas!BF3,"AAAAAHv/rSA=")</f>
        <v>#VALUE!</v>
      </c>
      <c r="AH29" t="e">
        <f>AND(medidas!BG3,"AAAAAHv/rSE=")</f>
        <v>#VALUE!</v>
      </c>
      <c r="AI29" t="e">
        <f>AND(medidas!BH3,"AAAAAHv/rSI=")</f>
        <v>#VALUE!</v>
      </c>
      <c r="AJ29" t="e">
        <f>AND(medidas!BI3,"AAAAAHv/rSM=")</f>
        <v>#VALUE!</v>
      </c>
      <c r="AK29" t="e">
        <f>AND(medidas!BJ3,"AAAAAHv/rSQ=")</f>
        <v>#VALUE!</v>
      </c>
      <c r="AL29" t="e">
        <f>AND(medidas!BK3,"AAAAAHv/rSU=")</f>
        <v>#VALUE!</v>
      </c>
      <c r="AM29" t="e">
        <f>AND(medidas!BL3,"AAAAAHv/rSY=")</f>
        <v>#VALUE!</v>
      </c>
      <c r="AN29" t="e">
        <f>AND(medidas!BM3,"AAAAAHv/rSc=")</f>
        <v>#VALUE!</v>
      </c>
      <c r="AO29" t="e">
        <f>AND(medidas!BN3,"AAAAAHv/rSg=")</f>
        <v>#VALUE!</v>
      </c>
      <c r="AP29" t="e">
        <f>AND(medidas!BO3,"AAAAAHv/rSk=")</f>
        <v>#VALUE!</v>
      </c>
      <c r="AQ29" t="e">
        <f>AND(medidas!BP3,"AAAAAHv/rSo=")</f>
        <v>#VALUE!</v>
      </c>
      <c r="AR29" t="e">
        <f>AND(medidas!BQ3,"AAAAAHv/rSs=")</f>
        <v>#VALUE!</v>
      </c>
      <c r="AS29" t="e">
        <f>AND(medidas!BR3,"AAAAAHv/rSw=")</f>
        <v>#VALUE!</v>
      </c>
      <c r="AT29" t="e">
        <f>AND(medidas!BS3,"AAAAAHv/rS0=")</f>
        <v>#VALUE!</v>
      </c>
      <c r="AU29" t="e">
        <f>AND(medidas!BT3,"AAAAAHv/rS4=")</f>
        <v>#VALUE!</v>
      </c>
      <c r="AV29" t="e">
        <f>AND(medidas!BU3,"AAAAAHv/rS8=")</f>
        <v>#VALUE!</v>
      </c>
      <c r="AW29" t="e">
        <f>AND(medidas!BV3,"AAAAAHv/rTA=")</f>
        <v>#VALUE!</v>
      </c>
      <c r="AX29" t="e">
        <f>AND(medidas!BW3,"AAAAAHv/rTE=")</f>
        <v>#VALUE!</v>
      </c>
      <c r="AY29" t="e">
        <f>AND(medidas!BX3,"AAAAAHv/rTI=")</f>
        <v>#VALUE!</v>
      </c>
      <c r="AZ29" t="e">
        <f>AND(medidas!BY3,"AAAAAHv/rTM=")</f>
        <v>#VALUE!</v>
      </c>
      <c r="BA29">
        <f>IF(medidas!5:5,"AAAAAHv/rTQ=",0)</f>
        <v>0</v>
      </c>
      <c r="BB29" t="e">
        <f>AND(medidas!B5,"AAAAAHv/rTU=")</f>
        <v>#VALUE!</v>
      </c>
      <c r="BC29" t="e">
        <f>AND(medidas!C5,"AAAAAHv/rTY=")</f>
        <v>#VALUE!</v>
      </c>
      <c r="BD29" t="e">
        <f>AND(medidas!D5,"AAAAAHv/rTc=")</f>
        <v>#VALUE!</v>
      </c>
      <c r="BE29" t="e">
        <f>AND(medidas!E5,"AAAAAHv/rTg=")</f>
        <v>#VALUE!</v>
      </c>
      <c r="BF29" t="e">
        <f>AND(medidas!F5,"AAAAAHv/rTk=")</f>
        <v>#VALUE!</v>
      </c>
      <c r="BG29" t="e">
        <f>AND(medidas!G5,"AAAAAHv/rTo=")</f>
        <v>#VALUE!</v>
      </c>
      <c r="BH29" t="e">
        <f>AND(medidas!H5,"AAAAAHv/rTs=")</f>
        <v>#VALUE!</v>
      </c>
      <c r="BI29" t="e">
        <f>AND(medidas!I5,"AAAAAHv/rTw=")</f>
        <v>#VALUE!</v>
      </c>
      <c r="BJ29" t="e">
        <f>AND(medidas!J5,"AAAAAHv/rT0=")</f>
        <v>#VALUE!</v>
      </c>
      <c r="BK29" t="e">
        <f>AND(medidas!K5,"AAAAAHv/rT4=")</f>
        <v>#VALUE!</v>
      </c>
      <c r="BL29" t="e">
        <f>AND(medidas!L5,"AAAAAHv/rT8=")</f>
        <v>#VALUE!</v>
      </c>
      <c r="BM29" t="e">
        <f>AND(medidas!M5,"AAAAAHv/rUA=")</f>
        <v>#VALUE!</v>
      </c>
      <c r="BN29" t="e">
        <f>AND(medidas!N5,"AAAAAHv/rUE=")</f>
        <v>#VALUE!</v>
      </c>
      <c r="BO29" t="e">
        <f>AND(medidas!O5,"AAAAAHv/rUI=")</f>
        <v>#VALUE!</v>
      </c>
      <c r="BP29" t="e">
        <f>AND(medidas!P5,"AAAAAHv/rUM=")</f>
        <v>#VALUE!</v>
      </c>
      <c r="BQ29" t="e">
        <f>AND(medidas!Q5,"AAAAAHv/rUQ=")</f>
        <v>#VALUE!</v>
      </c>
      <c r="BR29" t="e">
        <f>AND(medidas!R5,"AAAAAHv/rUU=")</f>
        <v>#VALUE!</v>
      </c>
      <c r="BS29" t="e">
        <f>AND(medidas!S5,"AAAAAHv/rUY=")</f>
        <v>#VALUE!</v>
      </c>
      <c r="BT29" t="e">
        <f>AND(medidas!T5,"AAAAAHv/rUc=")</f>
        <v>#VALUE!</v>
      </c>
      <c r="BU29" t="e">
        <f>AND(medidas!U5,"AAAAAHv/rUg=")</f>
        <v>#VALUE!</v>
      </c>
      <c r="BV29" t="e">
        <f>AND(medidas!V5,"AAAAAHv/rUk=")</f>
        <v>#VALUE!</v>
      </c>
      <c r="BW29" t="e">
        <f>AND(medidas!W5,"AAAAAHv/rUo=")</f>
        <v>#VALUE!</v>
      </c>
      <c r="BX29" t="e">
        <f>AND(medidas!X5,"AAAAAHv/rUs=")</f>
        <v>#VALUE!</v>
      </c>
      <c r="BY29" t="e">
        <f>AND(medidas!Y5,"AAAAAHv/rUw=")</f>
        <v>#VALUE!</v>
      </c>
      <c r="BZ29" t="e">
        <f>AND(medidas!Z5,"AAAAAHv/rU0=")</f>
        <v>#VALUE!</v>
      </c>
      <c r="CA29" t="e">
        <f>AND(medidas!AA5,"AAAAAHv/rU4=")</f>
        <v>#VALUE!</v>
      </c>
      <c r="CB29" t="e">
        <f>AND(medidas!AB5,"AAAAAHv/rU8=")</f>
        <v>#VALUE!</v>
      </c>
      <c r="CC29" t="e">
        <f>AND(medidas!AC5,"AAAAAHv/rVA=")</f>
        <v>#VALUE!</v>
      </c>
      <c r="CD29" t="e">
        <f>AND(medidas!AD5,"AAAAAHv/rVE=")</f>
        <v>#VALUE!</v>
      </c>
      <c r="CE29" t="e">
        <f>AND(medidas!AE5,"AAAAAHv/rVI=")</f>
        <v>#VALUE!</v>
      </c>
      <c r="CF29" t="e">
        <f>AND(medidas!AF5,"AAAAAHv/rVM=")</f>
        <v>#VALUE!</v>
      </c>
      <c r="CG29" t="e">
        <f>AND(medidas!AG5,"AAAAAHv/rVQ=")</f>
        <v>#VALUE!</v>
      </c>
      <c r="CH29" t="e">
        <f>AND(medidas!AH5,"AAAAAHv/rVU=")</f>
        <v>#VALUE!</v>
      </c>
      <c r="CI29" t="e">
        <f>AND(medidas!AI5,"AAAAAHv/rVY=")</f>
        <v>#VALUE!</v>
      </c>
      <c r="CJ29" t="e">
        <f>AND(medidas!AJ5,"AAAAAHv/rVc=")</f>
        <v>#VALUE!</v>
      </c>
      <c r="CK29" t="e">
        <f>AND(medidas!AK5,"AAAAAHv/rVg=")</f>
        <v>#VALUE!</v>
      </c>
      <c r="CL29" t="e">
        <f>AND(medidas!AL5,"AAAAAHv/rVk=")</f>
        <v>#VALUE!</v>
      </c>
      <c r="CM29" t="e">
        <f>AND(medidas!AM5,"AAAAAHv/rVo=")</f>
        <v>#VALUE!</v>
      </c>
      <c r="CN29" t="e">
        <f>AND(medidas!AN5,"AAAAAHv/rVs=")</f>
        <v>#VALUE!</v>
      </c>
      <c r="CO29" t="e">
        <f>AND(medidas!AO5,"AAAAAHv/rVw=")</f>
        <v>#VALUE!</v>
      </c>
      <c r="CP29" t="e">
        <f>AND(medidas!AP5,"AAAAAHv/rV0=")</f>
        <v>#VALUE!</v>
      </c>
      <c r="CQ29" t="e">
        <f>AND(medidas!AQ5,"AAAAAHv/rV4=")</f>
        <v>#VALUE!</v>
      </c>
      <c r="CR29" t="e">
        <f>AND(medidas!AR5,"AAAAAHv/rV8=")</f>
        <v>#VALUE!</v>
      </c>
      <c r="CS29" t="e">
        <f>AND(medidas!AS5,"AAAAAHv/rWA=")</f>
        <v>#VALUE!</v>
      </c>
      <c r="CT29" t="e">
        <f>AND(medidas!AT5,"AAAAAHv/rWE=")</f>
        <v>#VALUE!</v>
      </c>
      <c r="CU29" t="e">
        <f>AND(medidas!AU5,"AAAAAHv/rWI=")</f>
        <v>#VALUE!</v>
      </c>
      <c r="CV29" t="e">
        <f>AND(medidas!AV5,"AAAAAHv/rWM=")</f>
        <v>#VALUE!</v>
      </c>
      <c r="CW29" t="e">
        <f>AND(medidas!AW5,"AAAAAHv/rWQ=")</f>
        <v>#VALUE!</v>
      </c>
      <c r="CX29" t="e">
        <f>AND(medidas!AX5,"AAAAAHv/rWU=")</f>
        <v>#VALUE!</v>
      </c>
      <c r="CY29" t="e">
        <f>AND(medidas!AY5,"AAAAAHv/rWY=")</f>
        <v>#VALUE!</v>
      </c>
      <c r="CZ29" t="e">
        <f>AND(medidas!AZ5,"AAAAAHv/rWc=")</f>
        <v>#VALUE!</v>
      </c>
      <c r="DA29" t="e">
        <f>AND(medidas!BA5,"AAAAAHv/rWg=")</f>
        <v>#VALUE!</v>
      </c>
      <c r="DB29" t="e">
        <f>AND(medidas!BB5,"AAAAAHv/rWk=")</f>
        <v>#VALUE!</v>
      </c>
      <c r="DC29" t="e">
        <f>AND(medidas!BC5,"AAAAAHv/rWo=")</f>
        <v>#VALUE!</v>
      </c>
      <c r="DD29" t="e">
        <f>AND(medidas!BD5,"AAAAAHv/rWs=")</f>
        <v>#VALUE!</v>
      </c>
      <c r="DE29" t="e">
        <f>AND(medidas!BE5,"AAAAAHv/rWw=")</f>
        <v>#VALUE!</v>
      </c>
      <c r="DF29" t="e">
        <f>AND(medidas!BF5,"AAAAAHv/rW0=")</f>
        <v>#VALUE!</v>
      </c>
      <c r="DG29" t="e">
        <f>AND(medidas!BG5,"AAAAAHv/rW4=")</f>
        <v>#VALUE!</v>
      </c>
      <c r="DH29" t="e">
        <f>AND(medidas!BH5,"AAAAAHv/rW8=")</f>
        <v>#VALUE!</v>
      </c>
      <c r="DI29" t="e">
        <f>AND(medidas!BI5,"AAAAAHv/rXA=")</f>
        <v>#VALUE!</v>
      </c>
      <c r="DJ29" t="e">
        <f>AND(medidas!BJ5,"AAAAAHv/rXE=")</f>
        <v>#VALUE!</v>
      </c>
      <c r="DK29" t="e">
        <f>AND(medidas!BK5,"AAAAAHv/rXI=")</f>
        <v>#VALUE!</v>
      </c>
      <c r="DL29" t="e">
        <f>AND(medidas!BL5,"AAAAAHv/rXM=")</f>
        <v>#VALUE!</v>
      </c>
      <c r="DM29" t="e">
        <f>AND(medidas!BM5,"AAAAAHv/rXQ=")</f>
        <v>#VALUE!</v>
      </c>
      <c r="DN29" t="e">
        <f>AND(medidas!BN5,"AAAAAHv/rXU=")</f>
        <v>#VALUE!</v>
      </c>
      <c r="DO29" t="e">
        <f>AND(medidas!BO5,"AAAAAHv/rXY=")</f>
        <v>#VALUE!</v>
      </c>
      <c r="DP29" t="e">
        <f>AND(medidas!BP5,"AAAAAHv/rXc=")</f>
        <v>#VALUE!</v>
      </c>
      <c r="DQ29" t="e">
        <f>AND(medidas!BQ5,"AAAAAHv/rXg=")</f>
        <v>#VALUE!</v>
      </c>
      <c r="DR29" t="e">
        <f>AND(medidas!BR5,"AAAAAHv/rXk=")</f>
        <v>#VALUE!</v>
      </c>
      <c r="DS29" t="e">
        <f>AND(medidas!BS5,"AAAAAHv/rXo=")</f>
        <v>#VALUE!</v>
      </c>
      <c r="DT29" t="e">
        <f>AND(medidas!BT5,"AAAAAHv/rXs=")</f>
        <v>#VALUE!</v>
      </c>
      <c r="DU29" t="e">
        <f>AND(medidas!BU5,"AAAAAHv/rXw=")</f>
        <v>#VALUE!</v>
      </c>
      <c r="DV29" t="e">
        <f>AND(medidas!BV5,"AAAAAHv/rX0=")</f>
        <v>#VALUE!</v>
      </c>
      <c r="DW29" t="e">
        <f>AND(medidas!BW5,"AAAAAHv/rX4=")</f>
        <v>#VALUE!</v>
      </c>
      <c r="DX29" t="e">
        <f>AND(medidas!BX5,"AAAAAHv/rX8=")</f>
        <v>#VALUE!</v>
      </c>
      <c r="DY29" t="e">
        <f>AND(medidas!BY5,"AAAAAHv/rYA=")</f>
        <v>#VALUE!</v>
      </c>
      <c r="DZ29">
        <f>IF(medidas!6:6,"AAAAAHv/rYE=",0)</f>
        <v>0</v>
      </c>
      <c r="EA29" t="e">
        <f>AND(medidas!B6,"AAAAAHv/rYI=")</f>
        <v>#VALUE!</v>
      </c>
      <c r="EB29" t="e">
        <f>AND(medidas!C6,"AAAAAHv/rYM=")</f>
        <v>#VALUE!</v>
      </c>
      <c r="EC29" t="e">
        <f>AND(medidas!D6,"AAAAAHv/rYQ=")</f>
        <v>#VALUE!</v>
      </c>
      <c r="ED29" t="e">
        <f>AND(medidas!E6,"AAAAAHv/rYU=")</f>
        <v>#VALUE!</v>
      </c>
      <c r="EE29" t="e">
        <f>AND(medidas!F6,"AAAAAHv/rYY=")</f>
        <v>#VALUE!</v>
      </c>
      <c r="EF29" t="e">
        <f>AND(medidas!G6,"AAAAAHv/rYc=")</f>
        <v>#VALUE!</v>
      </c>
      <c r="EG29" t="e">
        <f>AND(medidas!H6,"AAAAAHv/rYg=")</f>
        <v>#VALUE!</v>
      </c>
      <c r="EH29" t="e">
        <f>AND(medidas!I6,"AAAAAHv/rYk=")</f>
        <v>#VALUE!</v>
      </c>
      <c r="EI29" t="e">
        <f>AND(medidas!J6,"AAAAAHv/rYo=")</f>
        <v>#VALUE!</v>
      </c>
      <c r="EJ29" t="e">
        <f>AND(medidas!K6,"AAAAAHv/rYs=")</f>
        <v>#VALUE!</v>
      </c>
      <c r="EK29" t="e">
        <f>AND(medidas!L6,"AAAAAHv/rYw=")</f>
        <v>#VALUE!</v>
      </c>
      <c r="EL29" t="e">
        <f>AND(medidas!M6,"AAAAAHv/rY0=")</f>
        <v>#VALUE!</v>
      </c>
      <c r="EM29" t="e">
        <f>AND(medidas!N6,"AAAAAHv/rY4=")</f>
        <v>#VALUE!</v>
      </c>
      <c r="EN29" t="e">
        <f>AND(medidas!O6,"AAAAAHv/rY8=")</f>
        <v>#VALUE!</v>
      </c>
      <c r="EO29" t="e">
        <f>AND(medidas!P6,"AAAAAHv/rZA=")</f>
        <v>#VALUE!</v>
      </c>
      <c r="EP29" t="e">
        <f>AND(medidas!Q6,"AAAAAHv/rZE=")</f>
        <v>#VALUE!</v>
      </c>
      <c r="EQ29" t="e">
        <f>AND(medidas!R6,"AAAAAHv/rZI=")</f>
        <v>#VALUE!</v>
      </c>
      <c r="ER29" t="e">
        <f>AND(medidas!S6,"AAAAAHv/rZM=")</f>
        <v>#VALUE!</v>
      </c>
      <c r="ES29" t="e">
        <f>AND(medidas!T6,"AAAAAHv/rZQ=")</f>
        <v>#VALUE!</v>
      </c>
      <c r="ET29" t="e">
        <f>AND(medidas!U6,"AAAAAHv/rZU=")</f>
        <v>#VALUE!</v>
      </c>
      <c r="EU29" t="e">
        <f>AND(medidas!V6,"AAAAAHv/rZY=")</f>
        <v>#VALUE!</v>
      </c>
      <c r="EV29" t="e">
        <f>AND(medidas!W6,"AAAAAHv/rZc=")</f>
        <v>#VALUE!</v>
      </c>
      <c r="EW29" t="e">
        <f>AND(medidas!X6,"AAAAAHv/rZg=")</f>
        <v>#VALUE!</v>
      </c>
      <c r="EX29" t="e">
        <f>AND(medidas!Y6,"AAAAAHv/rZk=")</f>
        <v>#VALUE!</v>
      </c>
      <c r="EY29" t="e">
        <f>AND(medidas!Z6,"AAAAAHv/rZo=")</f>
        <v>#VALUE!</v>
      </c>
      <c r="EZ29" t="e">
        <f>AND(medidas!AA6,"AAAAAHv/rZs=")</f>
        <v>#VALUE!</v>
      </c>
      <c r="FA29" t="e">
        <f>AND(medidas!AB6,"AAAAAHv/rZw=")</f>
        <v>#VALUE!</v>
      </c>
      <c r="FB29" t="e">
        <f>AND(medidas!AC6,"AAAAAHv/rZ0=")</f>
        <v>#VALUE!</v>
      </c>
      <c r="FC29" t="e">
        <f>AND(medidas!AD6,"AAAAAHv/rZ4=")</f>
        <v>#VALUE!</v>
      </c>
      <c r="FD29" t="e">
        <f>AND(medidas!AE6,"AAAAAHv/rZ8=")</f>
        <v>#VALUE!</v>
      </c>
      <c r="FE29" t="e">
        <f>AND(medidas!AF6,"AAAAAHv/raA=")</f>
        <v>#VALUE!</v>
      </c>
      <c r="FF29" t="e">
        <f>AND(medidas!AG6,"AAAAAHv/raE=")</f>
        <v>#VALUE!</v>
      </c>
      <c r="FG29" t="e">
        <f>AND(medidas!AH6,"AAAAAHv/raI=")</f>
        <v>#VALUE!</v>
      </c>
      <c r="FH29" t="e">
        <f>AND(medidas!AI6,"AAAAAHv/raM=")</f>
        <v>#VALUE!</v>
      </c>
      <c r="FI29" t="e">
        <f>AND(medidas!AJ6,"AAAAAHv/raQ=")</f>
        <v>#VALUE!</v>
      </c>
      <c r="FJ29" t="e">
        <f>AND(medidas!AK6,"AAAAAHv/raU=")</f>
        <v>#VALUE!</v>
      </c>
      <c r="FK29" t="e">
        <f>AND(medidas!AL6,"AAAAAHv/raY=")</f>
        <v>#VALUE!</v>
      </c>
      <c r="FL29" t="e">
        <f>AND(medidas!AM6,"AAAAAHv/rac=")</f>
        <v>#VALUE!</v>
      </c>
      <c r="FM29" t="e">
        <f>AND(medidas!AN6,"AAAAAHv/rag=")</f>
        <v>#VALUE!</v>
      </c>
      <c r="FN29" t="e">
        <f>AND(medidas!AO6,"AAAAAHv/rak=")</f>
        <v>#VALUE!</v>
      </c>
      <c r="FO29" t="e">
        <f>AND(medidas!AP6,"AAAAAHv/rao=")</f>
        <v>#VALUE!</v>
      </c>
      <c r="FP29" t="e">
        <f>AND(medidas!AQ6,"AAAAAHv/ras=")</f>
        <v>#VALUE!</v>
      </c>
      <c r="FQ29" t="e">
        <f>AND(medidas!AR6,"AAAAAHv/raw=")</f>
        <v>#VALUE!</v>
      </c>
      <c r="FR29" t="e">
        <f>AND(medidas!AS6,"AAAAAHv/ra0=")</f>
        <v>#VALUE!</v>
      </c>
      <c r="FS29" t="e">
        <f>AND(medidas!AT6,"AAAAAHv/ra4=")</f>
        <v>#VALUE!</v>
      </c>
      <c r="FT29" t="e">
        <f>AND(medidas!AU6,"AAAAAHv/ra8=")</f>
        <v>#VALUE!</v>
      </c>
      <c r="FU29" t="e">
        <f>AND(medidas!AV6,"AAAAAHv/rbA=")</f>
        <v>#VALUE!</v>
      </c>
      <c r="FV29" t="e">
        <f>AND(medidas!AW6,"AAAAAHv/rbE=")</f>
        <v>#VALUE!</v>
      </c>
      <c r="FW29" t="e">
        <f>AND(medidas!AX6,"AAAAAHv/rbI=")</f>
        <v>#VALUE!</v>
      </c>
      <c r="FX29" t="e">
        <f>AND(medidas!AY6,"AAAAAHv/rbM=")</f>
        <v>#VALUE!</v>
      </c>
      <c r="FY29" t="e">
        <f>AND(medidas!AZ6,"AAAAAHv/rbQ=")</f>
        <v>#VALUE!</v>
      </c>
      <c r="FZ29" t="e">
        <f>AND(medidas!BA6,"AAAAAHv/rbU=")</f>
        <v>#VALUE!</v>
      </c>
      <c r="GA29" t="e">
        <f>AND(medidas!BB6,"AAAAAHv/rbY=")</f>
        <v>#VALUE!</v>
      </c>
      <c r="GB29" t="e">
        <f>AND(medidas!BC6,"AAAAAHv/rbc=")</f>
        <v>#VALUE!</v>
      </c>
      <c r="GC29" t="e">
        <f>AND(medidas!BD6,"AAAAAHv/rbg=")</f>
        <v>#VALUE!</v>
      </c>
      <c r="GD29" t="e">
        <f>AND(medidas!BE6,"AAAAAHv/rbk=")</f>
        <v>#VALUE!</v>
      </c>
      <c r="GE29" t="e">
        <f>AND(medidas!BF6,"AAAAAHv/rbo=")</f>
        <v>#VALUE!</v>
      </c>
      <c r="GF29" t="e">
        <f>AND(medidas!BG6,"AAAAAHv/rbs=")</f>
        <v>#VALUE!</v>
      </c>
      <c r="GG29" t="e">
        <f>AND(medidas!BH6,"AAAAAHv/rbw=")</f>
        <v>#VALUE!</v>
      </c>
      <c r="GH29" t="e">
        <f>AND(medidas!BI6,"AAAAAHv/rb0=")</f>
        <v>#VALUE!</v>
      </c>
      <c r="GI29" t="e">
        <f>AND(medidas!BJ6,"AAAAAHv/rb4=")</f>
        <v>#VALUE!</v>
      </c>
      <c r="GJ29" t="e">
        <f>AND(medidas!BK6,"AAAAAHv/rb8=")</f>
        <v>#VALUE!</v>
      </c>
      <c r="GK29" t="e">
        <f>AND(medidas!BL6,"AAAAAHv/rcA=")</f>
        <v>#VALUE!</v>
      </c>
      <c r="GL29" t="e">
        <f>AND(medidas!BM6,"AAAAAHv/rcE=")</f>
        <v>#VALUE!</v>
      </c>
      <c r="GM29" t="e">
        <f>AND(medidas!BN6,"AAAAAHv/rcI=")</f>
        <v>#VALUE!</v>
      </c>
      <c r="GN29" t="e">
        <f>AND(medidas!BO6,"AAAAAHv/rcM=")</f>
        <v>#VALUE!</v>
      </c>
      <c r="GO29" t="e">
        <f>AND(medidas!BP6,"AAAAAHv/rcQ=")</f>
        <v>#VALUE!</v>
      </c>
      <c r="GP29" t="e">
        <f>AND(medidas!BQ6,"AAAAAHv/rcU=")</f>
        <v>#VALUE!</v>
      </c>
      <c r="GQ29" t="e">
        <f>AND(medidas!BR6,"AAAAAHv/rcY=")</f>
        <v>#VALUE!</v>
      </c>
      <c r="GR29" t="e">
        <f>AND(medidas!BS6,"AAAAAHv/rcc=")</f>
        <v>#VALUE!</v>
      </c>
      <c r="GS29" t="e">
        <f>AND(medidas!BT6,"AAAAAHv/rcg=")</f>
        <v>#VALUE!</v>
      </c>
      <c r="GT29" t="e">
        <f>AND(medidas!BU6,"AAAAAHv/rck=")</f>
        <v>#VALUE!</v>
      </c>
      <c r="GU29" t="e">
        <f>AND(medidas!BV6,"AAAAAHv/rco=")</f>
        <v>#VALUE!</v>
      </c>
      <c r="GV29" t="e">
        <f>AND(medidas!BW6,"AAAAAHv/rcs=")</f>
        <v>#VALUE!</v>
      </c>
      <c r="GW29" t="e">
        <f>AND(medidas!BX6,"AAAAAHv/rcw=")</f>
        <v>#VALUE!</v>
      </c>
      <c r="GX29" t="e">
        <f>AND(medidas!BY6,"AAAAAHv/rc0=")</f>
        <v>#VALUE!</v>
      </c>
      <c r="GY29">
        <f>IF(medidas!7:7,"AAAAAHv/rc4=",0)</f>
        <v>0</v>
      </c>
      <c r="GZ29" t="e">
        <f>AND(medidas!B7,"AAAAAHv/rc8=")</f>
        <v>#VALUE!</v>
      </c>
      <c r="HA29" t="e">
        <f>AND(medidas!C7,"AAAAAHv/rdA=")</f>
        <v>#VALUE!</v>
      </c>
      <c r="HB29" t="e">
        <f>AND(medidas!D7,"AAAAAHv/rdE=")</f>
        <v>#VALUE!</v>
      </c>
      <c r="HC29" t="e">
        <f>AND(medidas!E7,"AAAAAHv/rdI=")</f>
        <v>#VALUE!</v>
      </c>
      <c r="HD29" t="e">
        <f>AND(medidas!F7,"AAAAAHv/rdM=")</f>
        <v>#VALUE!</v>
      </c>
      <c r="HE29" t="e">
        <f>AND(medidas!G7,"AAAAAHv/rdQ=")</f>
        <v>#VALUE!</v>
      </c>
      <c r="HF29" t="e">
        <f>AND(medidas!H7,"AAAAAHv/rdU=")</f>
        <v>#VALUE!</v>
      </c>
      <c r="HG29" t="e">
        <f>AND(medidas!I7,"AAAAAHv/rdY=")</f>
        <v>#VALUE!</v>
      </c>
      <c r="HH29" t="e">
        <f>AND(medidas!J7,"AAAAAHv/rdc=")</f>
        <v>#VALUE!</v>
      </c>
      <c r="HI29" t="e">
        <f>AND(medidas!K7,"AAAAAHv/rdg=")</f>
        <v>#VALUE!</v>
      </c>
      <c r="HJ29" t="e">
        <f>AND(medidas!L7,"AAAAAHv/rdk=")</f>
        <v>#VALUE!</v>
      </c>
      <c r="HK29" t="e">
        <f>AND(medidas!M7,"AAAAAHv/rdo=")</f>
        <v>#VALUE!</v>
      </c>
      <c r="HL29" t="e">
        <f>AND(medidas!N7,"AAAAAHv/rds=")</f>
        <v>#VALUE!</v>
      </c>
      <c r="HM29" t="e">
        <f>AND(medidas!O7,"AAAAAHv/rdw=")</f>
        <v>#VALUE!</v>
      </c>
      <c r="HN29" t="e">
        <f>AND(medidas!P7,"AAAAAHv/rd0=")</f>
        <v>#VALUE!</v>
      </c>
      <c r="HO29" t="e">
        <f>AND(medidas!Q7,"AAAAAHv/rd4=")</f>
        <v>#VALUE!</v>
      </c>
      <c r="HP29" t="e">
        <f>AND(medidas!R7,"AAAAAHv/rd8=")</f>
        <v>#VALUE!</v>
      </c>
      <c r="HQ29" t="e">
        <f>AND(medidas!S7,"AAAAAHv/reA=")</f>
        <v>#VALUE!</v>
      </c>
      <c r="HR29" t="e">
        <f>AND(medidas!T7,"AAAAAHv/reE=")</f>
        <v>#VALUE!</v>
      </c>
      <c r="HS29" t="e">
        <f>AND(medidas!U7,"AAAAAHv/reI=")</f>
        <v>#VALUE!</v>
      </c>
      <c r="HT29" t="e">
        <f>AND(medidas!V7,"AAAAAHv/reM=")</f>
        <v>#VALUE!</v>
      </c>
      <c r="HU29" t="e">
        <f>AND(medidas!W7,"AAAAAHv/reQ=")</f>
        <v>#VALUE!</v>
      </c>
      <c r="HV29" t="e">
        <f>AND(medidas!X7,"AAAAAHv/reU=")</f>
        <v>#VALUE!</v>
      </c>
      <c r="HW29" t="e">
        <f>AND(medidas!Y7,"AAAAAHv/reY=")</f>
        <v>#VALUE!</v>
      </c>
      <c r="HX29" t="e">
        <f>AND(medidas!Z7,"AAAAAHv/rec=")</f>
        <v>#VALUE!</v>
      </c>
      <c r="HY29" t="e">
        <f>AND(medidas!AA7,"AAAAAHv/reg=")</f>
        <v>#VALUE!</v>
      </c>
      <c r="HZ29" t="e">
        <f>AND(medidas!AB7,"AAAAAHv/rek=")</f>
        <v>#VALUE!</v>
      </c>
      <c r="IA29" t="e">
        <f>AND(medidas!AC7,"AAAAAHv/reo=")</f>
        <v>#VALUE!</v>
      </c>
      <c r="IB29" t="e">
        <f>AND(medidas!AD7,"AAAAAHv/res=")</f>
        <v>#VALUE!</v>
      </c>
      <c r="IC29" t="e">
        <f>AND(medidas!AE7,"AAAAAHv/rew=")</f>
        <v>#VALUE!</v>
      </c>
      <c r="ID29" t="e">
        <f>AND(medidas!AF7,"AAAAAHv/re0=")</f>
        <v>#VALUE!</v>
      </c>
      <c r="IE29" t="e">
        <f>AND(medidas!AG7,"AAAAAHv/re4=")</f>
        <v>#VALUE!</v>
      </c>
      <c r="IF29" t="e">
        <f>AND(medidas!AH7,"AAAAAHv/re8=")</f>
        <v>#VALUE!</v>
      </c>
      <c r="IG29" t="e">
        <f>AND(medidas!AI7,"AAAAAHv/rfA=")</f>
        <v>#VALUE!</v>
      </c>
      <c r="IH29" t="e">
        <f>AND(medidas!AJ7,"AAAAAHv/rfE=")</f>
        <v>#VALUE!</v>
      </c>
      <c r="II29" t="e">
        <f>AND(medidas!AK7,"AAAAAHv/rfI=")</f>
        <v>#VALUE!</v>
      </c>
      <c r="IJ29" t="e">
        <f>AND(medidas!AL7,"AAAAAHv/rfM=")</f>
        <v>#VALUE!</v>
      </c>
      <c r="IK29" t="e">
        <f>AND(medidas!AM7,"AAAAAHv/rfQ=")</f>
        <v>#VALUE!</v>
      </c>
      <c r="IL29" t="e">
        <f>AND(medidas!AN7,"AAAAAHv/rfU=")</f>
        <v>#VALUE!</v>
      </c>
      <c r="IM29" t="e">
        <f>AND(medidas!AO7,"AAAAAHv/rfY=")</f>
        <v>#VALUE!</v>
      </c>
      <c r="IN29" t="e">
        <f>AND(medidas!AP7,"AAAAAHv/rfc=")</f>
        <v>#VALUE!</v>
      </c>
      <c r="IO29" t="e">
        <f>AND(medidas!AQ7,"AAAAAHv/rfg=")</f>
        <v>#VALUE!</v>
      </c>
      <c r="IP29" t="e">
        <f>AND(medidas!AR7,"AAAAAHv/rfk=")</f>
        <v>#VALUE!</v>
      </c>
      <c r="IQ29" t="e">
        <f>AND(medidas!AS7,"AAAAAHv/rfo=")</f>
        <v>#VALUE!</v>
      </c>
      <c r="IR29" t="e">
        <f>AND(medidas!AT7,"AAAAAHv/rfs=")</f>
        <v>#VALUE!</v>
      </c>
      <c r="IS29" t="e">
        <f>AND(medidas!AU7,"AAAAAHv/rfw=")</f>
        <v>#VALUE!</v>
      </c>
      <c r="IT29" t="e">
        <f>AND(medidas!AV7,"AAAAAHv/rf0=")</f>
        <v>#VALUE!</v>
      </c>
      <c r="IU29" t="e">
        <f>AND(medidas!AW7,"AAAAAHv/rf4=")</f>
        <v>#VALUE!</v>
      </c>
      <c r="IV29" t="e">
        <f>AND(medidas!AX7,"AAAAAHv/rf8=")</f>
        <v>#VALUE!</v>
      </c>
    </row>
    <row r="30" spans="1:256" x14ac:dyDescent="0.2">
      <c r="A30" t="e">
        <f>AND(medidas!AY7,"AAAAADvWPgA=")</f>
        <v>#VALUE!</v>
      </c>
      <c r="B30" t="e">
        <f>AND(medidas!AZ7,"AAAAADvWPgE=")</f>
        <v>#VALUE!</v>
      </c>
      <c r="C30" t="e">
        <f>AND(medidas!BA7,"AAAAADvWPgI=")</f>
        <v>#VALUE!</v>
      </c>
      <c r="D30" t="e">
        <f>AND(medidas!BB7,"AAAAADvWPgM=")</f>
        <v>#VALUE!</v>
      </c>
      <c r="E30" t="e">
        <f>AND(medidas!BC7,"AAAAADvWPgQ=")</f>
        <v>#VALUE!</v>
      </c>
      <c r="F30" t="e">
        <f>AND(medidas!BD7,"AAAAADvWPgU=")</f>
        <v>#VALUE!</v>
      </c>
      <c r="G30" t="e">
        <f>AND(medidas!BE7,"AAAAADvWPgY=")</f>
        <v>#VALUE!</v>
      </c>
      <c r="H30" t="e">
        <f>AND(medidas!BF7,"AAAAADvWPgc=")</f>
        <v>#VALUE!</v>
      </c>
      <c r="I30" t="e">
        <f>AND(medidas!BG7,"AAAAADvWPgg=")</f>
        <v>#VALUE!</v>
      </c>
      <c r="J30" t="e">
        <f>AND(medidas!BH7,"AAAAADvWPgk=")</f>
        <v>#VALUE!</v>
      </c>
      <c r="K30" t="e">
        <f>AND(medidas!BI7,"AAAAADvWPgo=")</f>
        <v>#VALUE!</v>
      </c>
      <c r="L30" t="e">
        <f>AND(medidas!BJ7,"AAAAADvWPgs=")</f>
        <v>#VALUE!</v>
      </c>
      <c r="M30" t="e">
        <f>AND(medidas!BK7,"AAAAADvWPgw=")</f>
        <v>#VALUE!</v>
      </c>
      <c r="N30" t="e">
        <f>AND(medidas!BL7,"AAAAADvWPg0=")</f>
        <v>#VALUE!</v>
      </c>
      <c r="O30" t="e">
        <f>AND(medidas!BM7,"AAAAADvWPg4=")</f>
        <v>#VALUE!</v>
      </c>
      <c r="P30" t="e">
        <f>AND(medidas!BN7,"AAAAADvWPg8=")</f>
        <v>#VALUE!</v>
      </c>
      <c r="Q30" t="e">
        <f>AND(medidas!BO7,"AAAAADvWPhA=")</f>
        <v>#VALUE!</v>
      </c>
      <c r="R30" t="e">
        <f>AND(medidas!BP7,"AAAAADvWPhE=")</f>
        <v>#VALUE!</v>
      </c>
      <c r="S30" t="e">
        <f>AND(medidas!BQ7,"AAAAADvWPhI=")</f>
        <v>#VALUE!</v>
      </c>
      <c r="T30" t="e">
        <f>AND(medidas!BR7,"AAAAADvWPhM=")</f>
        <v>#VALUE!</v>
      </c>
      <c r="U30" t="e">
        <f>AND(medidas!BS7,"AAAAADvWPhQ=")</f>
        <v>#VALUE!</v>
      </c>
      <c r="V30" t="e">
        <f>AND(medidas!BT7,"AAAAADvWPhU=")</f>
        <v>#VALUE!</v>
      </c>
      <c r="W30" t="e">
        <f>AND(medidas!BU7,"AAAAADvWPhY=")</f>
        <v>#VALUE!</v>
      </c>
      <c r="X30" t="e">
        <f>AND(medidas!BV7,"AAAAADvWPhc=")</f>
        <v>#VALUE!</v>
      </c>
      <c r="Y30" t="e">
        <f>AND(medidas!BW7,"AAAAADvWPhg=")</f>
        <v>#VALUE!</v>
      </c>
      <c r="Z30" t="e">
        <f>AND(medidas!BX7,"AAAAADvWPhk=")</f>
        <v>#VALUE!</v>
      </c>
      <c r="AA30" t="e">
        <f>AND(medidas!BY7,"AAAAADvWPho=")</f>
        <v>#VALUE!</v>
      </c>
      <c r="AB30">
        <f>IF(medidas!8:8,"AAAAADvWPhs=",0)</f>
        <v>0</v>
      </c>
      <c r="AC30" t="e">
        <f>AND(medidas!B8,"AAAAADvWPhw=")</f>
        <v>#VALUE!</v>
      </c>
      <c r="AD30" t="e">
        <f>AND(medidas!C8,"AAAAADvWPh0=")</f>
        <v>#VALUE!</v>
      </c>
      <c r="AE30" t="e">
        <f>AND(medidas!D8,"AAAAADvWPh4=")</f>
        <v>#VALUE!</v>
      </c>
      <c r="AF30" t="e">
        <f>AND(medidas!E8,"AAAAADvWPh8=")</f>
        <v>#VALUE!</v>
      </c>
      <c r="AG30" t="e">
        <f>AND(medidas!F8,"AAAAADvWPiA=")</f>
        <v>#VALUE!</v>
      </c>
      <c r="AH30" t="e">
        <f>AND(medidas!G8,"AAAAADvWPiE=")</f>
        <v>#VALUE!</v>
      </c>
      <c r="AI30" t="e">
        <f>AND(medidas!H8,"AAAAADvWPiI=")</f>
        <v>#VALUE!</v>
      </c>
      <c r="AJ30" t="e">
        <f>AND(medidas!I8,"AAAAADvWPiM=")</f>
        <v>#VALUE!</v>
      </c>
      <c r="AK30" t="e">
        <f>AND(medidas!J8,"AAAAADvWPiQ=")</f>
        <v>#VALUE!</v>
      </c>
      <c r="AL30" t="e">
        <f>AND(medidas!K8,"AAAAADvWPiU=")</f>
        <v>#VALUE!</v>
      </c>
      <c r="AM30" t="e">
        <f>AND(medidas!L8,"AAAAADvWPiY=")</f>
        <v>#VALUE!</v>
      </c>
      <c r="AN30" t="e">
        <f>AND(medidas!M8,"AAAAADvWPic=")</f>
        <v>#VALUE!</v>
      </c>
      <c r="AO30" t="e">
        <f>AND(medidas!N8,"AAAAADvWPig=")</f>
        <v>#VALUE!</v>
      </c>
      <c r="AP30" t="e">
        <f>AND(medidas!O8,"AAAAADvWPik=")</f>
        <v>#VALUE!</v>
      </c>
      <c r="AQ30" t="e">
        <f>AND(medidas!P8,"AAAAADvWPio=")</f>
        <v>#VALUE!</v>
      </c>
      <c r="AR30" t="e">
        <f>AND(medidas!Q8,"AAAAADvWPis=")</f>
        <v>#VALUE!</v>
      </c>
      <c r="AS30" t="e">
        <f>AND(medidas!R8,"AAAAADvWPiw=")</f>
        <v>#VALUE!</v>
      </c>
      <c r="AT30" t="e">
        <f>AND(medidas!S8,"AAAAADvWPi0=")</f>
        <v>#VALUE!</v>
      </c>
      <c r="AU30" t="e">
        <f>AND(medidas!T8,"AAAAADvWPi4=")</f>
        <v>#VALUE!</v>
      </c>
      <c r="AV30" t="e">
        <f>AND(medidas!U8,"AAAAADvWPi8=")</f>
        <v>#VALUE!</v>
      </c>
      <c r="AW30" t="e">
        <f>AND(medidas!V8,"AAAAADvWPjA=")</f>
        <v>#VALUE!</v>
      </c>
      <c r="AX30" t="e">
        <f>AND(medidas!W8,"AAAAADvWPjE=")</f>
        <v>#VALUE!</v>
      </c>
      <c r="AY30" t="e">
        <f>AND(medidas!X8,"AAAAADvWPjI=")</f>
        <v>#VALUE!</v>
      </c>
      <c r="AZ30" t="e">
        <f>AND(medidas!Y8,"AAAAADvWPjM=")</f>
        <v>#VALUE!</v>
      </c>
      <c r="BA30" t="e">
        <f>AND(medidas!Z8,"AAAAADvWPjQ=")</f>
        <v>#VALUE!</v>
      </c>
      <c r="BB30" t="e">
        <f>AND(medidas!AA8,"AAAAADvWPjU=")</f>
        <v>#VALUE!</v>
      </c>
      <c r="BC30" t="e">
        <f>AND(medidas!AB8,"AAAAADvWPjY=")</f>
        <v>#VALUE!</v>
      </c>
      <c r="BD30" t="e">
        <f>AND(medidas!AC8,"AAAAADvWPjc=")</f>
        <v>#VALUE!</v>
      </c>
      <c r="BE30" t="e">
        <f>AND(medidas!AD8,"AAAAADvWPjg=")</f>
        <v>#VALUE!</v>
      </c>
      <c r="BF30" t="e">
        <f>AND(medidas!AE8,"AAAAADvWPjk=")</f>
        <v>#VALUE!</v>
      </c>
      <c r="BG30" t="e">
        <f>AND(medidas!AF8,"AAAAADvWPjo=")</f>
        <v>#VALUE!</v>
      </c>
      <c r="BH30" t="e">
        <f>AND(medidas!AG8,"AAAAADvWPjs=")</f>
        <v>#VALUE!</v>
      </c>
      <c r="BI30" t="e">
        <f>AND(medidas!AH8,"AAAAADvWPjw=")</f>
        <v>#VALUE!</v>
      </c>
      <c r="BJ30" t="e">
        <f>AND(medidas!AI8,"AAAAADvWPj0=")</f>
        <v>#VALUE!</v>
      </c>
      <c r="BK30" t="e">
        <f>AND(medidas!AJ8,"AAAAADvWPj4=")</f>
        <v>#VALUE!</v>
      </c>
      <c r="BL30" t="e">
        <f>AND(medidas!AK8,"AAAAADvWPj8=")</f>
        <v>#VALUE!</v>
      </c>
      <c r="BM30" t="e">
        <f>AND(medidas!AL8,"AAAAADvWPkA=")</f>
        <v>#VALUE!</v>
      </c>
      <c r="BN30" t="e">
        <f>AND(medidas!AM8,"AAAAADvWPkE=")</f>
        <v>#VALUE!</v>
      </c>
      <c r="BO30" t="e">
        <f>AND(medidas!AN8,"AAAAADvWPkI=")</f>
        <v>#VALUE!</v>
      </c>
      <c r="BP30" t="e">
        <f>AND(medidas!AO8,"AAAAADvWPkM=")</f>
        <v>#VALUE!</v>
      </c>
      <c r="BQ30" t="e">
        <f>AND(medidas!AP8,"AAAAADvWPkQ=")</f>
        <v>#VALUE!</v>
      </c>
      <c r="BR30" t="e">
        <f>AND(medidas!AQ8,"AAAAADvWPkU=")</f>
        <v>#VALUE!</v>
      </c>
      <c r="BS30" t="e">
        <f>AND(medidas!AR8,"AAAAADvWPkY=")</f>
        <v>#VALUE!</v>
      </c>
      <c r="BT30" t="e">
        <f>AND(medidas!AS8,"AAAAADvWPkc=")</f>
        <v>#VALUE!</v>
      </c>
      <c r="BU30" t="e">
        <f>AND(medidas!AT8,"AAAAADvWPkg=")</f>
        <v>#VALUE!</v>
      </c>
      <c r="BV30" t="e">
        <f>AND(medidas!AU8,"AAAAADvWPkk=")</f>
        <v>#VALUE!</v>
      </c>
      <c r="BW30" t="e">
        <f>AND(medidas!AV8,"AAAAADvWPko=")</f>
        <v>#VALUE!</v>
      </c>
      <c r="BX30" t="e">
        <f>AND(medidas!AW8,"AAAAADvWPks=")</f>
        <v>#VALUE!</v>
      </c>
      <c r="BY30" t="e">
        <f>AND(medidas!AX8,"AAAAADvWPkw=")</f>
        <v>#VALUE!</v>
      </c>
      <c r="BZ30" t="e">
        <f>AND(medidas!AY8,"AAAAADvWPk0=")</f>
        <v>#VALUE!</v>
      </c>
      <c r="CA30" t="e">
        <f>AND(medidas!AZ8,"AAAAADvWPk4=")</f>
        <v>#VALUE!</v>
      </c>
      <c r="CB30" t="e">
        <f>AND(medidas!BA8,"AAAAADvWPk8=")</f>
        <v>#VALUE!</v>
      </c>
      <c r="CC30" t="e">
        <f>AND(medidas!BB8,"AAAAADvWPlA=")</f>
        <v>#VALUE!</v>
      </c>
      <c r="CD30" t="e">
        <f>AND(medidas!BC8,"AAAAADvWPlE=")</f>
        <v>#VALUE!</v>
      </c>
      <c r="CE30" t="e">
        <f>AND(medidas!BD8,"AAAAADvWPlI=")</f>
        <v>#VALUE!</v>
      </c>
      <c r="CF30" t="e">
        <f>AND(medidas!BE8,"AAAAADvWPlM=")</f>
        <v>#VALUE!</v>
      </c>
      <c r="CG30" t="e">
        <f>AND(medidas!BF8,"AAAAADvWPlQ=")</f>
        <v>#VALUE!</v>
      </c>
      <c r="CH30" t="e">
        <f>AND(medidas!BG8,"AAAAADvWPlU=")</f>
        <v>#VALUE!</v>
      </c>
      <c r="CI30" t="e">
        <f>AND(medidas!BH8,"AAAAADvWPlY=")</f>
        <v>#VALUE!</v>
      </c>
      <c r="CJ30" t="e">
        <f>AND(medidas!BI8,"AAAAADvWPlc=")</f>
        <v>#VALUE!</v>
      </c>
      <c r="CK30" t="e">
        <f>AND(medidas!BJ8,"AAAAADvWPlg=")</f>
        <v>#VALUE!</v>
      </c>
      <c r="CL30" t="e">
        <f>AND(medidas!BK8,"AAAAADvWPlk=")</f>
        <v>#VALUE!</v>
      </c>
      <c r="CM30" t="e">
        <f>AND(medidas!BL8,"AAAAADvWPlo=")</f>
        <v>#VALUE!</v>
      </c>
      <c r="CN30" t="e">
        <f>AND(medidas!BM8,"AAAAADvWPls=")</f>
        <v>#VALUE!</v>
      </c>
      <c r="CO30" t="e">
        <f>AND(medidas!BN8,"AAAAADvWPlw=")</f>
        <v>#VALUE!</v>
      </c>
      <c r="CP30" t="e">
        <f>AND(medidas!BO8,"AAAAADvWPl0=")</f>
        <v>#VALUE!</v>
      </c>
      <c r="CQ30" t="e">
        <f>AND(medidas!BP8,"AAAAADvWPl4=")</f>
        <v>#VALUE!</v>
      </c>
      <c r="CR30" t="e">
        <f>AND(medidas!BQ8,"AAAAADvWPl8=")</f>
        <v>#VALUE!</v>
      </c>
      <c r="CS30" t="e">
        <f>AND(medidas!BR8,"AAAAADvWPmA=")</f>
        <v>#VALUE!</v>
      </c>
      <c r="CT30" t="e">
        <f>AND(medidas!BS8,"AAAAADvWPmE=")</f>
        <v>#VALUE!</v>
      </c>
      <c r="CU30" t="e">
        <f>AND(medidas!BT8,"AAAAADvWPmI=")</f>
        <v>#VALUE!</v>
      </c>
      <c r="CV30" t="e">
        <f>AND(medidas!BU8,"AAAAADvWPmM=")</f>
        <v>#VALUE!</v>
      </c>
      <c r="CW30" t="e">
        <f>AND(medidas!BV8,"AAAAADvWPmQ=")</f>
        <v>#VALUE!</v>
      </c>
      <c r="CX30" t="e">
        <f>AND(medidas!BW8,"AAAAADvWPmU=")</f>
        <v>#VALUE!</v>
      </c>
      <c r="CY30" t="e">
        <f>AND(medidas!BX8,"AAAAADvWPmY=")</f>
        <v>#VALUE!</v>
      </c>
      <c r="CZ30" t="e">
        <f>AND(medidas!BY8,"AAAAADvWPmc=")</f>
        <v>#VALUE!</v>
      </c>
      <c r="DA30">
        <f>IF(medidas!9:9,"AAAAADvWPmg=",0)</f>
        <v>0</v>
      </c>
      <c r="DB30" t="e">
        <f>AND(medidas!B9,"AAAAADvWPmk=")</f>
        <v>#VALUE!</v>
      </c>
      <c r="DC30" t="e">
        <f>AND(medidas!C9,"AAAAADvWPmo=")</f>
        <v>#VALUE!</v>
      </c>
      <c r="DD30" t="e">
        <f>AND(medidas!D9,"AAAAADvWPms=")</f>
        <v>#VALUE!</v>
      </c>
      <c r="DE30" t="e">
        <f>AND(medidas!E9,"AAAAADvWPmw=")</f>
        <v>#VALUE!</v>
      </c>
      <c r="DF30" t="e">
        <f>AND(medidas!F9,"AAAAADvWPm0=")</f>
        <v>#VALUE!</v>
      </c>
      <c r="DG30" t="e">
        <f>AND(medidas!G9,"AAAAADvWPm4=")</f>
        <v>#VALUE!</v>
      </c>
      <c r="DH30" t="e">
        <f>AND(medidas!H9,"AAAAADvWPm8=")</f>
        <v>#VALUE!</v>
      </c>
      <c r="DI30" t="e">
        <f>AND(medidas!I9,"AAAAADvWPnA=")</f>
        <v>#VALUE!</v>
      </c>
      <c r="DJ30" t="e">
        <f>AND(medidas!J9,"AAAAADvWPnE=")</f>
        <v>#VALUE!</v>
      </c>
      <c r="DK30" t="e">
        <f>AND(medidas!K9,"AAAAADvWPnI=")</f>
        <v>#VALUE!</v>
      </c>
      <c r="DL30" t="e">
        <f>AND(medidas!L9,"AAAAADvWPnM=")</f>
        <v>#VALUE!</v>
      </c>
      <c r="DM30" t="e">
        <f>AND(medidas!M9,"AAAAADvWPnQ=")</f>
        <v>#VALUE!</v>
      </c>
      <c r="DN30" t="e">
        <f>AND(medidas!N9,"AAAAADvWPnU=")</f>
        <v>#VALUE!</v>
      </c>
      <c r="DO30" t="e">
        <f>AND(medidas!O9,"AAAAADvWPnY=")</f>
        <v>#VALUE!</v>
      </c>
      <c r="DP30" t="e">
        <f>AND(medidas!P9,"AAAAADvWPnc=")</f>
        <v>#VALUE!</v>
      </c>
      <c r="DQ30" t="e">
        <f>AND(medidas!Q9,"AAAAADvWPng=")</f>
        <v>#VALUE!</v>
      </c>
      <c r="DR30" t="e">
        <f>AND(medidas!R9,"AAAAADvWPnk=")</f>
        <v>#VALUE!</v>
      </c>
      <c r="DS30" t="e">
        <f>AND(medidas!S9,"AAAAADvWPno=")</f>
        <v>#VALUE!</v>
      </c>
      <c r="DT30" t="e">
        <f>AND(medidas!T9,"AAAAADvWPns=")</f>
        <v>#VALUE!</v>
      </c>
      <c r="DU30" t="e">
        <f>AND(medidas!U9,"AAAAADvWPnw=")</f>
        <v>#VALUE!</v>
      </c>
      <c r="DV30" t="e">
        <f>AND(medidas!V9,"AAAAADvWPn0=")</f>
        <v>#VALUE!</v>
      </c>
      <c r="DW30" t="e">
        <f>AND(medidas!W9,"AAAAADvWPn4=")</f>
        <v>#VALUE!</v>
      </c>
      <c r="DX30" t="e">
        <f>AND(medidas!X9,"AAAAADvWPn8=")</f>
        <v>#VALUE!</v>
      </c>
      <c r="DY30" t="e">
        <f>AND(medidas!Y9,"AAAAADvWPoA=")</f>
        <v>#VALUE!</v>
      </c>
      <c r="DZ30" t="e">
        <f>AND(medidas!Z9,"AAAAADvWPoE=")</f>
        <v>#VALUE!</v>
      </c>
      <c r="EA30" t="e">
        <f>AND(medidas!AA9,"AAAAADvWPoI=")</f>
        <v>#VALUE!</v>
      </c>
      <c r="EB30" t="e">
        <f>AND(medidas!AB9,"AAAAADvWPoM=")</f>
        <v>#VALUE!</v>
      </c>
      <c r="EC30" t="e">
        <f>AND(medidas!AC9,"AAAAADvWPoQ=")</f>
        <v>#VALUE!</v>
      </c>
      <c r="ED30" t="e">
        <f>AND(medidas!AD9,"AAAAADvWPoU=")</f>
        <v>#VALUE!</v>
      </c>
      <c r="EE30" t="e">
        <f>AND(medidas!AE9,"AAAAADvWPoY=")</f>
        <v>#VALUE!</v>
      </c>
      <c r="EF30" t="e">
        <f>AND(medidas!AF9,"AAAAADvWPoc=")</f>
        <v>#VALUE!</v>
      </c>
      <c r="EG30" t="e">
        <f>AND(medidas!AG9,"AAAAADvWPog=")</f>
        <v>#VALUE!</v>
      </c>
      <c r="EH30" t="e">
        <f>AND(medidas!AH9,"AAAAADvWPok=")</f>
        <v>#VALUE!</v>
      </c>
      <c r="EI30" t="e">
        <f>AND(medidas!AI9,"AAAAADvWPoo=")</f>
        <v>#VALUE!</v>
      </c>
      <c r="EJ30" t="e">
        <f>AND(medidas!AJ9,"AAAAADvWPos=")</f>
        <v>#VALUE!</v>
      </c>
      <c r="EK30" t="e">
        <f>AND(medidas!AK9,"AAAAADvWPow=")</f>
        <v>#VALUE!</v>
      </c>
      <c r="EL30" t="e">
        <f>AND(medidas!AL9,"AAAAADvWPo0=")</f>
        <v>#VALUE!</v>
      </c>
      <c r="EM30" t="e">
        <f>AND(medidas!AM9,"AAAAADvWPo4=")</f>
        <v>#VALUE!</v>
      </c>
      <c r="EN30" t="e">
        <f>AND(medidas!AN9,"AAAAADvWPo8=")</f>
        <v>#VALUE!</v>
      </c>
      <c r="EO30" t="e">
        <f>AND(medidas!AO9,"AAAAADvWPpA=")</f>
        <v>#VALUE!</v>
      </c>
      <c r="EP30" t="e">
        <f>AND(medidas!AP9,"AAAAADvWPpE=")</f>
        <v>#VALUE!</v>
      </c>
      <c r="EQ30" t="e">
        <f>AND(medidas!AQ9,"AAAAADvWPpI=")</f>
        <v>#VALUE!</v>
      </c>
      <c r="ER30" t="e">
        <f>AND(medidas!AR9,"AAAAADvWPpM=")</f>
        <v>#VALUE!</v>
      </c>
      <c r="ES30" t="e">
        <f>AND(medidas!AS9,"AAAAADvWPpQ=")</f>
        <v>#VALUE!</v>
      </c>
      <c r="ET30" t="e">
        <f>AND(medidas!AT9,"AAAAADvWPpU=")</f>
        <v>#VALUE!</v>
      </c>
      <c r="EU30" t="e">
        <f>AND(medidas!AU9,"AAAAADvWPpY=")</f>
        <v>#VALUE!</v>
      </c>
      <c r="EV30" t="e">
        <f>AND(medidas!AV9,"AAAAADvWPpc=")</f>
        <v>#VALUE!</v>
      </c>
      <c r="EW30" t="e">
        <f>AND(medidas!AW9,"AAAAADvWPpg=")</f>
        <v>#VALUE!</v>
      </c>
      <c r="EX30" t="e">
        <f>AND(medidas!AX9,"AAAAADvWPpk=")</f>
        <v>#VALUE!</v>
      </c>
      <c r="EY30" t="e">
        <f>AND(medidas!AY9,"AAAAADvWPpo=")</f>
        <v>#VALUE!</v>
      </c>
      <c r="EZ30" t="e">
        <f>AND(medidas!AZ9,"AAAAADvWPps=")</f>
        <v>#VALUE!</v>
      </c>
      <c r="FA30" t="e">
        <f>AND(medidas!BA9,"AAAAADvWPpw=")</f>
        <v>#VALUE!</v>
      </c>
      <c r="FB30" t="e">
        <f>AND(medidas!BB9,"AAAAADvWPp0=")</f>
        <v>#VALUE!</v>
      </c>
      <c r="FC30" t="e">
        <f>AND(medidas!BC9,"AAAAADvWPp4=")</f>
        <v>#VALUE!</v>
      </c>
      <c r="FD30" t="e">
        <f>AND(medidas!BD9,"AAAAADvWPp8=")</f>
        <v>#VALUE!</v>
      </c>
      <c r="FE30" t="e">
        <f>AND(medidas!BE9,"AAAAADvWPqA=")</f>
        <v>#VALUE!</v>
      </c>
      <c r="FF30" t="e">
        <f>AND(medidas!BF9,"AAAAADvWPqE=")</f>
        <v>#VALUE!</v>
      </c>
      <c r="FG30" t="e">
        <f>AND(medidas!BG9,"AAAAADvWPqI=")</f>
        <v>#VALUE!</v>
      </c>
      <c r="FH30" t="e">
        <f>AND(medidas!BH9,"AAAAADvWPqM=")</f>
        <v>#VALUE!</v>
      </c>
      <c r="FI30" t="e">
        <f>AND(medidas!BI9,"AAAAADvWPqQ=")</f>
        <v>#VALUE!</v>
      </c>
      <c r="FJ30" t="e">
        <f>AND(medidas!BJ9,"AAAAADvWPqU=")</f>
        <v>#VALUE!</v>
      </c>
      <c r="FK30" t="e">
        <f>AND(medidas!BK9,"AAAAADvWPqY=")</f>
        <v>#VALUE!</v>
      </c>
      <c r="FL30" t="e">
        <f>AND(medidas!BL9,"AAAAADvWPqc=")</f>
        <v>#VALUE!</v>
      </c>
      <c r="FM30" t="e">
        <f>AND(medidas!BM9,"AAAAADvWPqg=")</f>
        <v>#VALUE!</v>
      </c>
      <c r="FN30" t="e">
        <f>AND(medidas!BN9,"AAAAADvWPqk=")</f>
        <v>#VALUE!</v>
      </c>
      <c r="FO30" t="e">
        <f>AND(medidas!BO9,"AAAAADvWPqo=")</f>
        <v>#VALUE!</v>
      </c>
      <c r="FP30" t="e">
        <f>AND(medidas!BP9,"AAAAADvWPqs=")</f>
        <v>#VALUE!</v>
      </c>
      <c r="FQ30" t="e">
        <f>AND(medidas!BQ9,"AAAAADvWPqw=")</f>
        <v>#VALUE!</v>
      </c>
      <c r="FR30" t="e">
        <f>AND(medidas!BR9,"AAAAADvWPq0=")</f>
        <v>#VALUE!</v>
      </c>
      <c r="FS30" t="e">
        <f>AND(medidas!BS9,"AAAAADvWPq4=")</f>
        <v>#VALUE!</v>
      </c>
      <c r="FT30" t="e">
        <f>AND(medidas!BT9,"AAAAADvWPq8=")</f>
        <v>#VALUE!</v>
      </c>
      <c r="FU30" t="e">
        <f>AND(medidas!BU9,"AAAAADvWPrA=")</f>
        <v>#VALUE!</v>
      </c>
      <c r="FV30" t="e">
        <f>AND(medidas!BV9,"AAAAADvWPrE=")</f>
        <v>#VALUE!</v>
      </c>
      <c r="FW30" t="e">
        <f>AND(medidas!BW9,"AAAAADvWPrI=")</f>
        <v>#VALUE!</v>
      </c>
      <c r="FX30" t="e">
        <f>AND(medidas!BX9,"AAAAADvWPrM=")</f>
        <v>#VALUE!</v>
      </c>
      <c r="FY30" t="e">
        <f>AND(medidas!BY9,"AAAAADvWPrQ=")</f>
        <v>#VALUE!</v>
      </c>
      <c r="FZ30">
        <f>IF(medidas!10:10,"AAAAADvWPrU=",0)</f>
        <v>0</v>
      </c>
      <c r="GA30" t="e">
        <f>AND(medidas!B10,"AAAAADvWPrY=")</f>
        <v>#VALUE!</v>
      </c>
      <c r="GB30" t="e">
        <f>AND(medidas!C10,"AAAAADvWPrc=")</f>
        <v>#VALUE!</v>
      </c>
      <c r="GC30" t="e">
        <f>AND(medidas!D10,"AAAAADvWPrg=")</f>
        <v>#VALUE!</v>
      </c>
      <c r="GD30" t="e">
        <f>AND(medidas!E10,"AAAAADvWPrk=")</f>
        <v>#VALUE!</v>
      </c>
      <c r="GE30" t="e">
        <f>AND(medidas!F10,"AAAAADvWPro=")</f>
        <v>#VALUE!</v>
      </c>
      <c r="GF30" t="e">
        <f>AND(medidas!G10,"AAAAADvWPrs=")</f>
        <v>#VALUE!</v>
      </c>
      <c r="GG30" t="e">
        <f>AND(medidas!H10,"AAAAADvWPrw=")</f>
        <v>#VALUE!</v>
      </c>
      <c r="GH30" t="e">
        <f>AND(medidas!I10,"AAAAADvWPr0=")</f>
        <v>#VALUE!</v>
      </c>
      <c r="GI30" t="e">
        <f>AND(medidas!J10,"AAAAADvWPr4=")</f>
        <v>#VALUE!</v>
      </c>
      <c r="GJ30" t="e">
        <f>AND(medidas!K10,"AAAAADvWPr8=")</f>
        <v>#VALUE!</v>
      </c>
      <c r="GK30" t="e">
        <f>AND(medidas!L10,"AAAAADvWPsA=")</f>
        <v>#VALUE!</v>
      </c>
      <c r="GL30" t="e">
        <f>AND(medidas!M10,"AAAAADvWPsE=")</f>
        <v>#VALUE!</v>
      </c>
      <c r="GM30" t="e">
        <f>AND(medidas!N10,"AAAAADvWPsI=")</f>
        <v>#VALUE!</v>
      </c>
      <c r="GN30" t="e">
        <f>AND(medidas!O10,"AAAAADvWPsM=")</f>
        <v>#VALUE!</v>
      </c>
      <c r="GO30" t="e">
        <f>AND(medidas!P10,"AAAAADvWPsQ=")</f>
        <v>#VALUE!</v>
      </c>
      <c r="GP30" t="e">
        <f>AND(medidas!Q10,"AAAAADvWPsU=")</f>
        <v>#VALUE!</v>
      </c>
      <c r="GQ30" t="e">
        <f>AND(medidas!R10,"AAAAADvWPsY=")</f>
        <v>#VALUE!</v>
      </c>
      <c r="GR30" t="e">
        <f>AND(medidas!S10,"AAAAADvWPsc=")</f>
        <v>#VALUE!</v>
      </c>
      <c r="GS30" t="e">
        <f>AND(medidas!T10,"AAAAADvWPsg=")</f>
        <v>#VALUE!</v>
      </c>
      <c r="GT30" t="e">
        <f>AND(medidas!U10,"AAAAADvWPsk=")</f>
        <v>#VALUE!</v>
      </c>
      <c r="GU30" t="e">
        <f>AND(medidas!V10,"AAAAADvWPso=")</f>
        <v>#VALUE!</v>
      </c>
      <c r="GV30" t="e">
        <f>AND(medidas!W10,"AAAAADvWPss=")</f>
        <v>#VALUE!</v>
      </c>
      <c r="GW30" t="e">
        <f>AND(medidas!X10,"AAAAADvWPsw=")</f>
        <v>#VALUE!</v>
      </c>
      <c r="GX30" t="e">
        <f>AND(medidas!Y10,"AAAAADvWPs0=")</f>
        <v>#VALUE!</v>
      </c>
      <c r="GY30" t="e">
        <f>AND(medidas!Z10,"AAAAADvWPs4=")</f>
        <v>#VALUE!</v>
      </c>
      <c r="GZ30" t="e">
        <f>AND(medidas!AA10,"AAAAADvWPs8=")</f>
        <v>#VALUE!</v>
      </c>
      <c r="HA30" t="e">
        <f>AND(medidas!AB10,"AAAAADvWPtA=")</f>
        <v>#VALUE!</v>
      </c>
      <c r="HB30" t="e">
        <f>AND(medidas!AC10,"AAAAADvWPtE=")</f>
        <v>#VALUE!</v>
      </c>
      <c r="HC30" t="e">
        <f>AND(medidas!AD10,"AAAAADvWPtI=")</f>
        <v>#VALUE!</v>
      </c>
      <c r="HD30" t="e">
        <f>AND(medidas!AE10,"AAAAADvWPtM=")</f>
        <v>#VALUE!</v>
      </c>
      <c r="HE30" t="e">
        <f>AND(medidas!AF10,"AAAAADvWPtQ=")</f>
        <v>#VALUE!</v>
      </c>
      <c r="HF30" t="e">
        <f>AND(medidas!AG10,"AAAAADvWPtU=")</f>
        <v>#VALUE!</v>
      </c>
      <c r="HG30" t="e">
        <f>AND(medidas!AH10,"AAAAADvWPtY=")</f>
        <v>#VALUE!</v>
      </c>
      <c r="HH30" t="e">
        <f>AND(medidas!AI10,"AAAAADvWPtc=")</f>
        <v>#VALUE!</v>
      </c>
      <c r="HI30" t="e">
        <f>AND(medidas!AJ10,"AAAAADvWPtg=")</f>
        <v>#VALUE!</v>
      </c>
      <c r="HJ30" t="e">
        <f>AND(medidas!AK10,"AAAAADvWPtk=")</f>
        <v>#VALUE!</v>
      </c>
      <c r="HK30" t="e">
        <f>AND(medidas!AL10,"AAAAADvWPto=")</f>
        <v>#VALUE!</v>
      </c>
      <c r="HL30" t="e">
        <f>AND(medidas!AM10,"AAAAADvWPts=")</f>
        <v>#VALUE!</v>
      </c>
      <c r="HM30" t="e">
        <f>AND(medidas!AN10,"AAAAADvWPtw=")</f>
        <v>#VALUE!</v>
      </c>
      <c r="HN30" t="e">
        <f>AND(medidas!AO10,"AAAAADvWPt0=")</f>
        <v>#VALUE!</v>
      </c>
      <c r="HO30" t="e">
        <f>AND(medidas!AP10,"AAAAADvWPt4=")</f>
        <v>#VALUE!</v>
      </c>
      <c r="HP30" t="e">
        <f>AND(medidas!AQ10,"AAAAADvWPt8=")</f>
        <v>#VALUE!</v>
      </c>
      <c r="HQ30" t="e">
        <f>AND(medidas!AR10,"AAAAADvWPuA=")</f>
        <v>#VALUE!</v>
      </c>
      <c r="HR30" t="e">
        <f>AND(medidas!AS10,"AAAAADvWPuE=")</f>
        <v>#VALUE!</v>
      </c>
      <c r="HS30" t="e">
        <f>AND(medidas!AT10,"AAAAADvWPuI=")</f>
        <v>#VALUE!</v>
      </c>
      <c r="HT30" t="e">
        <f>AND(medidas!AU10,"AAAAADvWPuM=")</f>
        <v>#VALUE!</v>
      </c>
      <c r="HU30" t="e">
        <f>AND(medidas!AV10,"AAAAADvWPuQ=")</f>
        <v>#VALUE!</v>
      </c>
      <c r="HV30" t="e">
        <f>AND(medidas!AW10,"AAAAADvWPuU=")</f>
        <v>#VALUE!</v>
      </c>
      <c r="HW30" t="e">
        <f>AND(medidas!AX10,"AAAAADvWPuY=")</f>
        <v>#VALUE!</v>
      </c>
      <c r="HX30" t="e">
        <f>AND(medidas!AY10,"AAAAADvWPuc=")</f>
        <v>#VALUE!</v>
      </c>
      <c r="HY30" t="e">
        <f>AND(medidas!AZ10,"AAAAADvWPug=")</f>
        <v>#VALUE!</v>
      </c>
      <c r="HZ30" t="e">
        <f>AND(medidas!BA10,"AAAAADvWPuk=")</f>
        <v>#VALUE!</v>
      </c>
      <c r="IA30" t="e">
        <f>AND(medidas!BB10,"AAAAADvWPuo=")</f>
        <v>#VALUE!</v>
      </c>
      <c r="IB30" t="e">
        <f>AND(medidas!BC10,"AAAAADvWPus=")</f>
        <v>#VALUE!</v>
      </c>
      <c r="IC30" t="e">
        <f>AND(medidas!BD10,"AAAAADvWPuw=")</f>
        <v>#VALUE!</v>
      </c>
      <c r="ID30" t="e">
        <f>AND(medidas!BE10,"AAAAADvWPu0=")</f>
        <v>#VALUE!</v>
      </c>
      <c r="IE30" t="e">
        <f>AND(medidas!BF10,"AAAAADvWPu4=")</f>
        <v>#VALUE!</v>
      </c>
      <c r="IF30" t="e">
        <f>AND(medidas!BG10,"AAAAADvWPu8=")</f>
        <v>#VALUE!</v>
      </c>
      <c r="IG30" t="e">
        <f>AND(medidas!BH10,"AAAAADvWPvA=")</f>
        <v>#VALUE!</v>
      </c>
      <c r="IH30" t="e">
        <f>AND(medidas!BI10,"AAAAADvWPvE=")</f>
        <v>#VALUE!</v>
      </c>
      <c r="II30" t="e">
        <f>AND(medidas!BJ10,"AAAAADvWPvI=")</f>
        <v>#VALUE!</v>
      </c>
      <c r="IJ30" t="e">
        <f>AND(medidas!BK10,"AAAAADvWPvM=")</f>
        <v>#VALUE!</v>
      </c>
      <c r="IK30" t="e">
        <f>AND(medidas!BL10,"AAAAADvWPvQ=")</f>
        <v>#VALUE!</v>
      </c>
      <c r="IL30" t="e">
        <f>AND(medidas!BM10,"AAAAADvWPvU=")</f>
        <v>#VALUE!</v>
      </c>
      <c r="IM30" t="e">
        <f>AND(medidas!BN10,"AAAAADvWPvY=")</f>
        <v>#VALUE!</v>
      </c>
      <c r="IN30" t="e">
        <f>AND(medidas!BO10,"AAAAADvWPvc=")</f>
        <v>#VALUE!</v>
      </c>
      <c r="IO30" t="e">
        <f>AND(medidas!BP10,"AAAAADvWPvg=")</f>
        <v>#VALUE!</v>
      </c>
      <c r="IP30" t="e">
        <f>AND(medidas!BQ10,"AAAAADvWPvk=")</f>
        <v>#VALUE!</v>
      </c>
      <c r="IQ30" t="e">
        <f>AND(medidas!BR10,"AAAAADvWPvo=")</f>
        <v>#VALUE!</v>
      </c>
      <c r="IR30" t="e">
        <f>AND(medidas!BS10,"AAAAADvWPvs=")</f>
        <v>#VALUE!</v>
      </c>
      <c r="IS30" t="e">
        <f>AND(medidas!BT10,"AAAAADvWPvw=")</f>
        <v>#VALUE!</v>
      </c>
      <c r="IT30" t="e">
        <f>AND(medidas!BU10,"AAAAADvWPv0=")</f>
        <v>#VALUE!</v>
      </c>
      <c r="IU30" t="e">
        <f>AND(medidas!BV10,"AAAAADvWPv4=")</f>
        <v>#VALUE!</v>
      </c>
      <c r="IV30" t="e">
        <f>AND(medidas!BW10,"AAAAADvWPv8=")</f>
        <v>#VALUE!</v>
      </c>
    </row>
    <row r="31" spans="1:256" x14ac:dyDescent="0.2">
      <c r="A31" t="e">
        <f>AND(medidas!BX10,"AAAAAD3//AA=")</f>
        <v>#VALUE!</v>
      </c>
      <c r="B31" t="e">
        <f>AND(medidas!BY10,"AAAAAD3//AE=")</f>
        <v>#VALUE!</v>
      </c>
      <c r="C31">
        <f>IF(medidas!11:11,"AAAAAD3//AI=",0)</f>
        <v>0</v>
      </c>
      <c r="D31" t="e">
        <f>AND(medidas!B11,"AAAAAD3//AM=")</f>
        <v>#VALUE!</v>
      </c>
      <c r="E31" t="e">
        <f>AND(medidas!C11,"AAAAAD3//AQ=")</f>
        <v>#VALUE!</v>
      </c>
      <c r="F31" t="e">
        <f>AND(medidas!D11,"AAAAAD3//AU=")</f>
        <v>#VALUE!</v>
      </c>
      <c r="G31" t="e">
        <f>AND(medidas!E11,"AAAAAD3//AY=")</f>
        <v>#VALUE!</v>
      </c>
      <c r="H31" t="e">
        <f>AND(medidas!F11,"AAAAAD3//Ac=")</f>
        <v>#VALUE!</v>
      </c>
      <c r="I31" t="e">
        <f>AND(medidas!G11,"AAAAAD3//Ag=")</f>
        <v>#VALUE!</v>
      </c>
      <c r="J31" t="e">
        <f>AND(medidas!H11,"AAAAAD3//Ak=")</f>
        <v>#VALUE!</v>
      </c>
      <c r="K31" t="e">
        <f>AND(medidas!I11,"AAAAAD3//Ao=")</f>
        <v>#VALUE!</v>
      </c>
      <c r="L31" t="e">
        <f>AND(medidas!J11,"AAAAAD3//As=")</f>
        <v>#VALUE!</v>
      </c>
      <c r="M31" t="e">
        <f>AND(medidas!K11,"AAAAAD3//Aw=")</f>
        <v>#VALUE!</v>
      </c>
      <c r="N31" t="e">
        <f>AND(medidas!L11,"AAAAAD3//A0=")</f>
        <v>#VALUE!</v>
      </c>
      <c r="O31" t="e">
        <f>AND(medidas!M11,"AAAAAD3//A4=")</f>
        <v>#VALUE!</v>
      </c>
      <c r="P31" t="e">
        <f>AND(medidas!N11,"AAAAAD3//A8=")</f>
        <v>#VALUE!</v>
      </c>
      <c r="Q31" t="e">
        <f>AND(medidas!O11,"AAAAAD3//BA=")</f>
        <v>#VALUE!</v>
      </c>
      <c r="R31" t="e">
        <f>AND(medidas!P11,"AAAAAD3//BE=")</f>
        <v>#VALUE!</v>
      </c>
      <c r="S31" t="e">
        <f>AND(medidas!Q11,"AAAAAD3//BI=")</f>
        <v>#VALUE!</v>
      </c>
      <c r="T31" t="e">
        <f>AND(medidas!R11,"AAAAAD3//BM=")</f>
        <v>#VALUE!</v>
      </c>
      <c r="U31" t="e">
        <f>AND(medidas!S11,"AAAAAD3//BQ=")</f>
        <v>#VALUE!</v>
      </c>
      <c r="V31" t="e">
        <f>AND(medidas!T11,"AAAAAD3//BU=")</f>
        <v>#VALUE!</v>
      </c>
      <c r="W31" t="e">
        <f>AND(medidas!U11,"AAAAAD3//BY=")</f>
        <v>#VALUE!</v>
      </c>
      <c r="X31" t="e">
        <f>AND(medidas!V11,"AAAAAD3//Bc=")</f>
        <v>#VALUE!</v>
      </c>
      <c r="Y31" t="e">
        <f>AND(medidas!W11,"AAAAAD3//Bg=")</f>
        <v>#VALUE!</v>
      </c>
      <c r="Z31" t="e">
        <f>AND(medidas!X11,"AAAAAD3//Bk=")</f>
        <v>#VALUE!</v>
      </c>
      <c r="AA31" t="e">
        <f>AND(medidas!Y11,"AAAAAD3//Bo=")</f>
        <v>#VALUE!</v>
      </c>
      <c r="AB31" t="e">
        <f>AND(medidas!Z11,"AAAAAD3//Bs=")</f>
        <v>#VALUE!</v>
      </c>
      <c r="AC31" t="e">
        <f>AND(medidas!AA11,"AAAAAD3//Bw=")</f>
        <v>#VALUE!</v>
      </c>
      <c r="AD31" t="e">
        <f>AND(medidas!AB11,"AAAAAD3//B0=")</f>
        <v>#VALUE!</v>
      </c>
      <c r="AE31" t="e">
        <f>AND(medidas!AC11,"AAAAAD3//B4=")</f>
        <v>#VALUE!</v>
      </c>
      <c r="AF31" t="e">
        <f>AND(medidas!AD11,"AAAAAD3//B8=")</f>
        <v>#VALUE!</v>
      </c>
      <c r="AG31" t="e">
        <f>AND(medidas!AE11,"AAAAAD3//CA=")</f>
        <v>#VALUE!</v>
      </c>
      <c r="AH31" t="e">
        <f>AND(medidas!AF11,"AAAAAD3//CE=")</f>
        <v>#VALUE!</v>
      </c>
      <c r="AI31" t="e">
        <f>AND(medidas!AG11,"AAAAAD3//CI=")</f>
        <v>#VALUE!</v>
      </c>
      <c r="AJ31" t="e">
        <f>AND(medidas!AH11,"AAAAAD3//CM=")</f>
        <v>#VALUE!</v>
      </c>
      <c r="AK31" t="e">
        <f>AND(medidas!AI11,"AAAAAD3//CQ=")</f>
        <v>#VALUE!</v>
      </c>
      <c r="AL31" t="e">
        <f>AND(medidas!AJ11,"AAAAAD3//CU=")</f>
        <v>#VALUE!</v>
      </c>
      <c r="AM31" t="e">
        <f>AND(medidas!AK11,"AAAAAD3//CY=")</f>
        <v>#VALUE!</v>
      </c>
      <c r="AN31" t="e">
        <f>AND(medidas!AL11,"AAAAAD3//Cc=")</f>
        <v>#VALUE!</v>
      </c>
      <c r="AO31" t="e">
        <f>AND(medidas!AM11,"AAAAAD3//Cg=")</f>
        <v>#VALUE!</v>
      </c>
      <c r="AP31" t="e">
        <f>AND(medidas!AN11,"AAAAAD3//Ck=")</f>
        <v>#VALUE!</v>
      </c>
      <c r="AQ31" t="e">
        <f>AND(medidas!AO11,"AAAAAD3//Co=")</f>
        <v>#VALUE!</v>
      </c>
      <c r="AR31" t="e">
        <f>AND(medidas!AP11,"AAAAAD3//Cs=")</f>
        <v>#VALUE!</v>
      </c>
      <c r="AS31" t="e">
        <f>AND(medidas!AQ11,"AAAAAD3//Cw=")</f>
        <v>#VALUE!</v>
      </c>
      <c r="AT31" t="e">
        <f>AND(medidas!AR11,"AAAAAD3//C0=")</f>
        <v>#VALUE!</v>
      </c>
      <c r="AU31" t="e">
        <f>AND(medidas!AS11,"AAAAAD3//C4=")</f>
        <v>#VALUE!</v>
      </c>
      <c r="AV31" t="e">
        <f>AND(medidas!AT11,"AAAAAD3//C8=")</f>
        <v>#VALUE!</v>
      </c>
      <c r="AW31" t="e">
        <f>AND(medidas!AU11,"AAAAAD3//DA=")</f>
        <v>#VALUE!</v>
      </c>
      <c r="AX31" t="e">
        <f>AND(medidas!AV11,"AAAAAD3//DE=")</f>
        <v>#VALUE!</v>
      </c>
      <c r="AY31" t="e">
        <f>AND(medidas!AW11,"AAAAAD3//DI=")</f>
        <v>#VALUE!</v>
      </c>
      <c r="AZ31" t="e">
        <f>AND(medidas!AX11,"AAAAAD3//DM=")</f>
        <v>#VALUE!</v>
      </c>
      <c r="BA31" t="e">
        <f>AND(medidas!AY11,"AAAAAD3//DQ=")</f>
        <v>#VALUE!</v>
      </c>
      <c r="BB31" t="e">
        <f>AND(medidas!AZ11,"AAAAAD3//DU=")</f>
        <v>#VALUE!</v>
      </c>
      <c r="BC31" t="e">
        <f>AND(medidas!BA11,"AAAAAD3//DY=")</f>
        <v>#VALUE!</v>
      </c>
      <c r="BD31" t="e">
        <f>AND(medidas!BB11,"AAAAAD3//Dc=")</f>
        <v>#VALUE!</v>
      </c>
      <c r="BE31" t="e">
        <f>AND(medidas!BC11,"AAAAAD3//Dg=")</f>
        <v>#VALUE!</v>
      </c>
      <c r="BF31" t="e">
        <f>AND(medidas!BD11,"AAAAAD3//Dk=")</f>
        <v>#VALUE!</v>
      </c>
      <c r="BG31" t="e">
        <f>AND(medidas!BE11,"AAAAAD3//Do=")</f>
        <v>#VALUE!</v>
      </c>
      <c r="BH31" t="e">
        <f>AND(medidas!BF11,"AAAAAD3//Ds=")</f>
        <v>#VALUE!</v>
      </c>
      <c r="BI31" t="e">
        <f>AND(medidas!BG11,"AAAAAD3//Dw=")</f>
        <v>#VALUE!</v>
      </c>
      <c r="BJ31" t="e">
        <f>AND(medidas!BH11,"AAAAAD3//D0=")</f>
        <v>#VALUE!</v>
      </c>
      <c r="BK31" t="e">
        <f>AND(medidas!BI11,"AAAAAD3//D4=")</f>
        <v>#VALUE!</v>
      </c>
      <c r="BL31" t="e">
        <f>AND(medidas!BJ11,"AAAAAD3//D8=")</f>
        <v>#VALUE!</v>
      </c>
      <c r="BM31" t="e">
        <f>AND(medidas!BK11,"AAAAAD3//EA=")</f>
        <v>#VALUE!</v>
      </c>
      <c r="BN31" t="e">
        <f>AND(medidas!BL11,"AAAAAD3//EE=")</f>
        <v>#VALUE!</v>
      </c>
      <c r="BO31" t="e">
        <f>AND(medidas!BM11,"AAAAAD3//EI=")</f>
        <v>#VALUE!</v>
      </c>
      <c r="BP31" t="e">
        <f>AND(medidas!BN11,"AAAAAD3//EM=")</f>
        <v>#VALUE!</v>
      </c>
      <c r="BQ31" t="e">
        <f>AND(medidas!BO11,"AAAAAD3//EQ=")</f>
        <v>#VALUE!</v>
      </c>
      <c r="BR31" t="e">
        <f>AND(medidas!BP11,"AAAAAD3//EU=")</f>
        <v>#VALUE!</v>
      </c>
      <c r="BS31" t="e">
        <f>AND(medidas!BQ11,"AAAAAD3//EY=")</f>
        <v>#VALUE!</v>
      </c>
      <c r="BT31" t="e">
        <f>AND(medidas!BR11,"AAAAAD3//Ec=")</f>
        <v>#VALUE!</v>
      </c>
      <c r="BU31" t="e">
        <f>AND(medidas!BS11,"AAAAAD3//Eg=")</f>
        <v>#VALUE!</v>
      </c>
      <c r="BV31" t="e">
        <f>AND(medidas!BT11,"AAAAAD3//Ek=")</f>
        <v>#VALUE!</v>
      </c>
      <c r="BW31" t="e">
        <f>AND(medidas!BU11,"AAAAAD3//Eo=")</f>
        <v>#VALUE!</v>
      </c>
      <c r="BX31" t="e">
        <f>AND(medidas!BV11,"AAAAAD3//Es=")</f>
        <v>#VALUE!</v>
      </c>
      <c r="BY31" t="e">
        <f>AND(medidas!BW11,"AAAAAD3//Ew=")</f>
        <v>#VALUE!</v>
      </c>
      <c r="BZ31" t="e">
        <f>AND(medidas!BX11,"AAAAAD3//E0=")</f>
        <v>#VALUE!</v>
      </c>
      <c r="CA31" t="e">
        <f>AND(medidas!BY11,"AAAAAD3//E4=")</f>
        <v>#VALUE!</v>
      </c>
      <c r="CB31">
        <f>IF(medidas!12:12,"AAAAAD3//E8=",0)</f>
        <v>0</v>
      </c>
      <c r="CC31" t="e">
        <f>AND(medidas!B12,"AAAAAD3//FA=")</f>
        <v>#VALUE!</v>
      </c>
      <c r="CD31" t="e">
        <f>AND(medidas!C12,"AAAAAD3//FE=")</f>
        <v>#VALUE!</v>
      </c>
      <c r="CE31" t="e">
        <f>AND(medidas!D12,"AAAAAD3//FI=")</f>
        <v>#VALUE!</v>
      </c>
      <c r="CF31" t="e">
        <f>AND(medidas!E12,"AAAAAD3//FM=")</f>
        <v>#VALUE!</v>
      </c>
      <c r="CG31" t="e">
        <f>AND(medidas!F12,"AAAAAD3//FQ=")</f>
        <v>#VALUE!</v>
      </c>
      <c r="CH31" t="e">
        <f>AND(medidas!G12,"AAAAAD3//FU=")</f>
        <v>#VALUE!</v>
      </c>
      <c r="CI31" t="e">
        <f>AND(medidas!H12,"AAAAAD3//FY=")</f>
        <v>#VALUE!</v>
      </c>
      <c r="CJ31" t="e">
        <f>AND(medidas!I12,"AAAAAD3//Fc=")</f>
        <v>#VALUE!</v>
      </c>
      <c r="CK31" t="e">
        <f>AND(medidas!J12,"AAAAAD3//Fg=")</f>
        <v>#VALUE!</v>
      </c>
      <c r="CL31" t="e">
        <f>AND(medidas!K12,"AAAAAD3//Fk=")</f>
        <v>#VALUE!</v>
      </c>
      <c r="CM31" t="e">
        <f>AND(medidas!L12,"AAAAAD3//Fo=")</f>
        <v>#VALUE!</v>
      </c>
      <c r="CN31" t="e">
        <f>AND(medidas!M12,"AAAAAD3//Fs=")</f>
        <v>#VALUE!</v>
      </c>
      <c r="CO31" t="e">
        <f>AND(medidas!N12,"AAAAAD3//Fw=")</f>
        <v>#VALUE!</v>
      </c>
      <c r="CP31" t="e">
        <f>AND(medidas!O12,"AAAAAD3//F0=")</f>
        <v>#VALUE!</v>
      </c>
      <c r="CQ31" t="e">
        <f>AND(medidas!P12,"AAAAAD3//F4=")</f>
        <v>#VALUE!</v>
      </c>
      <c r="CR31" t="e">
        <f>AND(medidas!Q12,"AAAAAD3//F8=")</f>
        <v>#VALUE!</v>
      </c>
      <c r="CS31" t="e">
        <f>AND(medidas!R12,"AAAAAD3//GA=")</f>
        <v>#VALUE!</v>
      </c>
      <c r="CT31" t="e">
        <f>AND(medidas!S12,"AAAAAD3//GE=")</f>
        <v>#VALUE!</v>
      </c>
      <c r="CU31" t="e">
        <f>AND(medidas!T12,"AAAAAD3//GI=")</f>
        <v>#VALUE!</v>
      </c>
      <c r="CV31" t="e">
        <f>AND(medidas!U12,"AAAAAD3//GM=")</f>
        <v>#VALUE!</v>
      </c>
      <c r="CW31" t="e">
        <f>AND(medidas!V12,"AAAAAD3//GQ=")</f>
        <v>#VALUE!</v>
      </c>
      <c r="CX31" t="e">
        <f>AND(medidas!W12,"AAAAAD3//GU=")</f>
        <v>#VALUE!</v>
      </c>
      <c r="CY31" t="e">
        <f>AND(medidas!X12,"AAAAAD3//GY=")</f>
        <v>#VALUE!</v>
      </c>
      <c r="CZ31" t="e">
        <f>AND(medidas!Y12,"AAAAAD3//Gc=")</f>
        <v>#VALUE!</v>
      </c>
      <c r="DA31" t="e">
        <f>AND(medidas!Z12,"AAAAAD3//Gg=")</f>
        <v>#VALUE!</v>
      </c>
      <c r="DB31" t="e">
        <f>AND(medidas!AA12,"AAAAAD3//Gk=")</f>
        <v>#VALUE!</v>
      </c>
      <c r="DC31" t="e">
        <f>AND(medidas!AB12,"AAAAAD3//Go=")</f>
        <v>#VALUE!</v>
      </c>
      <c r="DD31" t="e">
        <f>AND(medidas!AC12,"AAAAAD3//Gs=")</f>
        <v>#VALUE!</v>
      </c>
      <c r="DE31" t="e">
        <f>AND(medidas!AD12,"AAAAAD3//Gw=")</f>
        <v>#VALUE!</v>
      </c>
      <c r="DF31" t="e">
        <f>AND(medidas!AE12,"AAAAAD3//G0=")</f>
        <v>#VALUE!</v>
      </c>
      <c r="DG31" t="e">
        <f>AND(medidas!AF12,"AAAAAD3//G4=")</f>
        <v>#VALUE!</v>
      </c>
      <c r="DH31" t="e">
        <f>AND(medidas!AG12,"AAAAAD3//G8=")</f>
        <v>#VALUE!</v>
      </c>
      <c r="DI31" t="e">
        <f>AND(medidas!AH12,"AAAAAD3//HA=")</f>
        <v>#VALUE!</v>
      </c>
      <c r="DJ31" t="e">
        <f>AND(medidas!AI12,"AAAAAD3//HE=")</f>
        <v>#VALUE!</v>
      </c>
      <c r="DK31" t="e">
        <f>AND(medidas!AJ12,"AAAAAD3//HI=")</f>
        <v>#VALUE!</v>
      </c>
      <c r="DL31" t="e">
        <f>AND(medidas!AK12,"AAAAAD3//HM=")</f>
        <v>#VALUE!</v>
      </c>
      <c r="DM31" t="e">
        <f>AND(medidas!AL12,"AAAAAD3//HQ=")</f>
        <v>#VALUE!</v>
      </c>
      <c r="DN31" t="e">
        <f>AND(medidas!AM12,"AAAAAD3//HU=")</f>
        <v>#VALUE!</v>
      </c>
      <c r="DO31" t="e">
        <f>AND(medidas!AN12,"AAAAAD3//HY=")</f>
        <v>#VALUE!</v>
      </c>
      <c r="DP31" t="e">
        <f>AND(medidas!AO12,"AAAAAD3//Hc=")</f>
        <v>#VALUE!</v>
      </c>
      <c r="DQ31" t="e">
        <f>AND(medidas!AP12,"AAAAAD3//Hg=")</f>
        <v>#VALUE!</v>
      </c>
      <c r="DR31" t="e">
        <f>AND(medidas!AQ12,"AAAAAD3//Hk=")</f>
        <v>#VALUE!</v>
      </c>
      <c r="DS31" t="e">
        <f>AND(medidas!AR12,"AAAAAD3//Ho=")</f>
        <v>#VALUE!</v>
      </c>
      <c r="DT31" t="e">
        <f>AND(medidas!AS12,"AAAAAD3//Hs=")</f>
        <v>#VALUE!</v>
      </c>
      <c r="DU31" t="e">
        <f>AND(medidas!AT12,"AAAAAD3//Hw=")</f>
        <v>#VALUE!</v>
      </c>
      <c r="DV31" t="e">
        <f>AND(medidas!AU12,"AAAAAD3//H0=")</f>
        <v>#VALUE!</v>
      </c>
      <c r="DW31" t="e">
        <f>AND(medidas!AV12,"AAAAAD3//H4=")</f>
        <v>#VALUE!</v>
      </c>
      <c r="DX31" t="e">
        <f>AND(medidas!AW12,"AAAAAD3//H8=")</f>
        <v>#VALUE!</v>
      </c>
      <c r="DY31" t="e">
        <f>AND(medidas!AX12,"AAAAAD3//IA=")</f>
        <v>#VALUE!</v>
      </c>
      <c r="DZ31" t="e">
        <f>AND(medidas!AY12,"AAAAAD3//IE=")</f>
        <v>#VALUE!</v>
      </c>
      <c r="EA31" t="e">
        <f>AND(medidas!AZ12,"AAAAAD3//II=")</f>
        <v>#VALUE!</v>
      </c>
      <c r="EB31" t="e">
        <f>AND(medidas!BA12,"AAAAAD3//IM=")</f>
        <v>#VALUE!</v>
      </c>
      <c r="EC31" t="e">
        <f>AND(medidas!BB12,"AAAAAD3//IQ=")</f>
        <v>#VALUE!</v>
      </c>
      <c r="ED31" t="e">
        <f>AND(medidas!BC12,"AAAAAD3//IU=")</f>
        <v>#VALUE!</v>
      </c>
      <c r="EE31" t="e">
        <f>AND(medidas!BD12,"AAAAAD3//IY=")</f>
        <v>#VALUE!</v>
      </c>
      <c r="EF31" t="e">
        <f>AND(medidas!BE12,"AAAAAD3//Ic=")</f>
        <v>#VALUE!</v>
      </c>
      <c r="EG31" t="e">
        <f>AND(medidas!BF12,"AAAAAD3//Ig=")</f>
        <v>#VALUE!</v>
      </c>
      <c r="EH31" t="e">
        <f>AND(medidas!BG12,"AAAAAD3//Ik=")</f>
        <v>#VALUE!</v>
      </c>
      <c r="EI31" t="e">
        <f>AND(medidas!BH12,"AAAAAD3//Io=")</f>
        <v>#VALUE!</v>
      </c>
      <c r="EJ31" t="e">
        <f>AND(medidas!BI12,"AAAAAD3//Is=")</f>
        <v>#VALUE!</v>
      </c>
      <c r="EK31" t="e">
        <f>AND(medidas!BJ12,"AAAAAD3//Iw=")</f>
        <v>#VALUE!</v>
      </c>
      <c r="EL31" t="e">
        <f>AND(medidas!BK12,"AAAAAD3//I0=")</f>
        <v>#VALUE!</v>
      </c>
      <c r="EM31" t="e">
        <f>AND(medidas!BL12,"AAAAAD3//I4=")</f>
        <v>#VALUE!</v>
      </c>
      <c r="EN31" t="e">
        <f>AND(medidas!BM12,"AAAAAD3//I8=")</f>
        <v>#VALUE!</v>
      </c>
      <c r="EO31" t="e">
        <f>AND(medidas!BN12,"AAAAAD3//JA=")</f>
        <v>#VALUE!</v>
      </c>
      <c r="EP31" t="e">
        <f>AND(medidas!BO12,"AAAAAD3//JE=")</f>
        <v>#VALUE!</v>
      </c>
      <c r="EQ31" t="e">
        <f>AND(medidas!BP12,"AAAAAD3//JI=")</f>
        <v>#VALUE!</v>
      </c>
      <c r="ER31" t="e">
        <f>AND(medidas!BQ12,"AAAAAD3//JM=")</f>
        <v>#VALUE!</v>
      </c>
      <c r="ES31" t="e">
        <f>AND(medidas!BR12,"AAAAAD3//JQ=")</f>
        <v>#VALUE!</v>
      </c>
      <c r="ET31" t="e">
        <f>AND(medidas!BS12,"AAAAAD3//JU=")</f>
        <v>#VALUE!</v>
      </c>
      <c r="EU31" t="e">
        <f>AND(medidas!BT12,"AAAAAD3//JY=")</f>
        <v>#VALUE!</v>
      </c>
      <c r="EV31" t="e">
        <f>AND(medidas!BU12,"AAAAAD3//Jc=")</f>
        <v>#VALUE!</v>
      </c>
      <c r="EW31" t="e">
        <f>AND(medidas!BV12,"AAAAAD3//Jg=")</f>
        <v>#VALUE!</v>
      </c>
      <c r="EX31" t="e">
        <f>AND(medidas!BW12,"AAAAAD3//Jk=")</f>
        <v>#VALUE!</v>
      </c>
      <c r="EY31" t="e">
        <f>AND(medidas!BX12,"AAAAAD3//Jo=")</f>
        <v>#VALUE!</v>
      </c>
      <c r="EZ31" t="e">
        <f>AND(medidas!BY12,"AAAAAD3//Js=")</f>
        <v>#VALUE!</v>
      </c>
      <c r="FA31">
        <f>IF(medidas!13:13,"AAAAAD3//Jw=",0)</f>
        <v>0</v>
      </c>
      <c r="FB31" t="e">
        <f>AND(medidas!B13,"AAAAAD3//J0=")</f>
        <v>#VALUE!</v>
      </c>
      <c r="FC31" t="e">
        <f>AND(medidas!C13,"AAAAAD3//J4=")</f>
        <v>#VALUE!</v>
      </c>
      <c r="FD31" t="e">
        <f>AND(medidas!D13,"AAAAAD3//J8=")</f>
        <v>#VALUE!</v>
      </c>
      <c r="FE31" t="e">
        <f>AND(medidas!E13,"AAAAAD3//KA=")</f>
        <v>#VALUE!</v>
      </c>
      <c r="FF31" t="e">
        <f>AND(medidas!F13,"AAAAAD3//KE=")</f>
        <v>#VALUE!</v>
      </c>
      <c r="FG31" t="e">
        <f>AND(medidas!G13,"AAAAAD3//KI=")</f>
        <v>#VALUE!</v>
      </c>
      <c r="FH31" t="e">
        <f>AND(medidas!H13,"AAAAAD3//KM=")</f>
        <v>#VALUE!</v>
      </c>
      <c r="FI31" t="e">
        <f>AND(medidas!I13,"AAAAAD3//KQ=")</f>
        <v>#VALUE!</v>
      </c>
      <c r="FJ31" t="e">
        <f>AND(medidas!J13,"AAAAAD3//KU=")</f>
        <v>#VALUE!</v>
      </c>
      <c r="FK31" t="e">
        <f>AND(medidas!K13,"AAAAAD3//KY=")</f>
        <v>#VALUE!</v>
      </c>
      <c r="FL31" t="e">
        <f>AND(medidas!L13,"AAAAAD3//Kc=")</f>
        <v>#VALUE!</v>
      </c>
      <c r="FM31" t="e">
        <f>AND(medidas!M13,"AAAAAD3//Kg=")</f>
        <v>#VALUE!</v>
      </c>
      <c r="FN31" t="e">
        <f>AND(medidas!N13,"AAAAAD3//Kk=")</f>
        <v>#VALUE!</v>
      </c>
      <c r="FO31" t="e">
        <f>AND(medidas!O13,"AAAAAD3//Ko=")</f>
        <v>#VALUE!</v>
      </c>
      <c r="FP31" t="e">
        <f>AND(medidas!P13,"AAAAAD3//Ks=")</f>
        <v>#VALUE!</v>
      </c>
      <c r="FQ31" t="e">
        <f>AND(medidas!Q13,"AAAAAD3//Kw=")</f>
        <v>#VALUE!</v>
      </c>
      <c r="FR31" t="e">
        <f>AND(medidas!R13,"AAAAAD3//K0=")</f>
        <v>#VALUE!</v>
      </c>
      <c r="FS31" t="e">
        <f>AND(medidas!S13,"AAAAAD3//K4=")</f>
        <v>#VALUE!</v>
      </c>
      <c r="FT31" t="e">
        <f>AND(medidas!T13,"AAAAAD3//K8=")</f>
        <v>#VALUE!</v>
      </c>
      <c r="FU31" t="e">
        <f>AND(medidas!U13,"AAAAAD3//LA=")</f>
        <v>#VALUE!</v>
      </c>
      <c r="FV31" t="e">
        <f>AND(medidas!V13,"AAAAAD3//LE=")</f>
        <v>#VALUE!</v>
      </c>
      <c r="FW31" t="e">
        <f>AND(medidas!W13,"AAAAAD3//LI=")</f>
        <v>#VALUE!</v>
      </c>
      <c r="FX31" t="e">
        <f>AND(medidas!X13,"AAAAAD3//LM=")</f>
        <v>#VALUE!</v>
      </c>
      <c r="FY31" t="e">
        <f>AND(medidas!Y13,"AAAAAD3//LQ=")</f>
        <v>#VALUE!</v>
      </c>
      <c r="FZ31" t="e">
        <f>AND(medidas!Z13,"AAAAAD3//LU=")</f>
        <v>#VALUE!</v>
      </c>
      <c r="GA31" t="e">
        <f>AND(medidas!AA13,"AAAAAD3//LY=")</f>
        <v>#VALUE!</v>
      </c>
      <c r="GB31" t="e">
        <f>AND(medidas!AB13,"AAAAAD3//Lc=")</f>
        <v>#VALUE!</v>
      </c>
      <c r="GC31" t="e">
        <f>AND(medidas!AC13,"AAAAAD3//Lg=")</f>
        <v>#VALUE!</v>
      </c>
      <c r="GD31" t="e">
        <f>AND(medidas!AD13,"AAAAAD3//Lk=")</f>
        <v>#VALUE!</v>
      </c>
      <c r="GE31" t="e">
        <f>AND(medidas!AE13,"AAAAAD3//Lo=")</f>
        <v>#VALUE!</v>
      </c>
      <c r="GF31" t="e">
        <f>AND(medidas!AF13,"AAAAAD3//Ls=")</f>
        <v>#VALUE!</v>
      </c>
      <c r="GG31" t="e">
        <f>AND(medidas!AG13,"AAAAAD3//Lw=")</f>
        <v>#VALUE!</v>
      </c>
      <c r="GH31" t="e">
        <f>AND(medidas!AH13,"AAAAAD3//L0=")</f>
        <v>#VALUE!</v>
      </c>
      <c r="GI31" t="e">
        <f>AND(medidas!AI13,"AAAAAD3//L4=")</f>
        <v>#VALUE!</v>
      </c>
      <c r="GJ31" t="e">
        <f>AND(medidas!AJ13,"AAAAAD3//L8=")</f>
        <v>#VALUE!</v>
      </c>
      <c r="GK31" t="e">
        <f>AND(medidas!AK13,"AAAAAD3//MA=")</f>
        <v>#VALUE!</v>
      </c>
      <c r="GL31" t="e">
        <f>AND(medidas!AL13,"AAAAAD3//ME=")</f>
        <v>#VALUE!</v>
      </c>
      <c r="GM31" t="e">
        <f>AND(medidas!AM13,"AAAAAD3//MI=")</f>
        <v>#VALUE!</v>
      </c>
      <c r="GN31" t="e">
        <f>AND(medidas!AN13,"AAAAAD3//MM=")</f>
        <v>#VALUE!</v>
      </c>
      <c r="GO31" t="e">
        <f>AND(medidas!AO13,"AAAAAD3//MQ=")</f>
        <v>#VALUE!</v>
      </c>
      <c r="GP31" t="e">
        <f>AND(medidas!AP13,"AAAAAD3//MU=")</f>
        <v>#VALUE!</v>
      </c>
      <c r="GQ31" t="e">
        <f>AND(medidas!AQ13,"AAAAAD3//MY=")</f>
        <v>#VALUE!</v>
      </c>
      <c r="GR31" t="e">
        <f>AND(medidas!AR13,"AAAAAD3//Mc=")</f>
        <v>#VALUE!</v>
      </c>
      <c r="GS31" t="e">
        <f>AND(medidas!AS13,"AAAAAD3//Mg=")</f>
        <v>#VALUE!</v>
      </c>
      <c r="GT31" t="e">
        <f>AND(medidas!AT13,"AAAAAD3//Mk=")</f>
        <v>#VALUE!</v>
      </c>
      <c r="GU31" t="e">
        <f>AND(medidas!AU13,"AAAAAD3//Mo=")</f>
        <v>#VALUE!</v>
      </c>
      <c r="GV31" t="e">
        <f>AND(medidas!AV13,"AAAAAD3//Ms=")</f>
        <v>#VALUE!</v>
      </c>
      <c r="GW31" t="e">
        <f>AND(medidas!AW13,"AAAAAD3//Mw=")</f>
        <v>#VALUE!</v>
      </c>
      <c r="GX31" t="e">
        <f>AND(medidas!AX13,"AAAAAD3//M0=")</f>
        <v>#VALUE!</v>
      </c>
      <c r="GY31" t="e">
        <f>AND(medidas!AY13,"AAAAAD3//M4=")</f>
        <v>#VALUE!</v>
      </c>
      <c r="GZ31" t="e">
        <f>AND(medidas!AZ13,"AAAAAD3//M8=")</f>
        <v>#VALUE!</v>
      </c>
      <c r="HA31" t="e">
        <f>AND(medidas!BA13,"AAAAAD3//NA=")</f>
        <v>#VALUE!</v>
      </c>
      <c r="HB31" t="e">
        <f>AND(medidas!BB13,"AAAAAD3//NE=")</f>
        <v>#VALUE!</v>
      </c>
      <c r="HC31" t="e">
        <f>AND(medidas!BC13,"AAAAAD3//NI=")</f>
        <v>#VALUE!</v>
      </c>
      <c r="HD31" t="e">
        <f>AND(medidas!BD13,"AAAAAD3//NM=")</f>
        <v>#VALUE!</v>
      </c>
      <c r="HE31" t="e">
        <f>AND(medidas!BE13,"AAAAAD3//NQ=")</f>
        <v>#VALUE!</v>
      </c>
      <c r="HF31" t="e">
        <f>AND(medidas!BF13,"AAAAAD3//NU=")</f>
        <v>#VALUE!</v>
      </c>
      <c r="HG31" t="e">
        <f>AND(medidas!BG13,"AAAAAD3//NY=")</f>
        <v>#VALUE!</v>
      </c>
      <c r="HH31" t="e">
        <f>AND(medidas!BH13,"AAAAAD3//Nc=")</f>
        <v>#VALUE!</v>
      </c>
      <c r="HI31" t="e">
        <f>AND(medidas!BI13,"AAAAAD3//Ng=")</f>
        <v>#VALUE!</v>
      </c>
      <c r="HJ31" t="e">
        <f>AND(medidas!BJ13,"AAAAAD3//Nk=")</f>
        <v>#VALUE!</v>
      </c>
      <c r="HK31" t="e">
        <f>AND(medidas!BK13,"AAAAAD3//No=")</f>
        <v>#VALUE!</v>
      </c>
      <c r="HL31" t="e">
        <f>AND(medidas!BL13,"AAAAAD3//Ns=")</f>
        <v>#VALUE!</v>
      </c>
      <c r="HM31" t="e">
        <f>AND(medidas!BM13,"AAAAAD3//Nw=")</f>
        <v>#VALUE!</v>
      </c>
      <c r="HN31" t="e">
        <f>AND(medidas!BN13,"AAAAAD3//N0=")</f>
        <v>#VALUE!</v>
      </c>
      <c r="HO31" t="e">
        <f>AND(medidas!BO13,"AAAAAD3//N4=")</f>
        <v>#VALUE!</v>
      </c>
      <c r="HP31" t="e">
        <f>AND(medidas!BP13,"AAAAAD3//N8=")</f>
        <v>#VALUE!</v>
      </c>
      <c r="HQ31" t="e">
        <f>AND(medidas!BQ13,"AAAAAD3//OA=")</f>
        <v>#VALUE!</v>
      </c>
      <c r="HR31" t="e">
        <f>AND(medidas!BR13,"AAAAAD3//OE=")</f>
        <v>#VALUE!</v>
      </c>
      <c r="HS31" t="e">
        <f>AND(medidas!BS13,"AAAAAD3//OI=")</f>
        <v>#VALUE!</v>
      </c>
      <c r="HT31" t="e">
        <f>AND(medidas!BT13,"AAAAAD3//OM=")</f>
        <v>#VALUE!</v>
      </c>
      <c r="HU31" t="e">
        <f>AND(medidas!BU13,"AAAAAD3//OQ=")</f>
        <v>#VALUE!</v>
      </c>
      <c r="HV31" t="e">
        <f>AND(medidas!BV13,"AAAAAD3//OU=")</f>
        <v>#VALUE!</v>
      </c>
      <c r="HW31" t="e">
        <f>AND(medidas!BW13,"AAAAAD3//OY=")</f>
        <v>#VALUE!</v>
      </c>
      <c r="HX31" t="e">
        <f>AND(medidas!BX13,"AAAAAD3//Oc=")</f>
        <v>#VALUE!</v>
      </c>
      <c r="HY31" t="e">
        <f>AND(medidas!BY13,"AAAAAD3//Og=")</f>
        <v>#VALUE!</v>
      </c>
      <c r="HZ31">
        <f>IF(medidas!14:14,"AAAAAD3//Ok=",0)</f>
        <v>0</v>
      </c>
      <c r="IA31" t="e">
        <f>AND(medidas!B14,"AAAAAD3//Oo=")</f>
        <v>#VALUE!</v>
      </c>
      <c r="IB31" t="e">
        <f>AND(medidas!C14,"AAAAAD3//Os=")</f>
        <v>#VALUE!</v>
      </c>
      <c r="IC31" t="e">
        <f>AND(medidas!D14,"AAAAAD3//Ow=")</f>
        <v>#VALUE!</v>
      </c>
      <c r="ID31" t="e">
        <f>AND(medidas!E14,"AAAAAD3//O0=")</f>
        <v>#VALUE!</v>
      </c>
      <c r="IE31" t="e">
        <f>AND(medidas!F14,"AAAAAD3//O4=")</f>
        <v>#VALUE!</v>
      </c>
      <c r="IF31" t="e">
        <f>AND(medidas!G14,"AAAAAD3//O8=")</f>
        <v>#VALUE!</v>
      </c>
      <c r="IG31" t="e">
        <f>AND(medidas!H14,"AAAAAD3//PA=")</f>
        <v>#VALUE!</v>
      </c>
      <c r="IH31" t="e">
        <f>AND(medidas!I14,"AAAAAD3//PE=")</f>
        <v>#VALUE!</v>
      </c>
      <c r="II31" t="e">
        <f>AND(medidas!J14,"AAAAAD3//PI=")</f>
        <v>#VALUE!</v>
      </c>
      <c r="IJ31" t="e">
        <f>AND(medidas!K14,"AAAAAD3//PM=")</f>
        <v>#VALUE!</v>
      </c>
      <c r="IK31" t="e">
        <f>AND(medidas!L14,"AAAAAD3//PQ=")</f>
        <v>#VALUE!</v>
      </c>
      <c r="IL31" t="e">
        <f>AND(medidas!M14,"AAAAAD3//PU=")</f>
        <v>#VALUE!</v>
      </c>
      <c r="IM31" t="e">
        <f>AND(medidas!N14,"AAAAAD3//PY=")</f>
        <v>#VALUE!</v>
      </c>
      <c r="IN31" t="e">
        <f>AND(medidas!O14,"AAAAAD3//Pc=")</f>
        <v>#VALUE!</v>
      </c>
      <c r="IO31" t="e">
        <f>AND(medidas!P14,"AAAAAD3//Pg=")</f>
        <v>#VALUE!</v>
      </c>
      <c r="IP31" t="e">
        <f>AND(medidas!Q14,"AAAAAD3//Pk=")</f>
        <v>#VALUE!</v>
      </c>
      <c r="IQ31" t="e">
        <f>AND(medidas!R14,"AAAAAD3//Po=")</f>
        <v>#VALUE!</v>
      </c>
      <c r="IR31" t="e">
        <f>AND(medidas!S14,"AAAAAD3//Ps=")</f>
        <v>#VALUE!</v>
      </c>
      <c r="IS31" t="e">
        <f>AND(medidas!T14,"AAAAAD3//Pw=")</f>
        <v>#VALUE!</v>
      </c>
      <c r="IT31" t="e">
        <f>AND(medidas!U14,"AAAAAD3//P0=")</f>
        <v>#VALUE!</v>
      </c>
      <c r="IU31" t="e">
        <f>AND(medidas!V14,"AAAAAD3//P4=")</f>
        <v>#VALUE!</v>
      </c>
      <c r="IV31" t="e">
        <f>AND(medidas!W14,"AAAAAD3//P8=")</f>
        <v>#VALUE!</v>
      </c>
    </row>
    <row r="32" spans="1:256" x14ac:dyDescent="0.2">
      <c r="A32" t="e">
        <f>AND(medidas!X14,"AAAAAH+//wA=")</f>
        <v>#VALUE!</v>
      </c>
      <c r="B32" t="e">
        <f>AND(medidas!Y14,"AAAAAH+//wE=")</f>
        <v>#VALUE!</v>
      </c>
      <c r="C32" t="e">
        <f>AND(medidas!Z14,"AAAAAH+//wI=")</f>
        <v>#VALUE!</v>
      </c>
      <c r="D32" t="e">
        <f>AND(medidas!AA14,"AAAAAH+//wM=")</f>
        <v>#VALUE!</v>
      </c>
      <c r="E32" t="e">
        <f>AND(medidas!AB14,"AAAAAH+//wQ=")</f>
        <v>#VALUE!</v>
      </c>
      <c r="F32" t="e">
        <f>AND(medidas!AC14,"AAAAAH+//wU=")</f>
        <v>#VALUE!</v>
      </c>
      <c r="G32" t="e">
        <f>AND(medidas!AD14,"AAAAAH+//wY=")</f>
        <v>#VALUE!</v>
      </c>
      <c r="H32" t="e">
        <f>AND(medidas!AE14,"AAAAAH+//wc=")</f>
        <v>#VALUE!</v>
      </c>
      <c r="I32" t="e">
        <f>AND(medidas!AF14,"AAAAAH+//wg=")</f>
        <v>#VALUE!</v>
      </c>
      <c r="J32" t="e">
        <f>AND(medidas!AG14,"AAAAAH+//wk=")</f>
        <v>#VALUE!</v>
      </c>
      <c r="K32" t="e">
        <f>AND(medidas!AH14,"AAAAAH+//wo=")</f>
        <v>#VALUE!</v>
      </c>
      <c r="L32" t="e">
        <f>AND(medidas!AI14,"AAAAAH+//ws=")</f>
        <v>#VALUE!</v>
      </c>
      <c r="M32" t="e">
        <f>AND(medidas!AJ14,"AAAAAH+//ww=")</f>
        <v>#VALUE!</v>
      </c>
      <c r="N32" t="e">
        <f>AND(medidas!AK14,"AAAAAH+//w0=")</f>
        <v>#VALUE!</v>
      </c>
      <c r="O32" t="e">
        <f>AND(medidas!AL14,"AAAAAH+//w4=")</f>
        <v>#VALUE!</v>
      </c>
      <c r="P32" t="e">
        <f>AND(medidas!AM14,"AAAAAH+//w8=")</f>
        <v>#VALUE!</v>
      </c>
      <c r="Q32" t="e">
        <f>AND(medidas!AN14,"AAAAAH+//xA=")</f>
        <v>#VALUE!</v>
      </c>
      <c r="R32" t="e">
        <f>AND(medidas!AO14,"AAAAAH+//xE=")</f>
        <v>#VALUE!</v>
      </c>
      <c r="S32" t="e">
        <f>AND(medidas!AP14,"AAAAAH+//xI=")</f>
        <v>#VALUE!</v>
      </c>
      <c r="T32" t="e">
        <f>AND(medidas!AQ14,"AAAAAH+//xM=")</f>
        <v>#VALUE!</v>
      </c>
      <c r="U32" t="e">
        <f>AND(medidas!AR14,"AAAAAH+//xQ=")</f>
        <v>#VALUE!</v>
      </c>
      <c r="V32" t="e">
        <f>AND(medidas!AS14,"AAAAAH+//xU=")</f>
        <v>#VALUE!</v>
      </c>
      <c r="W32" t="e">
        <f>AND(medidas!AT14,"AAAAAH+//xY=")</f>
        <v>#VALUE!</v>
      </c>
      <c r="X32" t="e">
        <f>AND(medidas!AU14,"AAAAAH+//xc=")</f>
        <v>#VALUE!</v>
      </c>
      <c r="Y32" t="e">
        <f>AND(medidas!AV14,"AAAAAH+//xg=")</f>
        <v>#VALUE!</v>
      </c>
      <c r="Z32" t="e">
        <f>AND(medidas!AW14,"AAAAAH+//xk=")</f>
        <v>#VALUE!</v>
      </c>
      <c r="AA32" t="e">
        <f>AND(medidas!AX14,"AAAAAH+//xo=")</f>
        <v>#VALUE!</v>
      </c>
      <c r="AB32" t="e">
        <f>AND(medidas!AY14,"AAAAAH+//xs=")</f>
        <v>#VALUE!</v>
      </c>
      <c r="AC32" t="e">
        <f>AND(medidas!AZ14,"AAAAAH+//xw=")</f>
        <v>#VALUE!</v>
      </c>
      <c r="AD32" t="e">
        <f>AND(medidas!BA14,"AAAAAH+//x0=")</f>
        <v>#VALUE!</v>
      </c>
      <c r="AE32" t="e">
        <f>AND(medidas!BB14,"AAAAAH+//x4=")</f>
        <v>#VALUE!</v>
      </c>
      <c r="AF32" t="e">
        <f>AND(medidas!BC14,"AAAAAH+//x8=")</f>
        <v>#VALUE!</v>
      </c>
      <c r="AG32" t="e">
        <f>AND(medidas!BD14,"AAAAAH+//yA=")</f>
        <v>#VALUE!</v>
      </c>
      <c r="AH32" t="e">
        <f>AND(medidas!BE14,"AAAAAH+//yE=")</f>
        <v>#VALUE!</v>
      </c>
      <c r="AI32" t="e">
        <f>AND(medidas!BF14,"AAAAAH+//yI=")</f>
        <v>#VALUE!</v>
      </c>
      <c r="AJ32" t="e">
        <f>AND(medidas!BG14,"AAAAAH+//yM=")</f>
        <v>#VALUE!</v>
      </c>
      <c r="AK32" t="e">
        <f>AND(medidas!BH14,"AAAAAH+//yQ=")</f>
        <v>#VALUE!</v>
      </c>
      <c r="AL32" t="e">
        <f>AND(medidas!BI14,"AAAAAH+//yU=")</f>
        <v>#VALUE!</v>
      </c>
      <c r="AM32" t="e">
        <f>AND(medidas!BJ14,"AAAAAH+//yY=")</f>
        <v>#VALUE!</v>
      </c>
      <c r="AN32" t="e">
        <f>AND(medidas!BK14,"AAAAAH+//yc=")</f>
        <v>#VALUE!</v>
      </c>
      <c r="AO32" t="e">
        <f>AND(medidas!BL14,"AAAAAH+//yg=")</f>
        <v>#VALUE!</v>
      </c>
      <c r="AP32" t="e">
        <f>AND(medidas!BM14,"AAAAAH+//yk=")</f>
        <v>#VALUE!</v>
      </c>
      <c r="AQ32" t="e">
        <f>AND(medidas!BN14,"AAAAAH+//yo=")</f>
        <v>#VALUE!</v>
      </c>
      <c r="AR32" t="e">
        <f>AND(medidas!BO14,"AAAAAH+//ys=")</f>
        <v>#VALUE!</v>
      </c>
      <c r="AS32" t="e">
        <f>AND(medidas!BP14,"AAAAAH+//yw=")</f>
        <v>#VALUE!</v>
      </c>
      <c r="AT32" t="e">
        <f>AND(medidas!BQ14,"AAAAAH+//y0=")</f>
        <v>#VALUE!</v>
      </c>
      <c r="AU32" t="e">
        <f>AND(medidas!BR14,"AAAAAH+//y4=")</f>
        <v>#VALUE!</v>
      </c>
      <c r="AV32" t="e">
        <f>AND(medidas!BS14,"AAAAAH+//y8=")</f>
        <v>#VALUE!</v>
      </c>
      <c r="AW32" t="e">
        <f>AND(medidas!BT14,"AAAAAH+//zA=")</f>
        <v>#VALUE!</v>
      </c>
      <c r="AX32" t="e">
        <f>AND(medidas!BU14,"AAAAAH+//zE=")</f>
        <v>#VALUE!</v>
      </c>
      <c r="AY32" t="e">
        <f>AND(medidas!BV14,"AAAAAH+//zI=")</f>
        <v>#VALUE!</v>
      </c>
      <c r="AZ32" t="e">
        <f>AND(medidas!BW14,"AAAAAH+//zM=")</f>
        <v>#VALUE!</v>
      </c>
      <c r="BA32" t="e">
        <f>AND(medidas!BX14,"AAAAAH+//zQ=")</f>
        <v>#VALUE!</v>
      </c>
      <c r="BB32" t="e">
        <f>AND(medidas!BY14,"AAAAAH+//zU=")</f>
        <v>#VALUE!</v>
      </c>
      <c r="BC32">
        <f>IF(medidas!15:15,"AAAAAH+//zY=",0)</f>
        <v>0</v>
      </c>
      <c r="BD32" t="e">
        <f>AND(medidas!B15,"AAAAAH+//zc=")</f>
        <v>#VALUE!</v>
      </c>
      <c r="BE32" t="e">
        <f>AND(medidas!C15,"AAAAAH+//zg=")</f>
        <v>#VALUE!</v>
      </c>
      <c r="BF32" t="e">
        <f>AND(medidas!D15,"AAAAAH+//zk=")</f>
        <v>#VALUE!</v>
      </c>
      <c r="BG32" t="e">
        <f>AND(medidas!E15,"AAAAAH+//zo=")</f>
        <v>#VALUE!</v>
      </c>
      <c r="BH32" t="e">
        <f>AND(medidas!F15,"AAAAAH+//zs=")</f>
        <v>#VALUE!</v>
      </c>
      <c r="BI32" t="e">
        <f>AND(medidas!G15,"AAAAAH+//zw=")</f>
        <v>#VALUE!</v>
      </c>
      <c r="BJ32" t="e">
        <f>AND(medidas!H15,"AAAAAH+//z0=")</f>
        <v>#VALUE!</v>
      </c>
      <c r="BK32" t="e">
        <f>AND(medidas!I15,"AAAAAH+//z4=")</f>
        <v>#VALUE!</v>
      </c>
      <c r="BL32" t="e">
        <f>AND(medidas!J15,"AAAAAH+//z8=")</f>
        <v>#VALUE!</v>
      </c>
      <c r="BM32" t="e">
        <f>AND(medidas!K15,"AAAAAH+//0A=")</f>
        <v>#VALUE!</v>
      </c>
      <c r="BN32" t="e">
        <f>AND(medidas!L15,"AAAAAH+//0E=")</f>
        <v>#VALUE!</v>
      </c>
      <c r="BO32" t="e">
        <f>AND(medidas!M15,"AAAAAH+//0I=")</f>
        <v>#VALUE!</v>
      </c>
      <c r="BP32" t="e">
        <f>AND(medidas!N15,"AAAAAH+//0M=")</f>
        <v>#VALUE!</v>
      </c>
      <c r="BQ32" t="e">
        <f>AND(medidas!O15,"AAAAAH+//0Q=")</f>
        <v>#VALUE!</v>
      </c>
      <c r="BR32" t="e">
        <f>AND(medidas!P15,"AAAAAH+//0U=")</f>
        <v>#VALUE!</v>
      </c>
      <c r="BS32" t="e">
        <f>AND(medidas!Q15,"AAAAAH+//0Y=")</f>
        <v>#VALUE!</v>
      </c>
      <c r="BT32" t="e">
        <f>AND(medidas!R15,"AAAAAH+//0c=")</f>
        <v>#VALUE!</v>
      </c>
      <c r="BU32" t="e">
        <f>AND(medidas!S15,"AAAAAH+//0g=")</f>
        <v>#VALUE!</v>
      </c>
      <c r="BV32" t="e">
        <f>AND(medidas!T15,"AAAAAH+//0k=")</f>
        <v>#VALUE!</v>
      </c>
      <c r="BW32" t="e">
        <f>AND(medidas!U15,"AAAAAH+//0o=")</f>
        <v>#VALUE!</v>
      </c>
      <c r="BX32" t="e">
        <f>AND(medidas!V15,"AAAAAH+//0s=")</f>
        <v>#VALUE!</v>
      </c>
      <c r="BY32" t="e">
        <f>AND(medidas!W15,"AAAAAH+//0w=")</f>
        <v>#VALUE!</v>
      </c>
      <c r="BZ32" t="e">
        <f>AND(medidas!X15,"AAAAAH+//00=")</f>
        <v>#VALUE!</v>
      </c>
      <c r="CA32" t="e">
        <f>AND(medidas!Y15,"AAAAAH+//04=")</f>
        <v>#VALUE!</v>
      </c>
      <c r="CB32" t="e">
        <f>AND(medidas!Z15,"AAAAAH+//08=")</f>
        <v>#VALUE!</v>
      </c>
      <c r="CC32" t="e">
        <f>AND(medidas!AA15,"AAAAAH+//1A=")</f>
        <v>#VALUE!</v>
      </c>
      <c r="CD32" t="e">
        <f>AND(medidas!AB15,"AAAAAH+//1E=")</f>
        <v>#VALUE!</v>
      </c>
      <c r="CE32" t="e">
        <f>AND(medidas!AC15,"AAAAAH+//1I=")</f>
        <v>#VALUE!</v>
      </c>
      <c r="CF32" t="e">
        <f>AND(medidas!AD15,"AAAAAH+//1M=")</f>
        <v>#VALUE!</v>
      </c>
      <c r="CG32" t="e">
        <f>AND(medidas!AE15,"AAAAAH+//1Q=")</f>
        <v>#VALUE!</v>
      </c>
      <c r="CH32" t="e">
        <f>AND(medidas!AF15,"AAAAAH+//1U=")</f>
        <v>#VALUE!</v>
      </c>
      <c r="CI32" t="e">
        <f>AND(medidas!AG15,"AAAAAH+//1Y=")</f>
        <v>#VALUE!</v>
      </c>
      <c r="CJ32" t="e">
        <f>AND(medidas!AH15,"AAAAAH+//1c=")</f>
        <v>#VALUE!</v>
      </c>
      <c r="CK32" t="e">
        <f>AND(medidas!AI15,"AAAAAH+//1g=")</f>
        <v>#VALUE!</v>
      </c>
      <c r="CL32" t="e">
        <f>AND(medidas!AJ15,"AAAAAH+//1k=")</f>
        <v>#VALUE!</v>
      </c>
      <c r="CM32" t="e">
        <f>AND(medidas!AK15,"AAAAAH+//1o=")</f>
        <v>#VALUE!</v>
      </c>
      <c r="CN32" t="e">
        <f>AND(medidas!AL15,"AAAAAH+//1s=")</f>
        <v>#VALUE!</v>
      </c>
      <c r="CO32" t="e">
        <f>AND(medidas!AM15,"AAAAAH+//1w=")</f>
        <v>#VALUE!</v>
      </c>
      <c r="CP32" t="e">
        <f>AND(medidas!AN15,"AAAAAH+//10=")</f>
        <v>#VALUE!</v>
      </c>
      <c r="CQ32" t="e">
        <f>AND(medidas!AO15,"AAAAAH+//14=")</f>
        <v>#VALUE!</v>
      </c>
      <c r="CR32" t="e">
        <f>AND(medidas!AP15,"AAAAAH+//18=")</f>
        <v>#VALUE!</v>
      </c>
      <c r="CS32" t="e">
        <f>AND(medidas!AQ15,"AAAAAH+//2A=")</f>
        <v>#VALUE!</v>
      </c>
      <c r="CT32" t="e">
        <f>AND(medidas!AR15,"AAAAAH+//2E=")</f>
        <v>#VALUE!</v>
      </c>
      <c r="CU32" t="e">
        <f>AND(medidas!AS15,"AAAAAH+//2I=")</f>
        <v>#VALUE!</v>
      </c>
      <c r="CV32" t="e">
        <f>AND(medidas!AT15,"AAAAAH+//2M=")</f>
        <v>#VALUE!</v>
      </c>
      <c r="CW32" t="e">
        <f>AND(medidas!AU15,"AAAAAH+//2Q=")</f>
        <v>#VALUE!</v>
      </c>
      <c r="CX32" t="e">
        <f>AND(medidas!AV15,"AAAAAH+//2U=")</f>
        <v>#VALUE!</v>
      </c>
      <c r="CY32" t="e">
        <f>AND(medidas!AW15,"AAAAAH+//2Y=")</f>
        <v>#VALUE!</v>
      </c>
      <c r="CZ32" t="e">
        <f>AND(medidas!AX15,"AAAAAH+//2c=")</f>
        <v>#VALUE!</v>
      </c>
      <c r="DA32" t="e">
        <f>AND(medidas!AY15,"AAAAAH+//2g=")</f>
        <v>#VALUE!</v>
      </c>
      <c r="DB32" t="e">
        <f>AND(medidas!AZ15,"AAAAAH+//2k=")</f>
        <v>#VALUE!</v>
      </c>
      <c r="DC32" t="e">
        <f>AND(medidas!BA15,"AAAAAH+//2o=")</f>
        <v>#VALUE!</v>
      </c>
      <c r="DD32" t="e">
        <f>AND(medidas!BB15,"AAAAAH+//2s=")</f>
        <v>#VALUE!</v>
      </c>
      <c r="DE32" t="e">
        <f>AND(medidas!BC15,"AAAAAH+//2w=")</f>
        <v>#VALUE!</v>
      </c>
      <c r="DF32" t="e">
        <f>AND(medidas!BD15,"AAAAAH+//20=")</f>
        <v>#VALUE!</v>
      </c>
      <c r="DG32" t="e">
        <f>AND(medidas!BE15,"AAAAAH+//24=")</f>
        <v>#VALUE!</v>
      </c>
      <c r="DH32" t="e">
        <f>AND(medidas!BF15,"AAAAAH+//28=")</f>
        <v>#VALUE!</v>
      </c>
      <c r="DI32" t="e">
        <f>AND(medidas!BG15,"AAAAAH+//3A=")</f>
        <v>#VALUE!</v>
      </c>
      <c r="DJ32" t="e">
        <f>AND(medidas!BH15,"AAAAAH+//3E=")</f>
        <v>#VALUE!</v>
      </c>
      <c r="DK32" t="e">
        <f>AND(medidas!BI15,"AAAAAH+//3I=")</f>
        <v>#VALUE!</v>
      </c>
      <c r="DL32" t="e">
        <f>AND(medidas!BJ15,"AAAAAH+//3M=")</f>
        <v>#VALUE!</v>
      </c>
      <c r="DM32" t="e">
        <f>AND(medidas!BK15,"AAAAAH+//3Q=")</f>
        <v>#VALUE!</v>
      </c>
      <c r="DN32" t="e">
        <f>AND(medidas!BL15,"AAAAAH+//3U=")</f>
        <v>#VALUE!</v>
      </c>
      <c r="DO32" t="e">
        <f>AND(medidas!BM15,"AAAAAH+//3Y=")</f>
        <v>#VALUE!</v>
      </c>
      <c r="DP32" t="e">
        <f>AND(medidas!BN15,"AAAAAH+//3c=")</f>
        <v>#VALUE!</v>
      </c>
      <c r="DQ32" t="e">
        <f>AND(medidas!BO15,"AAAAAH+//3g=")</f>
        <v>#VALUE!</v>
      </c>
      <c r="DR32" t="e">
        <f>AND(medidas!BP15,"AAAAAH+//3k=")</f>
        <v>#VALUE!</v>
      </c>
      <c r="DS32" t="e">
        <f>AND(medidas!BQ15,"AAAAAH+//3o=")</f>
        <v>#VALUE!</v>
      </c>
      <c r="DT32" t="e">
        <f>AND(medidas!BR15,"AAAAAH+//3s=")</f>
        <v>#VALUE!</v>
      </c>
      <c r="DU32" t="e">
        <f>AND(medidas!BS15,"AAAAAH+//3w=")</f>
        <v>#VALUE!</v>
      </c>
      <c r="DV32" t="e">
        <f>AND(medidas!BT15,"AAAAAH+//30=")</f>
        <v>#VALUE!</v>
      </c>
      <c r="DW32" t="e">
        <f>AND(medidas!BU15,"AAAAAH+//34=")</f>
        <v>#VALUE!</v>
      </c>
      <c r="DX32" t="e">
        <f>AND(medidas!BV15,"AAAAAH+//38=")</f>
        <v>#VALUE!</v>
      </c>
      <c r="DY32" t="e">
        <f>AND(medidas!BW15,"AAAAAH+//4A=")</f>
        <v>#VALUE!</v>
      </c>
      <c r="DZ32" t="e">
        <f>AND(medidas!BX15,"AAAAAH+//4E=")</f>
        <v>#VALUE!</v>
      </c>
      <c r="EA32" t="e">
        <f>AND(medidas!BY15,"AAAAAH+//4I=")</f>
        <v>#VALUE!</v>
      </c>
      <c r="EB32">
        <f>IF(medidas!16:16,"AAAAAH+//4M=",0)</f>
        <v>0</v>
      </c>
      <c r="EC32" t="e">
        <f>AND(medidas!B16,"AAAAAH+//4Q=")</f>
        <v>#VALUE!</v>
      </c>
      <c r="ED32" t="e">
        <f>AND(medidas!C16,"AAAAAH+//4U=")</f>
        <v>#VALUE!</v>
      </c>
      <c r="EE32" t="e">
        <f>AND(medidas!D16,"AAAAAH+//4Y=")</f>
        <v>#VALUE!</v>
      </c>
      <c r="EF32" t="e">
        <f>AND(medidas!E16,"AAAAAH+//4c=")</f>
        <v>#VALUE!</v>
      </c>
      <c r="EG32" t="e">
        <f>AND(medidas!F16,"AAAAAH+//4g=")</f>
        <v>#VALUE!</v>
      </c>
      <c r="EH32" t="e">
        <f>AND(medidas!G16,"AAAAAH+//4k=")</f>
        <v>#VALUE!</v>
      </c>
      <c r="EI32" t="e">
        <f>AND(medidas!H16,"AAAAAH+//4o=")</f>
        <v>#VALUE!</v>
      </c>
      <c r="EJ32" t="e">
        <f>AND(medidas!I16,"AAAAAH+//4s=")</f>
        <v>#VALUE!</v>
      </c>
      <c r="EK32" t="e">
        <f>AND(medidas!J16,"AAAAAH+//4w=")</f>
        <v>#VALUE!</v>
      </c>
      <c r="EL32" t="e">
        <f>AND(medidas!K16,"AAAAAH+//40=")</f>
        <v>#VALUE!</v>
      </c>
      <c r="EM32" t="e">
        <f>AND(medidas!L16,"AAAAAH+//44=")</f>
        <v>#VALUE!</v>
      </c>
      <c r="EN32" t="e">
        <f>AND(medidas!M16,"AAAAAH+//48=")</f>
        <v>#VALUE!</v>
      </c>
      <c r="EO32" t="e">
        <f>AND(medidas!N16,"AAAAAH+//5A=")</f>
        <v>#VALUE!</v>
      </c>
      <c r="EP32" t="e">
        <f>AND(medidas!O16,"AAAAAH+//5E=")</f>
        <v>#VALUE!</v>
      </c>
      <c r="EQ32" t="e">
        <f>AND(medidas!P16,"AAAAAH+//5I=")</f>
        <v>#VALUE!</v>
      </c>
      <c r="ER32" t="e">
        <f>AND(medidas!Q16,"AAAAAH+//5M=")</f>
        <v>#VALUE!</v>
      </c>
      <c r="ES32" t="e">
        <f>AND(medidas!R16,"AAAAAH+//5Q=")</f>
        <v>#VALUE!</v>
      </c>
      <c r="ET32" t="e">
        <f>AND(medidas!S16,"AAAAAH+//5U=")</f>
        <v>#VALUE!</v>
      </c>
      <c r="EU32" t="e">
        <f>AND(medidas!T16,"AAAAAH+//5Y=")</f>
        <v>#VALUE!</v>
      </c>
      <c r="EV32" t="e">
        <f>AND(medidas!U16,"AAAAAH+//5c=")</f>
        <v>#VALUE!</v>
      </c>
      <c r="EW32" t="e">
        <f>AND(medidas!V16,"AAAAAH+//5g=")</f>
        <v>#VALUE!</v>
      </c>
      <c r="EX32" t="e">
        <f>AND(medidas!W16,"AAAAAH+//5k=")</f>
        <v>#VALUE!</v>
      </c>
      <c r="EY32" t="e">
        <f>AND(medidas!X16,"AAAAAH+//5o=")</f>
        <v>#VALUE!</v>
      </c>
      <c r="EZ32" t="e">
        <f>AND(medidas!Y16,"AAAAAH+//5s=")</f>
        <v>#VALUE!</v>
      </c>
      <c r="FA32" t="e">
        <f>AND(medidas!Z16,"AAAAAH+//5w=")</f>
        <v>#VALUE!</v>
      </c>
      <c r="FB32" t="e">
        <f>AND(medidas!AA16,"AAAAAH+//50=")</f>
        <v>#VALUE!</v>
      </c>
      <c r="FC32" t="e">
        <f>AND(medidas!AB16,"AAAAAH+//54=")</f>
        <v>#VALUE!</v>
      </c>
      <c r="FD32" t="e">
        <f>AND(medidas!AC16,"AAAAAH+//58=")</f>
        <v>#VALUE!</v>
      </c>
      <c r="FE32" t="e">
        <f>AND(medidas!AD16,"AAAAAH+//6A=")</f>
        <v>#VALUE!</v>
      </c>
      <c r="FF32" t="e">
        <f>AND(medidas!AE16,"AAAAAH+//6E=")</f>
        <v>#VALUE!</v>
      </c>
      <c r="FG32" t="e">
        <f>AND(medidas!AF16,"AAAAAH+//6I=")</f>
        <v>#VALUE!</v>
      </c>
      <c r="FH32" t="e">
        <f>AND(medidas!AG16,"AAAAAH+//6M=")</f>
        <v>#VALUE!</v>
      </c>
      <c r="FI32" t="e">
        <f>AND(medidas!AH16,"AAAAAH+//6Q=")</f>
        <v>#VALUE!</v>
      </c>
      <c r="FJ32" t="e">
        <f>AND(medidas!AI16,"AAAAAH+//6U=")</f>
        <v>#VALUE!</v>
      </c>
      <c r="FK32" t="e">
        <f>AND(medidas!AJ16,"AAAAAH+//6Y=")</f>
        <v>#VALUE!</v>
      </c>
      <c r="FL32" t="e">
        <f>AND(medidas!AK16,"AAAAAH+//6c=")</f>
        <v>#VALUE!</v>
      </c>
      <c r="FM32" t="e">
        <f>AND(medidas!AL16,"AAAAAH+//6g=")</f>
        <v>#VALUE!</v>
      </c>
      <c r="FN32" t="e">
        <f>AND(medidas!AM16,"AAAAAH+//6k=")</f>
        <v>#VALUE!</v>
      </c>
      <c r="FO32" t="e">
        <f>AND(medidas!AN16,"AAAAAH+//6o=")</f>
        <v>#VALUE!</v>
      </c>
      <c r="FP32" t="e">
        <f>AND(medidas!AO16,"AAAAAH+//6s=")</f>
        <v>#VALUE!</v>
      </c>
      <c r="FQ32" t="e">
        <f>AND(medidas!AP16,"AAAAAH+//6w=")</f>
        <v>#VALUE!</v>
      </c>
      <c r="FR32" t="e">
        <f>AND(medidas!AQ16,"AAAAAH+//60=")</f>
        <v>#VALUE!</v>
      </c>
      <c r="FS32" t="e">
        <f>AND(medidas!AR16,"AAAAAH+//64=")</f>
        <v>#VALUE!</v>
      </c>
      <c r="FT32" t="e">
        <f>AND(medidas!AS16,"AAAAAH+//68=")</f>
        <v>#VALUE!</v>
      </c>
      <c r="FU32" t="e">
        <f>AND(medidas!AT16,"AAAAAH+//7A=")</f>
        <v>#VALUE!</v>
      </c>
      <c r="FV32" t="e">
        <f>AND(medidas!AU16,"AAAAAH+//7E=")</f>
        <v>#VALUE!</v>
      </c>
      <c r="FW32" t="e">
        <f>AND(medidas!AV16,"AAAAAH+//7I=")</f>
        <v>#VALUE!</v>
      </c>
      <c r="FX32" t="e">
        <f>AND(medidas!AW16,"AAAAAH+//7M=")</f>
        <v>#VALUE!</v>
      </c>
      <c r="FY32" t="e">
        <f>AND(medidas!AX16,"AAAAAH+//7Q=")</f>
        <v>#VALUE!</v>
      </c>
      <c r="FZ32" t="e">
        <f>AND(medidas!AY16,"AAAAAH+//7U=")</f>
        <v>#VALUE!</v>
      </c>
      <c r="GA32" t="e">
        <f>AND(medidas!AZ16,"AAAAAH+//7Y=")</f>
        <v>#VALUE!</v>
      </c>
      <c r="GB32" t="e">
        <f>AND(medidas!BA16,"AAAAAH+//7c=")</f>
        <v>#VALUE!</v>
      </c>
      <c r="GC32" t="e">
        <f>AND(medidas!BB16,"AAAAAH+//7g=")</f>
        <v>#VALUE!</v>
      </c>
      <c r="GD32" t="e">
        <f>AND(medidas!BC16,"AAAAAH+//7k=")</f>
        <v>#VALUE!</v>
      </c>
      <c r="GE32" t="e">
        <f>AND(medidas!BD16,"AAAAAH+//7o=")</f>
        <v>#VALUE!</v>
      </c>
      <c r="GF32" t="e">
        <f>AND(medidas!BE16,"AAAAAH+//7s=")</f>
        <v>#VALUE!</v>
      </c>
      <c r="GG32" t="e">
        <f>AND(medidas!BF16,"AAAAAH+//7w=")</f>
        <v>#VALUE!</v>
      </c>
      <c r="GH32" t="e">
        <f>AND(medidas!BG16,"AAAAAH+//70=")</f>
        <v>#VALUE!</v>
      </c>
      <c r="GI32" t="e">
        <f>AND(medidas!BH16,"AAAAAH+//74=")</f>
        <v>#VALUE!</v>
      </c>
      <c r="GJ32" t="e">
        <f>AND(medidas!BI16,"AAAAAH+//78=")</f>
        <v>#VALUE!</v>
      </c>
      <c r="GK32" t="e">
        <f>AND(medidas!BJ16,"AAAAAH+//8A=")</f>
        <v>#VALUE!</v>
      </c>
      <c r="GL32" t="e">
        <f>AND(medidas!BK16,"AAAAAH+//8E=")</f>
        <v>#VALUE!</v>
      </c>
      <c r="GM32" t="e">
        <f>AND(medidas!BL16,"AAAAAH+//8I=")</f>
        <v>#VALUE!</v>
      </c>
      <c r="GN32" t="e">
        <f>AND(medidas!BM16,"AAAAAH+//8M=")</f>
        <v>#VALUE!</v>
      </c>
      <c r="GO32" t="e">
        <f>AND(medidas!BN16,"AAAAAH+//8Q=")</f>
        <v>#VALUE!</v>
      </c>
      <c r="GP32" t="e">
        <f>AND(medidas!BO16,"AAAAAH+//8U=")</f>
        <v>#VALUE!</v>
      </c>
      <c r="GQ32" t="e">
        <f>AND(medidas!BP16,"AAAAAH+//8Y=")</f>
        <v>#VALUE!</v>
      </c>
      <c r="GR32" t="e">
        <f>AND(medidas!BQ16,"AAAAAH+//8c=")</f>
        <v>#VALUE!</v>
      </c>
      <c r="GS32" t="e">
        <f>AND(medidas!BR16,"AAAAAH+//8g=")</f>
        <v>#VALUE!</v>
      </c>
      <c r="GT32" t="e">
        <f>AND(medidas!BS16,"AAAAAH+//8k=")</f>
        <v>#VALUE!</v>
      </c>
      <c r="GU32" t="e">
        <f>AND(medidas!BT16,"AAAAAH+//8o=")</f>
        <v>#VALUE!</v>
      </c>
      <c r="GV32" t="e">
        <f>AND(medidas!BU16,"AAAAAH+//8s=")</f>
        <v>#VALUE!</v>
      </c>
      <c r="GW32" t="e">
        <f>AND(medidas!BV16,"AAAAAH+//8w=")</f>
        <v>#VALUE!</v>
      </c>
      <c r="GX32" t="e">
        <f>AND(medidas!BW16,"AAAAAH+//80=")</f>
        <v>#VALUE!</v>
      </c>
      <c r="GY32" t="e">
        <f>AND(medidas!BX16,"AAAAAH+//84=")</f>
        <v>#VALUE!</v>
      </c>
      <c r="GZ32" t="e">
        <f>AND(medidas!BY16,"AAAAAH+//88=")</f>
        <v>#VALUE!</v>
      </c>
      <c r="HA32">
        <f>IF(medidas!17:17,"AAAAAH+//9A=",0)</f>
        <v>0</v>
      </c>
      <c r="HB32" t="e">
        <f>AND(medidas!B17,"AAAAAH+//9E=")</f>
        <v>#VALUE!</v>
      </c>
      <c r="HC32" t="e">
        <f>AND(medidas!C17,"AAAAAH+//9I=")</f>
        <v>#VALUE!</v>
      </c>
      <c r="HD32" t="e">
        <f>AND(medidas!D17,"AAAAAH+//9M=")</f>
        <v>#VALUE!</v>
      </c>
      <c r="HE32" t="e">
        <f>AND(medidas!E17,"AAAAAH+//9Q=")</f>
        <v>#VALUE!</v>
      </c>
      <c r="HF32" t="e">
        <f>AND(medidas!F17,"AAAAAH+//9U=")</f>
        <v>#VALUE!</v>
      </c>
      <c r="HG32" t="e">
        <f>AND(medidas!G17,"AAAAAH+//9Y=")</f>
        <v>#VALUE!</v>
      </c>
      <c r="HH32" t="e">
        <f>AND(medidas!H17,"AAAAAH+//9c=")</f>
        <v>#VALUE!</v>
      </c>
      <c r="HI32" t="e">
        <f>AND(medidas!I17,"AAAAAH+//9g=")</f>
        <v>#VALUE!</v>
      </c>
      <c r="HJ32" t="e">
        <f>AND(medidas!J17,"AAAAAH+//9k=")</f>
        <v>#VALUE!</v>
      </c>
      <c r="HK32" t="e">
        <f>AND(medidas!K17,"AAAAAH+//9o=")</f>
        <v>#VALUE!</v>
      </c>
      <c r="HL32" t="e">
        <f>AND(medidas!L17,"AAAAAH+//9s=")</f>
        <v>#VALUE!</v>
      </c>
      <c r="HM32" t="e">
        <f>AND(medidas!M17,"AAAAAH+//9w=")</f>
        <v>#VALUE!</v>
      </c>
      <c r="HN32" t="e">
        <f>AND(medidas!N17,"AAAAAH+//90=")</f>
        <v>#VALUE!</v>
      </c>
      <c r="HO32" t="e">
        <f>AND(medidas!O17,"AAAAAH+//94=")</f>
        <v>#VALUE!</v>
      </c>
      <c r="HP32" t="e">
        <f>AND(medidas!P17,"AAAAAH+//98=")</f>
        <v>#VALUE!</v>
      </c>
      <c r="HQ32" t="e">
        <f>AND(medidas!Q17,"AAAAAH+//+A=")</f>
        <v>#VALUE!</v>
      </c>
      <c r="HR32" t="e">
        <f>AND(medidas!R17,"AAAAAH+//+E=")</f>
        <v>#VALUE!</v>
      </c>
      <c r="HS32" t="e">
        <f>AND(medidas!S17,"AAAAAH+//+I=")</f>
        <v>#VALUE!</v>
      </c>
      <c r="HT32" t="e">
        <f>AND(medidas!T17,"AAAAAH+//+M=")</f>
        <v>#VALUE!</v>
      </c>
      <c r="HU32" t="e">
        <f>AND(medidas!U17,"AAAAAH+//+Q=")</f>
        <v>#VALUE!</v>
      </c>
      <c r="HV32" t="e">
        <f>AND(medidas!V17,"AAAAAH+//+U=")</f>
        <v>#VALUE!</v>
      </c>
      <c r="HW32" t="e">
        <f>AND(medidas!W17,"AAAAAH+//+Y=")</f>
        <v>#VALUE!</v>
      </c>
      <c r="HX32" t="e">
        <f>AND(medidas!X17,"AAAAAH+//+c=")</f>
        <v>#VALUE!</v>
      </c>
      <c r="HY32" t="e">
        <f>AND(medidas!Y17,"AAAAAH+//+g=")</f>
        <v>#VALUE!</v>
      </c>
      <c r="HZ32" t="e">
        <f>AND(medidas!Z17,"AAAAAH+//+k=")</f>
        <v>#VALUE!</v>
      </c>
      <c r="IA32" t="e">
        <f>AND(medidas!AA17,"AAAAAH+//+o=")</f>
        <v>#VALUE!</v>
      </c>
      <c r="IB32" t="e">
        <f>AND(medidas!AB17,"AAAAAH+//+s=")</f>
        <v>#VALUE!</v>
      </c>
      <c r="IC32" t="e">
        <f>AND(medidas!AC17,"AAAAAH+//+w=")</f>
        <v>#VALUE!</v>
      </c>
      <c r="ID32" t="e">
        <f>AND(medidas!AD17,"AAAAAH+//+0=")</f>
        <v>#VALUE!</v>
      </c>
      <c r="IE32" t="e">
        <f>AND(medidas!AE17,"AAAAAH+//+4=")</f>
        <v>#VALUE!</v>
      </c>
      <c r="IF32" t="e">
        <f>AND(medidas!AF17,"AAAAAH+//+8=")</f>
        <v>#VALUE!</v>
      </c>
      <c r="IG32" t="e">
        <f>AND(medidas!AG17,"AAAAAH+///A=")</f>
        <v>#VALUE!</v>
      </c>
      <c r="IH32" t="e">
        <f>AND(medidas!AH17,"AAAAAH+///E=")</f>
        <v>#VALUE!</v>
      </c>
      <c r="II32" t="e">
        <f>AND(medidas!AI17,"AAAAAH+///I=")</f>
        <v>#VALUE!</v>
      </c>
      <c r="IJ32" t="e">
        <f>AND(medidas!AJ17,"AAAAAH+///M=")</f>
        <v>#VALUE!</v>
      </c>
      <c r="IK32" t="e">
        <f>AND(medidas!AK17,"AAAAAH+///Q=")</f>
        <v>#VALUE!</v>
      </c>
      <c r="IL32" t="e">
        <f>AND(medidas!AL17,"AAAAAH+///U=")</f>
        <v>#VALUE!</v>
      </c>
      <c r="IM32" t="e">
        <f>AND(medidas!AM17,"AAAAAH+///Y=")</f>
        <v>#VALUE!</v>
      </c>
      <c r="IN32" t="e">
        <f>AND(medidas!AN17,"AAAAAH+///c=")</f>
        <v>#VALUE!</v>
      </c>
      <c r="IO32" t="e">
        <f>AND(medidas!AO17,"AAAAAH+///g=")</f>
        <v>#VALUE!</v>
      </c>
      <c r="IP32" t="e">
        <f>AND(medidas!AP17,"AAAAAH+///k=")</f>
        <v>#VALUE!</v>
      </c>
      <c r="IQ32" t="e">
        <f>AND(medidas!AQ17,"AAAAAH+///o=")</f>
        <v>#VALUE!</v>
      </c>
      <c r="IR32" t="e">
        <f>AND(medidas!AR17,"AAAAAH+///s=")</f>
        <v>#VALUE!</v>
      </c>
      <c r="IS32" t="e">
        <f>AND(medidas!AS17,"AAAAAH+///w=")</f>
        <v>#VALUE!</v>
      </c>
      <c r="IT32" t="e">
        <f>AND(medidas!AT17,"AAAAAH+///0=")</f>
        <v>#VALUE!</v>
      </c>
      <c r="IU32" t="e">
        <f>AND(medidas!AU17,"AAAAAH+///4=")</f>
        <v>#VALUE!</v>
      </c>
      <c r="IV32" t="e">
        <f>AND(medidas!AV17,"AAAAAH+///8=")</f>
        <v>#VALUE!</v>
      </c>
    </row>
    <row r="33" spans="1:256" x14ac:dyDescent="0.2">
      <c r="A33" t="e">
        <f>AND(medidas!AW17,"AAAAAD/t9wA=")</f>
        <v>#VALUE!</v>
      </c>
      <c r="B33" t="e">
        <f>AND(medidas!AX17,"AAAAAD/t9wE=")</f>
        <v>#VALUE!</v>
      </c>
      <c r="C33" t="e">
        <f>AND(medidas!AY17,"AAAAAD/t9wI=")</f>
        <v>#VALUE!</v>
      </c>
      <c r="D33" t="e">
        <f>AND(medidas!AZ17,"AAAAAD/t9wM=")</f>
        <v>#VALUE!</v>
      </c>
      <c r="E33" t="e">
        <f>AND(medidas!BA17,"AAAAAD/t9wQ=")</f>
        <v>#VALUE!</v>
      </c>
      <c r="F33" t="e">
        <f>AND(medidas!BB17,"AAAAAD/t9wU=")</f>
        <v>#VALUE!</v>
      </c>
      <c r="G33" t="e">
        <f>AND(medidas!BC17,"AAAAAD/t9wY=")</f>
        <v>#VALUE!</v>
      </c>
      <c r="H33" t="e">
        <f>AND(medidas!BD17,"AAAAAD/t9wc=")</f>
        <v>#VALUE!</v>
      </c>
      <c r="I33" t="e">
        <f>AND(medidas!BE17,"AAAAAD/t9wg=")</f>
        <v>#VALUE!</v>
      </c>
      <c r="J33" t="e">
        <f>AND(medidas!BF17,"AAAAAD/t9wk=")</f>
        <v>#VALUE!</v>
      </c>
      <c r="K33" t="e">
        <f>AND(medidas!BG17,"AAAAAD/t9wo=")</f>
        <v>#VALUE!</v>
      </c>
      <c r="L33" t="e">
        <f>AND(medidas!BH17,"AAAAAD/t9ws=")</f>
        <v>#VALUE!</v>
      </c>
      <c r="M33" t="e">
        <f>AND(medidas!BI17,"AAAAAD/t9ww=")</f>
        <v>#VALUE!</v>
      </c>
      <c r="N33" t="e">
        <f>AND(medidas!BJ17,"AAAAAD/t9w0=")</f>
        <v>#VALUE!</v>
      </c>
      <c r="O33" t="e">
        <f>AND(medidas!BK17,"AAAAAD/t9w4=")</f>
        <v>#VALUE!</v>
      </c>
      <c r="P33" t="e">
        <f>AND(medidas!BL17,"AAAAAD/t9w8=")</f>
        <v>#VALUE!</v>
      </c>
      <c r="Q33" t="e">
        <f>AND(medidas!BM17,"AAAAAD/t9xA=")</f>
        <v>#VALUE!</v>
      </c>
      <c r="R33" t="e">
        <f>AND(medidas!BN17,"AAAAAD/t9xE=")</f>
        <v>#VALUE!</v>
      </c>
      <c r="S33" t="e">
        <f>AND(medidas!BO17,"AAAAAD/t9xI=")</f>
        <v>#VALUE!</v>
      </c>
      <c r="T33" t="e">
        <f>AND(medidas!BP17,"AAAAAD/t9xM=")</f>
        <v>#VALUE!</v>
      </c>
      <c r="U33" t="e">
        <f>AND(medidas!BQ17,"AAAAAD/t9xQ=")</f>
        <v>#VALUE!</v>
      </c>
      <c r="V33" t="e">
        <f>AND(medidas!BR17,"AAAAAD/t9xU=")</f>
        <v>#VALUE!</v>
      </c>
      <c r="W33" t="e">
        <f>AND(medidas!BS17,"AAAAAD/t9xY=")</f>
        <v>#VALUE!</v>
      </c>
      <c r="X33" t="e">
        <f>AND(medidas!BT17,"AAAAAD/t9xc=")</f>
        <v>#VALUE!</v>
      </c>
      <c r="Y33" t="e">
        <f>AND(medidas!BU17,"AAAAAD/t9xg=")</f>
        <v>#VALUE!</v>
      </c>
      <c r="Z33" t="e">
        <f>AND(medidas!BV17,"AAAAAD/t9xk=")</f>
        <v>#VALUE!</v>
      </c>
      <c r="AA33" t="e">
        <f>AND(medidas!BW17,"AAAAAD/t9xo=")</f>
        <v>#VALUE!</v>
      </c>
      <c r="AB33" t="e">
        <f>AND(medidas!BX17,"AAAAAD/t9xs=")</f>
        <v>#VALUE!</v>
      </c>
      <c r="AC33" t="e">
        <f>AND(medidas!BY17,"AAAAAD/t9xw=")</f>
        <v>#VALUE!</v>
      </c>
      <c r="AD33">
        <f>IF(medidas!18:18,"AAAAAD/t9x0=",0)</f>
        <v>0</v>
      </c>
      <c r="AE33" t="e">
        <f>AND(medidas!B18,"AAAAAD/t9x4=")</f>
        <v>#VALUE!</v>
      </c>
      <c r="AF33" t="e">
        <f>AND(medidas!C18,"AAAAAD/t9x8=")</f>
        <v>#VALUE!</v>
      </c>
      <c r="AG33" t="e">
        <f>AND(medidas!D18,"AAAAAD/t9yA=")</f>
        <v>#VALUE!</v>
      </c>
      <c r="AH33" t="e">
        <f>AND(medidas!E18,"AAAAAD/t9yE=")</f>
        <v>#VALUE!</v>
      </c>
      <c r="AI33" t="e">
        <f>AND(medidas!F18,"AAAAAD/t9yI=")</f>
        <v>#VALUE!</v>
      </c>
      <c r="AJ33" t="e">
        <f>AND(medidas!G18,"AAAAAD/t9yM=")</f>
        <v>#VALUE!</v>
      </c>
      <c r="AK33" t="e">
        <f>AND(medidas!H18,"AAAAAD/t9yQ=")</f>
        <v>#VALUE!</v>
      </c>
      <c r="AL33" t="e">
        <f>AND(medidas!I18,"AAAAAD/t9yU=")</f>
        <v>#VALUE!</v>
      </c>
      <c r="AM33" t="e">
        <f>AND(medidas!J18,"AAAAAD/t9yY=")</f>
        <v>#VALUE!</v>
      </c>
      <c r="AN33" t="e">
        <f>AND(medidas!K18,"AAAAAD/t9yc=")</f>
        <v>#VALUE!</v>
      </c>
      <c r="AO33" t="e">
        <f>AND(medidas!L18,"AAAAAD/t9yg=")</f>
        <v>#VALUE!</v>
      </c>
      <c r="AP33" t="e">
        <f>AND(medidas!M18,"AAAAAD/t9yk=")</f>
        <v>#VALUE!</v>
      </c>
      <c r="AQ33" t="e">
        <f>AND(medidas!N18,"AAAAAD/t9yo=")</f>
        <v>#VALUE!</v>
      </c>
      <c r="AR33" t="e">
        <f>AND(medidas!O18,"AAAAAD/t9ys=")</f>
        <v>#VALUE!</v>
      </c>
      <c r="AS33" t="e">
        <f>AND(medidas!P18,"AAAAAD/t9yw=")</f>
        <v>#VALUE!</v>
      </c>
      <c r="AT33" t="e">
        <f>AND(medidas!Q18,"AAAAAD/t9y0=")</f>
        <v>#VALUE!</v>
      </c>
      <c r="AU33" t="e">
        <f>AND(medidas!R18,"AAAAAD/t9y4=")</f>
        <v>#VALUE!</v>
      </c>
      <c r="AV33" t="e">
        <f>AND(medidas!S18,"AAAAAD/t9y8=")</f>
        <v>#VALUE!</v>
      </c>
      <c r="AW33" t="e">
        <f>AND(medidas!T18,"AAAAAD/t9zA=")</f>
        <v>#VALUE!</v>
      </c>
      <c r="AX33" t="e">
        <f>AND(medidas!U18,"AAAAAD/t9zE=")</f>
        <v>#VALUE!</v>
      </c>
      <c r="AY33" t="e">
        <f>AND(medidas!V18,"AAAAAD/t9zI=")</f>
        <v>#VALUE!</v>
      </c>
      <c r="AZ33" t="e">
        <f>AND(medidas!W18,"AAAAAD/t9zM=")</f>
        <v>#VALUE!</v>
      </c>
      <c r="BA33" t="e">
        <f>AND(medidas!X18,"AAAAAD/t9zQ=")</f>
        <v>#VALUE!</v>
      </c>
      <c r="BB33" t="e">
        <f>AND(medidas!Y18,"AAAAAD/t9zU=")</f>
        <v>#VALUE!</v>
      </c>
      <c r="BC33" t="e">
        <f>AND(medidas!Z18,"AAAAAD/t9zY=")</f>
        <v>#VALUE!</v>
      </c>
      <c r="BD33" t="e">
        <f>AND(medidas!AA18,"AAAAAD/t9zc=")</f>
        <v>#VALUE!</v>
      </c>
      <c r="BE33" t="e">
        <f>AND(medidas!AB18,"AAAAAD/t9zg=")</f>
        <v>#VALUE!</v>
      </c>
      <c r="BF33" t="e">
        <f>AND(medidas!AC18,"AAAAAD/t9zk=")</f>
        <v>#VALUE!</v>
      </c>
      <c r="BG33" t="e">
        <f>AND(medidas!AD18,"AAAAAD/t9zo=")</f>
        <v>#VALUE!</v>
      </c>
      <c r="BH33" t="e">
        <f>AND(medidas!AE18,"AAAAAD/t9zs=")</f>
        <v>#VALUE!</v>
      </c>
      <c r="BI33" t="e">
        <f>AND(medidas!AF18,"AAAAAD/t9zw=")</f>
        <v>#VALUE!</v>
      </c>
      <c r="BJ33" t="e">
        <f>AND(medidas!AG18,"AAAAAD/t9z0=")</f>
        <v>#VALUE!</v>
      </c>
      <c r="BK33" t="e">
        <f>AND(medidas!AH18,"AAAAAD/t9z4=")</f>
        <v>#VALUE!</v>
      </c>
      <c r="BL33" t="e">
        <f>AND(medidas!AI18,"AAAAAD/t9z8=")</f>
        <v>#VALUE!</v>
      </c>
      <c r="BM33" t="e">
        <f>AND(medidas!AJ18,"AAAAAD/t90A=")</f>
        <v>#VALUE!</v>
      </c>
      <c r="BN33" t="e">
        <f>AND(medidas!AK18,"AAAAAD/t90E=")</f>
        <v>#VALUE!</v>
      </c>
      <c r="BO33" t="e">
        <f>AND(medidas!AL18,"AAAAAD/t90I=")</f>
        <v>#VALUE!</v>
      </c>
      <c r="BP33" t="e">
        <f>AND(medidas!AM18,"AAAAAD/t90M=")</f>
        <v>#VALUE!</v>
      </c>
      <c r="BQ33" t="e">
        <f>AND(medidas!AN18,"AAAAAD/t90Q=")</f>
        <v>#VALUE!</v>
      </c>
      <c r="BR33" t="e">
        <f>AND(medidas!AO18,"AAAAAD/t90U=")</f>
        <v>#VALUE!</v>
      </c>
      <c r="BS33" t="e">
        <f>AND(medidas!AP18,"AAAAAD/t90Y=")</f>
        <v>#VALUE!</v>
      </c>
      <c r="BT33" t="e">
        <f>AND(medidas!AQ18,"AAAAAD/t90c=")</f>
        <v>#VALUE!</v>
      </c>
      <c r="BU33" t="e">
        <f>AND(medidas!AR18,"AAAAAD/t90g=")</f>
        <v>#VALUE!</v>
      </c>
      <c r="BV33" t="e">
        <f>AND(medidas!AS18,"AAAAAD/t90k=")</f>
        <v>#VALUE!</v>
      </c>
      <c r="BW33" t="e">
        <f>AND(medidas!AT18,"AAAAAD/t90o=")</f>
        <v>#VALUE!</v>
      </c>
      <c r="BX33" t="e">
        <f>AND(medidas!AU18,"AAAAAD/t90s=")</f>
        <v>#VALUE!</v>
      </c>
      <c r="BY33" t="e">
        <f>AND(medidas!AV18,"AAAAAD/t90w=")</f>
        <v>#VALUE!</v>
      </c>
      <c r="BZ33" t="e">
        <f>AND(medidas!AW18,"AAAAAD/t900=")</f>
        <v>#VALUE!</v>
      </c>
      <c r="CA33" t="e">
        <f>AND(medidas!AX18,"AAAAAD/t904=")</f>
        <v>#VALUE!</v>
      </c>
      <c r="CB33" t="e">
        <f>AND(medidas!AY18,"AAAAAD/t908=")</f>
        <v>#VALUE!</v>
      </c>
      <c r="CC33" t="e">
        <f>AND(medidas!AZ18,"AAAAAD/t91A=")</f>
        <v>#VALUE!</v>
      </c>
      <c r="CD33" t="e">
        <f>AND(medidas!BA18,"AAAAAD/t91E=")</f>
        <v>#VALUE!</v>
      </c>
      <c r="CE33" t="e">
        <f>AND(medidas!BB18,"AAAAAD/t91I=")</f>
        <v>#VALUE!</v>
      </c>
      <c r="CF33" t="e">
        <f>AND(medidas!BC18,"AAAAAD/t91M=")</f>
        <v>#VALUE!</v>
      </c>
      <c r="CG33" t="e">
        <f>AND(medidas!BD18,"AAAAAD/t91Q=")</f>
        <v>#VALUE!</v>
      </c>
      <c r="CH33" t="e">
        <f>AND(medidas!BE18,"AAAAAD/t91U=")</f>
        <v>#VALUE!</v>
      </c>
      <c r="CI33" t="e">
        <f>AND(medidas!BF18,"AAAAAD/t91Y=")</f>
        <v>#VALUE!</v>
      </c>
      <c r="CJ33" t="e">
        <f>AND(medidas!BG18,"AAAAAD/t91c=")</f>
        <v>#VALUE!</v>
      </c>
      <c r="CK33" t="e">
        <f>AND(medidas!BH18,"AAAAAD/t91g=")</f>
        <v>#VALUE!</v>
      </c>
      <c r="CL33" t="e">
        <f>AND(medidas!BI18,"AAAAAD/t91k=")</f>
        <v>#VALUE!</v>
      </c>
      <c r="CM33" t="e">
        <f>AND(medidas!BJ18,"AAAAAD/t91o=")</f>
        <v>#VALUE!</v>
      </c>
      <c r="CN33" t="e">
        <f>AND(medidas!BK18,"AAAAAD/t91s=")</f>
        <v>#VALUE!</v>
      </c>
      <c r="CO33" t="e">
        <f>AND(medidas!BL18,"AAAAAD/t91w=")</f>
        <v>#VALUE!</v>
      </c>
      <c r="CP33" t="e">
        <f>AND(medidas!BM18,"AAAAAD/t910=")</f>
        <v>#VALUE!</v>
      </c>
      <c r="CQ33" t="e">
        <f>AND(medidas!BN18,"AAAAAD/t914=")</f>
        <v>#VALUE!</v>
      </c>
      <c r="CR33" t="e">
        <f>AND(medidas!BO18,"AAAAAD/t918=")</f>
        <v>#VALUE!</v>
      </c>
      <c r="CS33" t="e">
        <f>AND(medidas!BP18,"AAAAAD/t92A=")</f>
        <v>#VALUE!</v>
      </c>
      <c r="CT33" t="e">
        <f>AND(medidas!BQ18,"AAAAAD/t92E=")</f>
        <v>#VALUE!</v>
      </c>
      <c r="CU33" t="e">
        <f>AND(medidas!BR18,"AAAAAD/t92I=")</f>
        <v>#VALUE!</v>
      </c>
      <c r="CV33" t="e">
        <f>AND(medidas!BS18,"AAAAAD/t92M=")</f>
        <v>#VALUE!</v>
      </c>
      <c r="CW33" t="e">
        <f>AND(medidas!BT18,"AAAAAD/t92Q=")</f>
        <v>#VALUE!</v>
      </c>
      <c r="CX33" t="e">
        <f>AND(medidas!BU18,"AAAAAD/t92U=")</f>
        <v>#VALUE!</v>
      </c>
      <c r="CY33" t="e">
        <f>AND(medidas!BV18,"AAAAAD/t92Y=")</f>
        <v>#VALUE!</v>
      </c>
      <c r="CZ33" t="e">
        <f>AND(medidas!BW18,"AAAAAD/t92c=")</f>
        <v>#VALUE!</v>
      </c>
      <c r="DA33" t="e">
        <f>AND(medidas!BX18,"AAAAAD/t92g=")</f>
        <v>#VALUE!</v>
      </c>
      <c r="DB33" t="e">
        <f>AND(medidas!BY18,"AAAAAD/t92k=")</f>
        <v>#VALUE!</v>
      </c>
      <c r="DC33">
        <f>IF(medidas!19:19,"AAAAAD/t92o=",0)</f>
        <v>0</v>
      </c>
      <c r="DD33" t="e">
        <f>AND(medidas!B19,"AAAAAD/t92s=")</f>
        <v>#VALUE!</v>
      </c>
      <c r="DE33" t="e">
        <f>AND(medidas!C19,"AAAAAD/t92w=")</f>
        <v>#VALUE!</v>
      </c>
      <c r="DF33" t="e">
        <f>AND(medidas!D19,"AAAAAD/t920=")</f>
        <v>#VALUE!</v>
      </c>
      <c r="DG33" t="e">
        <f>AND(medidas!E19,"AAAAAD/t924=")</f>
        <v>#VALUE!</v>
      </c>
      <c r="DH33" t="e">
        <f>AND(medidas!F19,"AAAAAD/t928=")</f>
        <v>#VALUE!</v>
      </c>
      <c r="DI33" t="e">
        <f>AND(medidas!G19,"AAAAAD/t93A=")</f>
        <v>#VALUE!</v>
      </c>
      <c r="DJ33" t="e">
        <f>AND(medidas!H19,"AAAAAD/t93E=")</f>
        <v>#VALUE!</v>
      </c>
      <c r="DK33" t="e">
        <f>AND(medidas!I19,"AAAAAD/t93I=")</f>
        <v>#VALUE!</v>
      </c>
      <c r="DL33" t="e">
        <f>AND(medidas!J19,"AAAAAD/t93M=")</f>
        <v>#VALUE!</v>
      </c>
      <c r="DM33" t="e">
        <f>AND(medidas!K19,"AAAAAD/t93Q=")</f>
        <v>#VALUE!</v>
      </c>
      <c r="DN33" t="e">
        <f>AND(medidas!L19,"AAAAAD/t93U=")</f>
        <v>#VALUE!</v>
      </c>
      <c r="DO33" t="e">
        <f>AND(medidas!M19,"AAAAAD/t93Y=")</f>
        <v>#VALUE!</v>
      </c>
      <c r="DP33" t="e">
        <f>AND(medidas!N19,"AAAAAD/t93c=")</f>
        <v>#VALUE!</v>
      </c>
      <c r="DQ33" t="e">
        <f>AND(medidas!O19,"AAAAAD/t93g=")</f>
        <v>#VALUE!</v>
      </c>
      <c r="DR33" t="e">
        <f>AND(medidas!P19,"AAAAAD/t93k=")</f>
        <v>#VALUE!</v>
      </c>
      <c r="DS33" t="e">
        <f>AND(medidas!Q19,"AAAAAD/t93o=")</f>
        <v>#VALUE!</v>
      </c>
      <c r="DT33" t="e">
        <f>AND(medidas!R19,"AAAAAD/t93s=")</f>
        <v>#VALUE!</v>
      </c>
      <c r="DU33" t="e">
        <f>AND(medidas!S19,"AAAAAD/t93w=")</f>
        <v>#VALUE!</v>
      </c>
      <c r="DV33" t="e">
        <f>AND(medidas!T19,"AAAAAD/t930=")</f>
        <v>#VALUE!</v>
      </c>
      <c r="DW33" t="e">
        <f>AND(medidas!U19,"AAAAAD/t934=")</f>
        <v>#VALUE!</v>
      </c>
      <c r="DX33" t="e">
        <f>AND(medidas!V19,"AAAAAD/t938=")</f>
        <v>#VALUE!</v>
      </c>
      <c r="DY33" t="e">
        <f>AND(medidas!W19,"AAAAAD/t94A=")</f>
        <v>#VALUE!</v>
      </c>
      <c r="DZ33" t="e">
        <f>AND(medidas!X19,"AAAAAD/t94E=")</f>
        <v>#VALUE!</v>
      </c>
      <c r="EA33" t="e">
        <f>AND(medidas!Y19,"AAAAAD/t94I=")</f>
        <v>#VALUE!</v>
      </c>
      <c r="EB33" t="e">
        <f>AND(medidas!Z19,"AAAAAD/t94M=")</f>
        <v>#VALUE!</v>
      </c>
      <c r="EC33" t="e">
        <f>AND(medidas!AA19,"AAAAAD/t94Q=")</f>
        <v>#VALUE!</v>
      </c>
      <c r="ED33" t="e">
        <f>AND(medidas!AB19,"AAAAAD/t94U=")</f>
        <v>#VALUE!</v>
      </c>
      <c r="EE33" t="e">
        <f>AND(medidas!AC19,"AAAAAD/t94Y=")</f>
        <v>#VALUE!</v>
      </c>
      <c r="EF33" t="e">
        <f>AND(medidas!AD19,"AAAAAD/t94c=")</f>
        <v>#VALUE!</v>
      </c>
      <c r="EG33" t="e">
        <f>AND(medidas!AE19,"AAAAAD/t94g=")</f>
        <v>#VALUE!</v>
      </c>
      <c r="EH33" t="e">
        <f>AND(medidas!AF19,"AAAAAD/t94k=")</f>
        <v>#VALUE!</v>
      </c>
      <c r="EI33" t="e">
        <f>AND(medidas!AG19,"AAAAAD/t94o=")</f>
        <v>#VALUE!</v>
      </c>
      <c r="EJ33" t="e">
        <f>AND(medidas!AH19,"AAAAAD/t94s=")</f>
        <v>#VALUE!</v>
      </c>
      <c r="EK33" t="e">
        <f>AND(medidas!AI19,"AAAAAD/t94w=")</f>
        <v>#VALUE!</v>
      </c>
      <c r="EL33" t="e">
        <f>AND(medidas!AJ19,"AAAAAD/t940=")</f>
        <v>#VALUE!</v>
      </c>
      <c r="EM33" t="e">
        <f>AND(medidas!AK19,"AAAAAD/t944=")</f>
        <v>#VALUE!</v>
      </c>
      <c r="EN33" t="e">
        <f>AND(medidas!AL19,"AAAAAD/t948=")</f>
        <v>#VALUE!</v>
      </c>
      <c r="EO33" t="e">
        <f>AND(medidas!AM19,"AAAAAD/t95A=")</f>
        <v>#VALUE!</v>
      </c>
      <c r="EP33" t="e">
        <f>AND(medidas!AN19,"AAAAAD/t95E=")</f>
        <v>#VALUE!</v>
      </c>
      <c r="EQ33" t="e">
        <f>AND(medidas!AO19,"AAAAAD/t95I=")</f>
        <v>#VALUE!</v>
      </c>
      <c r="ER33" t="e">
        <f>AND(medidas!AP19,"AAAAAD/t95M=")</f>
        <v>#VALUE!</v>
      </c>
      <c r="ES33" t="e">
        <f>AND(medidas!AQ19,"AAAAAD/t95Q=")</f>
        <v>#VALUE!</v>
      </c>
      <c r="ET33" t="e">
        <f>AND(medidas!AR19,"AAAAAD/t95U=")</f>
        <v>#VALUE!</v>
      </c>
      <c r="EU33" t="e">
        <f>AND(medidas!AS19,"AAAAAD/t95Y=")</f>
        <v>#VALUE!</v>
      </c>
      <c r="EV33" t="e">
        <f>AND(medidas!AT19,"AAAAAD/t95c=")</f>
        <v>#VALUE!</v>
      </c>
      <c r="EW33" t="e">
        <f>AND(medidas!AU19,"AAAAAD/t95g=")</f>
        <v>#VALUE!</v>
      </c>
      <c r="EX33" t="e">
        <f>AND(medidas!AV19,"AAAAAD/t95k=")</f>
        <v>#VALUE!</v>
      </c>
      <c r="EY33" t="e">
        <f>AND(medidas!AW19,"AAAAAD/t95o=")</f>
        <v>#VALUE!</v>
      </c>
      <c r="EZ33" t="e">
        <f>AND(medidas!AX19,"AAAAAD/t95s=")</f>
        <v>#VALUE!</v>
      </c>
      <c r="FA33" t="e">
        <f>AND(medidas!AY19,"AAAAAD/t95w=")</f>
        <v>#VALUE!</v>
      </c>
      <c r="FB33" t="e">
        <f>AND(medidas!AZ19,"AAAAAD/t950=")</f>
        <v>#VALUE!</v>
      </c>
      <c r="FC33" t="e">
        <f>AND(medidas!BA19,"AAAAAD/t954=")</f>
        <v>#VALUE!</v>
      </c>
      <c r="FD33" t="e">
        <f>AND(medidas!BB19,"AAAAAD/t958=")</f>
        <v>#VALUE!</v>
      </c>
      <c r="FE33" t="e">
        <f>AND(medidas!BC19,"AAAAAD/t96A=")</f>
        <v>#VALUE!</v>
      </c>
      <c r="FF33" t="e">
        <f>AND(medidas!BD19,"AAAAAD/t96E=")</f>
        <v>#VALUE!</v>
      </c>
      <c r="FG33" t="e">
        <f>AND(medidas!BE19,"AAAAAD/t96I=")</f>
        <v>#VALUE!</v>
      </c>
      <c r="FH33" t="e">
        <f>AND(medidas!BF19,"AAAAAD/t96M=")</f>
        <v>#VALUE!</v>
      </c>
      <c r="FI33" t="e">
        <f>AND(medidas!BG19,"AAAAAD/t96Q=")</f>
        <v>#VALUE!</v>
      </c>
      <c r="FJ33" t="e">
        <f>AND(medidas!BH19,"AAAAAD/t96U=")</f>
        <v>#VALUE!</v>
      </c>
      <c r="FK33" t="e">
        <f>AND(medidas!BI19,"AAAAAD/t96Y=")</f>
        <v>#VALUE!</v>
      </c>
      <c r="FL33" t="e">
        <f>AND(medidas!BJ19,"AAAAAD/t96c=")</f>
        <v>#VALUE!</v>
      </c>
      <c r="FM33" t="e">
        <f>AND(medidas!BK19,"AAAAAD/t96g=")</f>
        <v>#VALUE!</v>
      </c>
      <c r="FN33" t="e">
        <f>AND(medidas!BL19,"AAAAAD/t96k=")</f>
        <v>#VALUE!</v>
      </c>
      <c r="FO33" t="e">
        <f>AND(medidas!BM19,"AAAAAD/t96o=")</f>
        <v>#VALUE!</v>
      </c>
      <c r="FP33" t="e">
        <f>AND(medidas!BN19,"AAAAAD/t96s=")</f>
        <v>#VALUE!</v>
      </c>
      <c r="FQ33" t="e">
        <f>AND(medidas!BO19,"AAAAAD/t96w=")</f>
        <v>#VALUE!</v>
      </c>
      <c r="FR33" t="e">
        <f>AND(medidas!BP19,"AAAAAD/t960=")</f>
        <v>#VALUE!</v>
      </c>
      <c r="FS33" t="e">
        <f>AND(medidas!BQ19,"AAAAAD/t964=")</f>
        <v>#VALUE!</v>
      </c>
      <c r="FT33" t="e">
        <f>AND(medidas!BR19,"AAAAAD/t968=")</f>
        <v>#VALUE!</v>
      </c>
      <c r="FU33" t="e">
        <f>AND(medidas!BS19,"AAAAAD/t97A=")</f>
        <v>#VALUE!</v>
      </c>
      <c r="FV33" t="e">
        <f>AND(medidas!BT19,"AAAAAD/t97E=")</f>
        <v>#VALUE!</v>
      </c>
      <c r="FW33" t="e">
        <f>AND(medidas!BU19,"AAAAAD/t97I=")</f>
        <v>#VALUE!</v>
      </c>
      <c r="FX33" t="e">
        <f>AND(medidas!BV19,"AAAAAD/t97M=")</f>
        <v>#VALUE!</v>
      </c>
      <c r="FY33" t="e">
        <f>AND(medidas!BW19,"AAAAAD/t97Q=")</f>
        <v>#VALUE!</v>
      </c>
      <c r="FZ33" t="e">
        <f>AND(medidas!BX19,"AAAAAD/t97U=")</f>
        <v>#VALUE!</v>
      </c>
      <c r="GA33" t="e">
        <f>AND(medidas!BY19,"AAAAAD/t97Y=")</f>
        <v>#VALUE!</v>
      </c>
      <c r="GB33">
        <f>IF(medidas!20:20,"AAAAAD/t97c=",0)</f>
        <v>0</v>
      </c>
      <c r="GC33" t="e">
        <f>AND(medidas!B20,"AAAAAD/t97g=")</f>
        <v>#VALUE!</v>
      </c>
      <c r="GD33" t="e">
        <f>AND(medidas!C20,"AAAAAD/t97k=")</f>
        <v>#VALUE!</v>
      </c>
      <c r="GE33" t="e">
        <f>AND(medidas!D20,"AAAAAD/t97o=")</f>
        <v>#VALUE!</v>
      </c>
      <c r="GF33" t="e">
        <f>AND(medidas!E20,"AAAAAD/t97s=")</f>
        <v>#VALUE!</v>
      </c>
      <c r="GG33" t="e">
        <f>AND(medidas!F20,"AAAAAD/t97w=")</f>
        <v>#VALUE!</v>
      </c>
      <c r="GH33" t="e">
        <f>AND(medidas!G20,"AAAAAD/t970=")</f>
        <v>#VALUE!</v>
      </c>
      <c r="GI33" t="e">
        <f>AND(medidas!H20,"AAAAAD/t974=")</f>
        <v>#VALUE!</v>
      </c>
      <c r="GJ33" t="e">
        <f>AND(medidas!I20,"AAAAAD/t978=")</f>
        <v>#VALUE!</v>
      </c>
      <c r="GK33" t="e">
        <f>AND(medidas!J20,"AAAAAD/t98A=")</f>
        <v>#VALUE!</v>
      </c>
      <c r="GL33" t="e">
        <f>AND(medidas!K20,"AAAAAD/t98E=")</f>
        <v>#VALUE!</v>
      </c>
      <c r="GM33" t="e">
        <f>AND(medidas!L20,"AAAAAD/t98I=")</f>
        <v>#VALUE!</v>
      </c>
      <c r="GN33" t="e">
        <f>AND(medidas!M20,"AAAAAD/t98M=")</f>
        <v>#VALUE!</v>
      </c>
      <c r="GO33" t="e">
        <f>AND(medidas!N20,"AAAAAD/t98Q=")</f>
        <v>#VALUE!</v>
      </c>
      <c r="GP33" t="e">
        <f>AND(medidas!O20,"AAAAAD/t98U=")</f>
        <v>#VALUE!</v>
      </c>
      <c r="GQ33" t="e">
        <f>AND(medidas!P20,"AAAAAD/t98Y=")</f>
        <v>#VALUE!</v>
      </c>
      <c r="GR33" t="e">
        <f>AND(medidas!Q20,"AAAAAD/t98c=")</f>
        <v>#VALUE!</v>
      </c>
      <c r="GS33" t="e">
        <f>AND(medidas!R20,"AAAAAD/t98g=")</f>
        <v>#VALUE!</v>
      </c>
      <c r="GT33" t="e">
        <f>AND(medidas!S20,"AAAAAD/t98k=")</f>
        <v>#VALUE!</v>
      </c>
      <c r="GU33" t="e">
        <f>AND(medidas!T20,"AAAAAD/t98o=")</f>
        <v>#VALUE!</v>
      </c>
      <c r="GV33" t="e">
        <f>AND(medidas!U20,"AAAAAD/t98s=")</f>
        <v>#VALUE!</v>
      </c>
      <c r="GW33" t="e">
        <f>AND(medidas!V20,"AAAAAD/t98w=")</f>
        <v>#VALUE!</v>
      </c>
      <c r="GX33" t="e">
        <f>AND(medidas!W20,"AAAAAD/t980=")</f>
        <v>#VALUE!</v>
      </c>
      <c r="GY33" t="e">
        <f>AND(medidas!X20,"AAAAAD/t984=")</f>
        <v>#VALUE!</v>
      </c>
      <c r="GZ33" t="e">
        <f>AND(medidas!Y20,"AAAAAD/t988=")</f>
        <v>#VALUE!</v>
      </c>
      <c r="HA33" t="e">
        <f>AND(medidas!Z20,"AAAAAD/t99A=")</f>
        <v>#VALUE!</v>
      </c>
      <c r="HB33" t="e">
        <f>AND(medidas!AA20,"AAAAAD/t99E=")</f>
        <v>#VALUE!</v>
      </c>
      <c r="HC33" t="e">
        <f>AND(medidas!AB20,"AAAAAD/t99I=")</f>
        <v>#VALUE!</v>
      </c>
      <c r="HD33" t="e">
        <f>AND(medidas!AC20,"AAAAAD/t99M=")</f>
        <v>#VALUE!</v>
      </c>
      <c r="HE33" t="e">
        <f>AND(medidas!AD20,"AAAAAD/t99Q=")</f>
        <v>#VALUE!</v>
      </c>
      <c r="HF33" t="e">
        <f>AND(medidas!AE20,"AAAAAD/t99U=")</f>
        <v>#VALUE!</v>
      </c>
      <c r="HG33" t="e">
        <f>AND(medidas!AF20,"AAAAAD/t99Y=")</f>
        <v>#VALUE!</v>
      </c>
      <c r="HH33" t="e">
        <f>AND(medidas!AG20,"AAAAAD/t99c=")</f>
        <v>#VALUE!</v>
      </c>
      <c r="HI33" t="e">
        <f>AND(medidas!AH20,"AAAAAD/t99g=")</f>
        <v>#VALUE!</v>
      </c>
      <c r="HJ33" t="e">
        <f>AND(medidas!AI20,"AAAAAD/t99k=")</f>
        <v>#VALUE!</v>
      </c>
      <c r="HK33" t="e">
        <f>AND(medidas!AJ20,"AAAAAD/t99o=")</f>
        <v>#VALUE!</v>
      </c>
      <c r="HL33" t="e">
        <f>AND(medidas!AK20,"AAAAAD/t99s=")</f>
        <v>#VALUE!</v>
      </c>
      <c r="HM33" t="e">
        <f>AND(medidas!AL20,"AAAAAD/t99w=")</f>
        <v>#VALUE!</v>
      </c>
      <c r="HN33" t="e">
        <f>AND(medidas!AM20,"AAAAAD/t990=")</f>
        <v>#VALUE!</v>
      </c>
      <c r="HO33" t="e">
        <f>AND(medidas!AN20,"AAAAAD/t994=")</f>
        <v>#VALUE!</v>
      </c>
      <c r="HP33" t="e">
        <f>AND(medidas!AO20,"AAAAAD/t998=")</f>
        <v>#VALUE!</v>
      </c>
      <c r="HQ33" t="e">
        <f>AND(medidas!AP20,"AAAAAD/t9+A=")</f>
        <v>#VALUE!</v>
      </c>
      <c r="HR33" t="e">
        <f>AND(medidas!AQ20,"AAAAAD/t9+E=")</f>
        <v>#VALUE!</v>
      </c>
      <c r="HS33" t="e">
        <f>AND(medidas!AR20,"AAAAAD/t9+I=")</f>
        <v>#VALUE!</v>
      </c>
      <c r="HT33" t="e">
        <f>AND(medidas!AS20,"AAAAAD/t9+M=")</f>
        <v>#VALUE!</v>
      </c>
      <c r="HU33" t="e">
        <f>AND(medidas!AT20,"AAAAAD/t9+Q=")</f>
        <v>#VALUE!</v>
      </c>
      <c r="HV33" t="e">
        <f>AND(medidas!AU20,"AAAAAD/t9+U=")</f>
        <v>#VALUE!</v>
      </c>
      <c r="HW33" t="e">
        <f>AND(medidas!AV20,"AAAAAD/t9+Y=")</f>
        <v>#VALUE!</v>
      </c>
      <c r="HX33" t="e">
        <f>AND(medidas!AW20,"AAAAAD/t9+c=")</f>
        <v>#VALUE!</v>
      </c>
      <c r="HY33" t="e">
        <f>AND(medidas!AX20,"AAAAAD/t9+g=")</f>
        <v>#VALUE!</v>
      </c>
      <c r="HZ33" t="e">
        <f>AND(medidas!AY20,"AAAAAD/t9+k=")</f>
        <v>#VALUE!</v>
      </c>
      <c r="IA33" t="e">
        <f>AND(medidas!AZ20,"AAAAAD/t9+o=")</f>
        <v>#VALUE!</v>
      </c>
      <c r="IB33" t="e">
        <f>AND(medidas!BA20,"AAAAAD/t9+s=")</f>
        <v>#VALUE!</v>
      </c>
      <c r="IC33" t="e">
        <f>AND(medidas!BB20,"AAAAAD/t9+w=")</f>
        <v>#VALUE!</v>
      </c>
      <c r="ID33" t="e">
        <f>AND(medidas!BC20,"AAAAAD/t9+0=")</f>
        <v>#VALUE!</v>
      </c>
      <c r="IE33" t="e">
        <f>AND(medidas!BD20,"AAAAAD/t9+4=")</f>
        <v>#VALUE!</v>
      </c>
      <c r="IF33" t="e">
        <f>AND(medidas!BE20,"AAAAAD/t9+8=")</f>
        <v>#VALUE!</v>
      </c>
      <c r="IG33" t="e">
        <f>AND(medidas!BF20,"AAAAAD/t9/A=")</f>
        <v>#VALUE!</v>
      </c>
      <c r="IH33" t="e">
        <f>AND(medidas!BG20,"AAAAAD/t9/E=")</f>
        <v>#VALUE!</v>
      </c>
      <c r="II33" t="e">
        <f>AND(medidas!BH20,"AAAAAD/t9/I=")</f>
        <v>#VALUE!</v>
      </c>
      <c r="IJ33" t="e">
        <f>AND(medidas!BI20,"AAAAAD/t9/M=")</f>
        <v>#VALUE!</v>
      </c>
      <c r="IK33" t="e">
        <f>AND(medidas!BJ20,"AAAAAD/t9/Q=")</f>
        <v>#VALUE!</v>
      </c>
      <c r="IL33" t="e">
        <f>AND(medidas!BK20,"AAAAAD/t9/U=")</f>
        <v>#VALUE!</v>
      </c>
      <c r="IM33" t="e">
        <f>AND(medidas!BL20,"AAAAAD/t9/Y=")</f>
        <v>#VALUE!</v>
      </c>
      <c r="IN33" t="e">
        <f>AND(medidas!BM20,"AAAAAD/t9/c=")</f>
        <v>#VALUE!</v>
      </c>
      <c r="IO33" t="e">
        <f>AND(medidas!BN20,"AAAAAD/t9/g=")</f>
        <v>#VALUE!</v>
      </c>
      <c r="IP33" t="e">
        <f>AND(medidas!BO20,"AAAAAD/t9/k=")</f>
        <v>#VALUE!</v>
      </c>
      <c r="IQ33" t="e">
        <f>AND(medidas!BP20,"AAAAAD/t9/o=")</f>
        <v>#VALUE!</v>
      </c>
      <c r="IR33" t="e">
        <f>AND(medidas!BQ20,"AAAAAD/t9/s=")</f>
        <v>#VALUE!</v>
      </c>
      <c r="IS33" t="e">
        <f>AND(medidas!BR20,"AAAAAD/t9/w=")</f>
        <v>#VALUE!</v>
      </c>
      <c r="IT33" t="e">
        <f>AND(medidas!BS20,"AAAAAD/t9/0=")</f>
        <v>#VALUE!</v>
      </c>
      <c r="IU33" t="e">
        <f>AND(medidas!BT20,"AAAAAD/t9/4=")</f>
        <v>#VALUE!</v>
      </c>
      <c r="IV33" t="e">
        <f>AND(medidas!BU20,"AAAAAD/t9/8=")</f>
        <v>#VALUE!</v>
      </c>
    </row>
    <row r="34" spans="1:256" x14ac:dyDescent="0.2">
      <c r="A34" t="e">
        <f>AND(medidas!BV20,"AAAAAFUfqwA=")</f>
        <v>#VALUE!</v>
      </c>
      <c r="B34" t="e">
        <f>AND(medidas!BW20,"AAAAAFUfqwE=")</f>
        <v>#VALUE!</v>
      </c>
      <c r="C34" t="e">
        <f>AND(medidas!BX20,"AAAAAFUfqwI=")</f>
        <v>#VALUE!</v>
      </c>
      <c r="D34" t="e">
        <f>AND(medidas!BY20,"AAAAAFUfqwM=")</f>
        <v>#VALUE!</v>
      </c>
      <c r="E34">
        <f>IF(medidas!21:21,"AAAAAFUfqwQ=",0)</f>
        <v>0</v>
      </c>
      <c r="F34" t="e">
        <f>AND(medidas!B21,"AAAAAFUfqwU=")</f>
        <v>#VALUE!</v>
      </c>
      <c r="G34" t="e">
        <f>AND(medidas!C21,"AAAAAFUfqwY=")</f>
        <v>#VALUE!</v>
      </c>
      <c r="H34" t="e">
        <f>AND(medidas!D21,"AAAAAFUfqwc=")</f>
        <v>#VALUE!</v>
      </c>
      <c r="I34" t="e">
        <f>AND(medidas!E21,"AAAAAFUfqwg=")</f>
        <v>#VALUE!</v>
      </c>
      <c r="J34" t="e">
        <f>AND(medidas!F21,"AAAAAFUfqwk=")</f>
        <v>#VALUE!</v>
      </c>
      <c r="K34" t="e">
        <f>AND(medidas!G21,"AAAAAFUfqwo=")</f>
        <v>#VALUE!</v>
      </c>
      <c r="L34" t="e">
        <f>AND(medidas!H21,"AAAAAFUfqws=")</f>
        <v>#VALUE!</v>
      </c>
      <c r="M34" t="e">
        <f>AND(medidas!I21,"AAAAAFUfqww=")</f>
        <v>#VALUE!</v>
      </c>
      <c r="N34" t="e">
        <f>AND(medidas!J21,"AAAAAFUfqw0=")</f>
        <v>#VALUE!</v>
      </c>
      <c r="O34" t="e">
        <f>AND(medidas!K21,"AAAAAFUfqw4=")</f>
        <v>#VALUE!</v>
      </c>
      <c r="P34" t="e">
        <f>AND(medidas!L21,"AAAAAFUfqw8=")</f>
        <v>#VALUE!</v>
      </c>
      <c r="Q34" t="e">
        <f>AND(medidas!M21,"AAAAAFUfqxA=")</f>
        <v>#VALUE!</v>
      </c>
      <c r="R34" t="e">
        <f>AND(medidas!N21,"AAAAAFUfqxE=")</f>
        <v>#VALUE!</v>
      </c>
      <c r="S34" t="e">
        <f>AND(medidas!O21,"AAAAAFUfqxI=")</f>
        <v>#VALUE!</v>
      </c>
      <c r="T34" t="e">
        <f>AND(medidas!P21,"AAAAAFUfqxM=")</f>
        <v>#VALUE!</v>
      </c>
      <c r="U34" t="e">
        <f>AND(medidas!Q21,"AAAAAFUfqxQ=")</f>
        <v>#VALUE!</v>
      </c>
      <c r="V34" t="e">
        <f>AND(medidas!R21,"AAAAAFUfqxU=")</f>
        <v>#VALUE!</v>
      </c>
      <c r="W34" t="e">
        <f>AND(medidas!S21,"AAAAAFUfqxY=")</f>
        <v>#VALUE!</v>
      </c>
      <c r="X34" t="e">
        <f>AND(medidas!T21,"AAAAAFUfqxc=")</f>
        <v>#VALUE!</v>
      </c>
      <c r="Y34" t="e">
        <f>AND(medidas!U21,"AAAAAFUfqxg=")</f>
        <v>#VALUE!</v>
      </c>
      <c r="Z34" t="e">
        <f>AND(medidas!V21,"AAAAAFUfqxk=")</f>
        <v>#VALUE!</v>
      </c>
      <c r="AA34" t="e">
        <f>AND(medidas!W21,"AAAAAFUfqxo=")</f>
        <v>#VALUE!</v>
      </c>
      <c r="AB34" t="e">
        <f>AND(medidas!X21,"AAAAAFUfqxs=")</f>
        <v>#VALUE!</v>
      </c>
      <c r="AC34" t="e">
        <f>AND(medidas!Y21,"AAAAAFUfqxw=")</f>
        <v>#VALUE!</v>
      </c>
      <c r="AD34" t="e">
        <f>AND(medidas!Z21,"AAAAAFUfqx0=")</f>
        <v>#VALUE!</v>
      </c>
      <c r="AE34" t="e">
        <f>AND(medidas!AA21,"AAAAAFUfqx4=")</f>
        <v>#VALUE!</v>
      </c>
      <c r="AF34" t="e">
        <f>AND(medidas!AB21,"AAAAAFUfqx8=")</f>
        <v>#VALUE!</v>
      </c>
      <c r="AG34" t="e">
        <f>AND(medidas!AC21,"AAAAAFUfqyA=")</f>
        <v>#VALUE!</v>
      </c>
      <c r="AH34" t="e">
        <f>AND(medidas!AD21,"AAAAAFUfqyE=")</f>
        <v>#VALUE!</v>
      </c>
      <c r="AI34" t="e">
        <f>AND(medidas!AE21,"AAAAAFUfqyI=")</f>
        <v>#VALUE!</v>
      </c>
      <c r="AJ34" t="e">
        <f>AND(medidas!AF21,"AAAAAFUfqyM=")</f>
        <v>#VALUE!</v>
      </c>
      <c r="AK34" t="e">
        <f>AND(medidas!AG21,"AAAAAFUfqyQ=")</f>
        <v>#VALUE!</v>
      </c>
      <c r="AL34" t="e">
        <f>AND(medidas!AH21,"AAAAAFUfqyU=")</f>
        <v>#VALUE!</v>
      </c>
      <c r="AM34" t="e">
        <f>AND(medidas!AI21,"AAAAAFUfqyY=")</f>
        <v>#VALUE!</v>
      </c>
      <c r="AN34" t="e">
        <f>AND(medidas!AJ21,"AAAAAFUfqyc=")</f>
        <v>#VALUE!</v>
      </c>
      <c r="AO34" t="e">
        <f>AND(medidas!AK21,"AAAAAFUfqyg=")</f>
        <v>#VALUE!</v>
      </c>
      <c r="AP34" t="e">
        <f>AND(medidas!AL21,"AAAAAFUfqyk=")</f>
        <v>#VALUE!</v>
      </c>
      <c r="AQ34" t="e">
        <f>AND(medidas!AM21,"AAAAAFUfqyo=")</f>
        <v>#VALUE!</v>
      </c>
      <c r="AR34" t="e">
        <f>AND(medidas!AN21,"AAAAAFUfqys=")</f>
        <v>#VALUE!</v>
      </c>
      <c r="AS34" t="e">
        <f>AND(medidas!AO21,"AAAAAFUfqyw=")</f>
        <v>#VALUE!</v>
      </c>
      <c r="AT34" t="e">
        <f>AND(medidas!AP21,"AAAAAFUfqy0=")</f>
        <v>#VALUE!</v>
      </c>
      <c r="AU34" t="e">
        <f>AND(medidas!AQ21,"AAAAAFUfqy4=")</f>
        <v>#VALUE!</v>
      </c>
      <c r="AV34" t="e">
        <f>AND(medidas!AR21,"AAAAAFUfqy8=")</f>
        <v>#VALUE!</v>
      </c>
      <c r="AW34" t="e">
        <f>AND(medidas!AS21,"AAAAAFUfqzA=")</f>
        <v>#VALUE!</v>
      </c>
      <c r="AX34" t="e">
        <f>AND(medidas!AT21,"AAAAAFUfqzE=")</f>
        <v>#VALUE!</v>
      </c>
      <c r="AY34" t="e">
        <f>AND(medidas!AU21,"AAAAAFUfqzI=")</f>
        <v>#VALUE!</v>
      </c>
      <c r="AZ34" t="e">
        <f>AND(medidas!AV21,"AAAAAFUfqzM=")</f>
        <v>#VALUE!</v>
      </c>
      <c r="BA34" t="e">
        <f>AND(medidas!AW21,"AAAAAFUfqzQ=")</f>
        <v>#VALUE!</v>
      </c>
      <c r="BB34" t="e">
        <f>AND(medidas!AX21,"AAAAAFUfqzU=")</f>
        <v>#VALUE!</v>
      </c>
      <c r="BC34" t="e">
        <f>AND(medidas!AY21,"AAAAAFUfqzY=")</f>
        <v>#VALUE!</v>
      </c>
      <c r="BD34" t="e">
        <f>AND(medidas!AZ21,"AAAAAFUfqzc=")</f>
        <v>#VALUE!</v>
      </c>
      <c r="BE34" t="e">
        <f>AND(medidas!BA21,"AAAAAFUfqzg=")</f>
        <v>#VALUE!</v>
      </c>
      <c r="BF34" t="e">
        <f>AND(medidas!BB21,"AAAAAFUfqzk=")</f>
        <v>#VALUE!</v>
      </c>
      <c r="BG34" t="e">
        <f>AND(medidas!BC21,"AAAAAFUfqzo=")</f>
        <v>#VALUE!</v>
      </c>
      <c r="BH34" t="e">
        <f>AND(medidas!BD21,"AAAAAFUfqzs=")</f>
        <v>#VALUE!</v>
      </c>
      <c r="BI34" t="e">
        <f>AND(medidas!BE21,"AAAAAFUfqzw=")</f>
        <v>#VALUE!</v>
      </c>
      <c r="BJ34" t="e">
        <f>AND(medidas!BF21,"AAAAAFUfqz0=")</f>
        <v>#VALUE!</v>
      </c>
      <c r="BK34" t="e">
        <f>AND(medidas!BG21,"AAAAAFUfqz4=")</f>
        <v>#VALUE!</v>
      </c>
      <c r="BL34" t="e">
        <f>AND(medidas!BH21,"AAAAAFUfqz8=")</f>
        <v>#VALUE!</v>
      </c>
      <c r="BM34" t="e">
        <f>AND(medidas!BI21,"AAAAAFUfq0A=")</f>
        <v>#VALUE!</v>
      </c>
      <c r="BN34" t="e">
        <f>AND(medidas!BJ21,"AAAAAFUfq0E=")</f>
        <v>#VALUE!</v>
      </c>
      <c r="BO34" t="e">
        <f>AND(medidas!BK21,"AAAAAFUfq0I=")</f>
        <v>#VALUE!</v>
      </c>
      <c r="BP34" t="e">
        <f>AND(medidas!BL21,"AAAAAFUfq0M=")</f>
        <v>#VALUE!</v>
      </c>
      <c r="BQ34" t="e">
        <f>AND(medidas!BM21,"AAAAAFUfq0Q=")</f>
        <v>#VALUE!</v>
      </c>
      <c r="BR34" t="e">
        <f>AND(medidas!BN21,"AAAAAFUfq0U=")</f>
        <v>#VALUE!</v>
      </c>
      <c r="BS34" t="e">
        <f>AND(medidas!BO21,"AAAAAFUfq0Y=")</f>
        <v>#VALUE!</v>
      </c>
      <c r="BT34" t="e">
        <f>AND(medidas!BP21,"AAAAAFUfq0c=")</f>
        <v>#VALUE!</v>
      </c>
      <c r="BU34" t="e">
        <f>AND(medidas!BQ21,"AAAAAFUfq0g=")</f>
        <v>#VALUE!</v>
      </c>
      <c r="BV34" t="e">
        <f>AND(medidas!BR21,"AAAAAFUfq0k=")</f>
        <v>#VALUE!</v>
      </c>
      <c r="BW34" t="e">
        <f>AND(medidas!BS21,"AAAAAFUfq0o=")</f>
        <v>#VALUE!</v>
      </c>
      <c r="BX34" t="e">
        <f>AND(medidas!BT21,"AAAAAFUfq0s=")</f>
        <v>#VALUE!</v>
      </c>
      <c r="BY34" t="e">
        <f>AND(medidas!BU21,"AAAAAFUfq0w=")</f>
        <v>#VALUE!</v>
      </c>
      <c r="BZ34" t="e">
        <f>AND(medidas!BV21,"AAAAAFUfq00=")</f>
        <v>#VALUE!</v>
      </c>
      <c r="CA34" t="e">
        <f>AND(medidas!BW21,"AAAAAFUfq04=")</f>
        <v>#VALUE!</v>
      </c>
      <c r="CB34" t="e">
        <f>AND(medidas!BX21,"AAAAAFUfq08=")</f>
        <v>#VALUE!</v>
      </c>
      <c r="CC34" t="e">
        <f>AND(medidas!BY21,"AAAAAFUfq1A=")</f>
        <v>#VALUE!</v>
      </c>
      <c r="CD34">
        <f>IF(medidas!22:22,"AAAAAFUfq1E=",0)</f>
        <v>0</v>
      </c>
      <c r="CE34" t="e">
        <f>AND(medidas!B22,"AAAAAFUfq1I=")</f>
        <v>#VALUE!</v>
      </c>
      <c r="CF34" t="e">
        <f>AND(medidas!C22,"AAAAAFUfq1M=")</f>
        <v>#VALUE!</v>
      </c>
      <c r="CG34" t="e">
        <f>AND(medidas!D22,"AAAAAFUfq1Q=")</f>
        <v>#VALUE!</v>
      </c>
      <c r="CH34" t="e">
        <f>AND(medidas!E22,"AAAAAFUfq1U=")</f>
        <v>#VALUE!</v>
      </c>
      <c r="CI34" t="e">
        <f>AND(medidas!F22,"AAAAAFUfq1Y=")</f>
        <v>#VALUE!</v>
      </c>
      <c r="CJ34" t="e">
        <f>AND(medidas!G22,"AAAAAFUfq1c=")</f>
        <v>#VALUE!</v>
      </c>
      <c r="CK34" t="e">
        <f>AND(medidas!H22,"AAAAAFUfq1g=")</f>
        <v>#VALUE!</v>
      </c>
      <c r="CL34" t="e">
        <f>AND(medidas!I22,"AAAAAFUfq1k=")</f>
        <v>#VALUE!</v>
      </c>
      <c r="CM34" t="e">
        <f>AND(medidas!J22,"AAAAAFUfq1o=")</f>
        <v>#VALUE!</v>
      </c>
      <c r="CN34" t="e">
        <f>AND(medidas!K22,"AAAAAFUfq1s=")</f>
        <v>#VALUE!</v>
      </c>
      <c r="CO34" t="e">
        <f>AND(medidas!L22,"AAAAAFUfq1w=")</f>
        <v>#VALUE!</v>
      </c>
      <c r="CP34" t="e">
        <f>AND(medidas!M22,"AAAAAFUfq10=")</f>
        <v>#VALUE!</v>
      </c>
      <c r="CQ34" t="e">
        <f>AND(medidas!N22,"AAAAAFUfq14=")</f>
        <v>#VALUE!</v>
      </c>
      <c r="CR34" t="e">
        <f>AND(medidas!O22,"AAAAAFUfq18=")</f>
        <v>#VALUE!</v>
      </c>
      <c r="CS34" t="e">
        <f>AND(medidas!P22,"AAAAAFUfq2A=")</f>
        <v>#VALUE!</v>
      </c>
      <c r="CT34" t="e">
        <f>AND(medidas!Q22,"AAAAAFUfq2E=")</f>
        <v>#VALUE!</v>
      </c>
      <c r="CU34" t="e">
        <f>AND(medidas!R22,"AAAAAFUfq2I=")</f>
        <v>#VALUE!</v>
      </c>
      <c r="CV34" t="e">
        <f>AND(medidas!S22,"AAAAAFUfq2M=")</f>
        <v>#VALUE!</v>
      </c>
      <c r="CW34" t="e">
        <f>AND(medidas!T22,"AAAAAFUfq2Q=")</f>
        <v>#VALUE!</v>
      </c>
      <c r="CX34" t="e">
        <f>AND(medidas!U22,"AAAAAFUfq2U=")</f>
        <v>#VALUE!</v>
      </c>
      <c r="CY34" t="e">
        <f>AND(medidas!V22,"AAAAAFUfq2Y=")</f>
        <v>#VALUE!</v>
      </c>
      <c r="CZ34" t="e">
        <f>AND(medidas!W22,"AAAAAFUfq2c=")</f>
        <v>#VALUE!</v>
      </c>
      <c r="DA34" t="e">
        <f>AND(medidas!X22,"AAAAAFUfq2g=")</f>
        <v>#VALUE!</v>
      </c>
      <c r="DB34" t="e">
        <f>AND(medidas!Y22,"AAAAAFUfq2k=")</f>
        <v>#VALUE!</v>
      </c>
      <c r="DC34" t="e">
        <f>AND(medidas!Z22,"AAAAAFUfq2o=")</f>
        <v>#VALUE!</v>
      </c>
      <c r="DD34" t="e">
        <f>AND(medidas!AA22,"AAAAAFUfq2s=")</f>
        <v>#VALUE!</v>
      </c>
      <c r="DE34" t="e">
        <f>AND(medidas!AB22,"AAAAAFUfq2w=")</f>
        <v>#VALUE!</v>
      </c>
      <c r="DF34" t="e">
        <f>AND(medidas!AC22,"AAAAAFUfq20=")</f>
        <v>#VALUE!</v>
      </c>
      <c r="DG34" t="e">
        <f>AND(medidas!AD22,"AAAAAFUfq24=")</f>
        <v>#VALUE!</v>
      </c>
      <c r="DH34" t="e">
        <f>AND(medidas!AE22,"AAAAAFUfq28=")</f>
        <v>#VALUE!</v>
      </c>
      <c r="DI34" t="e">
        <f>AND(medidas!AF22,"AAAAAFUfq3A=")</f>
        <v>#VALUE!</v>
      </c>
      <c r="DJ34" t="e">
        <f>AND(medidas!AG22,"AAAAAFUfq3E=")</f>
        <v>#VALUE!</v>
      </c>
      <c r="DK34" t="e">
        <f>AND(medidas!AH22,"AAAAAFUfq3I=")</f>
        <v>#VALUE!</v>
      </c>
      <c r="DL34" t="e">
        <f>AND(medidas!AI22,"AAAAAFUfq3M=")</f>
        <v>#VALUE!</v>
      </c>
      <c r="DM34" t="e">
        <f>AND(medidas!AJ22,"AAAAAFUfq3Q=")</f>
        <v>#VALUE!</v>
      </c>
      <c r="DN34" t="e">
        <f>AND(medidas!AK22,"AAAAAFUfq3U=")</f>
        <v>#VALUE!</v>
      </c>
      <c r="DO34" t="e">
        <f>AND(medidas!AL22,"AAAAAFUfq3Y=")</f>
        <v>#VALUE!</v>
      </c>
      <c r="DP34" t="e">
        <f>AND(medidas!AM22,"AAAAAFUfq3c=")</f>
        <v>#VALUE!</v>
      </c>
      <c r="DQ34" t="e">
        <f>AND(medidas!AN22,"AAAAAFUfq3g=")</f>
        <v>#VALUE!</v>
      </c>
      <c r="DR34" t="e">
        <f>AND(medidas!AO22,"AAAAAFUfq3k=")</f>
        <v>#VALUE!</v>
      </c>
      <c r="DS34" t="e">
        <f>AND(medidas!AP22,"AAAAAFUfq3o=")</f>
        <v>#VALUE!</v>
      </c>
      <c r="DT34" t="e">
        <f>AND(medidas!AQ22,"AAAAAFUfq3s=")</f>
        <v>#VALUE!</v>
      </c>
      <c r="DU34" t="e">
        <f>AND(medidas!AR22,"AAAAAFUfq3w=")</f>
        <v>#VALUE!</v>
      </c>
      <c r="DV34" t="e">
        <f>AND(medidas!AS22,"AAAAAFUfq30=")</f>
        <v>#VALUE!</v>
      </c>
      <c r="DW34" t="e">
        <f>AND(medidas!AT22,"AAAAAFUfq34=")</f>
        <v>#VALUE!</v>
      </c>
      <c r="DX34" t="e">
        <f>AND(medidas!AU22,"AAAAAFUfq38=")</f>
        <v>#VALUE!</v>
      </c>
      <c r="DY34" t="e">
        <f>AND(medidas!AV22,"AAAAAFUfq4A=")</f>
        <v>#VALUE!</v>
      </c>
      <c r="DZ34" t="e">
        <f>AND(medidas!AW22,"AAAAAFUfq4E=")</f>
        <v>#VALUE!</v>
      </c>
      <c r="EA34" t="e">
        <f>AND(medidas!AX22,"AAAAAFUfq4I=")</f>
        <v>#VALUE!</v>
      </c>
      <c r="EB34" t="e">
        <f>AND(medidas!AY22,"AAAAAFUfq4M=")</f>
        <v>#VALUE!</v>
      </c>
      <c r="EC34" t="e">
        <f>AND(medidas!AZ22,"AAAAAFUfq4Q=")</f>
        <v>#VALUE!</v>
      </c>
      <c r="ED34" t="e">
        <f>AND(medidas!BA22,"AAAAAFUfq4U=")</f>
        <v>#VALUE!</v>
      </c>
      <c r="EE34" t="e">
        <f>AND(medidas!BB22,"AAAAAFUfq4Y=")</f>
        <v>#VALUE!</v>
      </c>
      <c r="EF34" t="e">
        <f>AND(medidas!BC22,"AAAAAFUfq4c=")</f>
        <v>#VALUE!</v>
      </c>
      <c r="EG34" t="e">
        <f>AND(medidas!BD22,"AAAAAFUfq4g=")</f>
        <v>#VALUE!</v>
      </c>
      <c r="EH34" t="e">
        <f>AND(medidas!BE22,"AAAAAFUfq4k=")</f>
        <v>#VALUE!</v>
      </c>
      <c r="EI34" t="e">
        <f>AND(medidas!BF22,"AAAAAFUfq4o=")</f>
        <v>#VALUE!</v>
      </c>
      <c r="EJ34" t="e">
        <f>AND(medidas!BG22,"AAAAAFUfq4s=")</f>
        <v>#VALUE!</v>
      </c>
      <c r="EK34" t="e">
        <f>AND(medidas!BH22,"AAAAAFUfq4w=")</f>
        <v>#VALUE!</v>
      </c>
      <c r="EL34" t="e">
        <f>AND(medidas!BI22,"AAAAAFUfq40=")</f>
        <v>#VALUE!</v>
      </c>
      <c r="EM34" t="e">
        <f>AND(medidas!BJ22,"AAAAAFUfq44=")</f>
        <v>#VALUE!</v>
      </c>
      <c r="EN34" t="e">
        <f>AND(medidas!BK22,"AAAAAFUfq48=")</f>
        <v>#VALUE!</v>
      </c>
      <c r="EO34" t="e">
        <f>AND(medidas!BL22,"AAAAAFUfq5A=")</f>
        <v>#VALUE!</v>
      </c>
      <c r="EP34" t="e">
        <f>AND(medidas!BM22,"AAAAAFUfq5E=")</f>
        <v>#VALUE!</v>
      </c>
      <c r="EQ34" t="e">
        <f>AND(medidas!BN22,"AAAAAFUfq5I=")</f>
        <v>#VALUE!</v>
      </c>
      <c r="ER34" t="e">
        <f>AND(medidas!BO22,"AAAAAFUfq5M=")</f>
        <v>#VALUE!</v>
      </c>
      <c r="ES34" t="e">
        <f>AND(medidas!BP22,"AAAAAFUfq5Q=")</f>
        <v>#VALUE!</v>
      </c>
      <c r="ET34" t="e">
        <f>AND(medidas!BQ22,"AAAAAFUfq5U=")</f>
        <v>#VALUE!</v>
      </c>
      <c r="EU34" t="e">
        <f>AND(medidas!BR22,"AAAAAFUfq5Y=")</f>
        <v>#VALUE!</v>
      </c>
      <c r="EV34" t="e">
        <f>AND(medidas!BS22,"AAAAAFUfq5c=")</f>
        <v>#VALUE!</v>
      </c>
      <c r="EW34" t="e">
        <f>AND(medidas!BT22,"AAAAAFUfq5g=")</f>
        <v>#VALUE!</v>
      </c>
      <c r="EX34" t="e">
        <f>AND(medidas!BU22,"AAAAAFUfq5k=")</f>
        <v>#VALUE!</v>
      </c>
      <c r="EY34" t="e">
        <f>AND(medidas!BV22,"AAAAAFUfq5o=")</f>
        <v>#VALUE!</v>
      </c>
      <c r="EZ34" t="e">
        <f>AND(medidas!BW22,"AAAAAFUfq5s=")</f>
        <v>#VALUE!</v>
      </c>
      <c r="FA34" t="e">
        <f>AND(medidas!BX22,"AAAAAFUfq5w=")</f>
        <v>#VALUE!</v>
      </c>
      <c r="FB34" t="e">
        <f>AND(medidas!BY22,"AAAAAFUfq50=")</f>
        <v>#VALUE!</v>
      </c>
      <c r="FC34">
        <f>IF(medidas!23:23,"AAAAAFUfq54=",0)</f>
        <v>0</v>
      </c>
      <c r="FD34" t="e">
        <f>AND(medidas!B23,"AAAAAFUfq58=")</f>
        <v>#VALUE!</v>
      </c>
      <c r="FE34" t="e">
        <f>AND(medidas!C23,"AAAAAFUfq6A=")</f>
        <v>#VALUE!</v>
      </c>
      <c r="FF34" t="e">
        <f>AND(medidas!D23,"AAAAAFUfq6E=")</f>
        <v>#VALUE!</v>
      </c>
      <c r="FG34" t="e">
        <f>AND(medidas!E23,"AAAAAFUfq6I=")</f>
        <v>#VALUE!</v>
      </c>
      <c r="FH34" t="e">
        <f>AND(medidas!F23,"AAAAAFUfq6M=")</f>
        <v>#VALUE!</v>
      </c>
      <c r="FI34" t="e">
        <f>AND(medidas!G23,"AAAAAFUfq6Q=")</f>
        <v>#VALUE!</v>
      </c>
      <c r="FJ34" t="e">
        <f>AND(medidas!H23,"AAAAAFUfq6U=")</f>
        <v>#VALUE!</v>
      </c>
      <c r="FK34" t="e">
        <f>AND(medidas!I23,"AAAAAFUfq6Y=")</f>
        <v>#VALUE!</v>
      </c>
      <c r="FL34" t="e">
        <f>AND(medidas!J23,"AAAAAFUfq6c=")</f>
        <v>#VALUE!</v>
      </c>
      <c r="FM34" t="e">
        <f>AND(medidas!K23,"AAAAAFUfq6g=")</f>
        <v>#VALUE!</v>
      </c>
      <c r="FN34" t="e">
        <f>AND(medidas!L23,"AAAAAFUfq6k=")</f>
        <v>#VALUE!</v>
      </c>
      <c r="FO34" t="e">
        <f>AND(medidas!M23,"AAAAAFUfq6o=")</f>
        <v>#VALUE!</v>
      </c>
      <c r="FP34" t="e">
        <f>AND(medidas!N23,"AAAAAFUfq6s=")</f>
        <v>#VALUE!</v>
      </c>
      <c r="FQ34" t="e">
        <f>AND(medidas!O23,"AAAAAFUfq6w=")</f>
        <v>#VALUE!</v>
      </c>
      <c r="FR34" t="e">
        <f>AND(medidas!P23,"AAAAAFUfq60=")</f>
        <v>#VALUE!</v>
      </c>
      <c r="FS34" t="e">
        <f>AND(medidas!Q23,"AAAAAFUfq64=")</f>
        <v>#VALUE!</v>
      </c>
      <c r="FT34" t="e">
        <f>AND(medidas!R23,"AAAAAFUfq68=")</f>
        <v>#VALUE!</v>
      </c>
      <c r="FU34" t="e">
        <f>AND(medidas!S23,"AAAAAFUfq7A=")</f>
        <v>#VALUE!</v>
      </c>
      <c r="FV34" t="e">
        <f>AND(medidas!T23,"AAAAAFUfq7E=")</f>
        <v>#VALUE!</v>
      </c>
      <c r="FW34" t="e">
        <f>AND(medidas!U23,"AAAAAFUfq7I=")</f>
        <v>#VALUE!</v>
      </c>
      <c r="FX34" t="e">
        <f>AND(medidas!V23,"AAAAAFUfq7M=")</f>
        <v>#VALUE!</v>
      </c>
      <c r="FY34" t="e">
        <f>AND(medidas!W23,"AAAAAFUfq7Q=")</f>
        <v>#VALUE!</v>
      </c>
      <c r="FZ34" t="e">
        <f>AND(medidas!X23,"AAAAAFUfq7U=")</f>
        <v>#VALUE!</v>
      </c>
      <c r="GA34" t="e">
        <f>AND(medidas!Y23,"AAAAAFUfq7Y=")</f>
        <v>#VALUE!</v>
      </c>
      <c r="GB34" t="e">
        <f>AND(medidas!Z23,"AAAAAFUfq7c=")</f>
        <v>#VALUE!</v>
      </c>
      <c r="GC34" t="e">
        <f>AND(medidas!AA23,"AAAAAFUfq7g=")</f>
        <v>#VALUE!</v>
      </c>
      <c r="GD34" t="e">
        <f>AND(medidas!AB23,"AAAAAFUfq7k=")</f>
        <v>#VALUE!</v>
      </c>
      <c r="GE34" t="e">
        <f>AND(medidas!AC23,"AAAAAFUfq7o=")</f>
        <v>#VALUE!</v>
      </c>
      <c r="GF34" t="e">
        <f>AND(medidas!AD23,"AAAAAFUfq7s=")</f>
        <v>#VALUE!</v>
      </c>
      <c r="GG34" t="e">
        <f>AND(medidas!AE23,"AAAAAFUfq7w=")</f>
        <v>#VALUE!</v>
      </c>
      <c r="GH34" t="e">
        <f>AND(medidas!AF23,"AAAAAFUfq70=")</f>
        <v>#VALUE!</v>
      </c>
      <c r="GI34" t="e">
        <f>AND(medidas!AG23,"AAAAAFUfq74=")</f>
        <v>#VALUE!</v>
      </c>
      <c r="GJ34" t="e">
        <f>AND(medidas!AH23,"AAAAAFUfq78=")</f>
        <v>#VALUE!</v>
      </c>
      <c r="GK34" t="e">
        <f>AND(medidas!AI23,"AAAAAFUfq8A=")</f>
        <v>#VALUE!</v>
      </c>
      <c r="GL34" t="e">
        <f>AND(medidas!AJ23,"AAAAAFUfq8E=")</f>
        <v>#VALUE!</v>
      </c>
      <c r="GM34" t="e">
        <f>AND(medidas!AK23,"AAAAAFUfq8I=")</f>
        <v>#VALUE!</v>
      </c>
      <c r="GN34" t="e">
        <f>AND(medidas!AL23,"AAAAAFUfq8M=")</f>
        <v>#VALUE!</v>
      </c>
      <c r="GO34" t="e">
        <f>AND(medidas!AM23,"AAAAAFUfq8Q=")</f>
        <v>#VALUE!</v>
      </c>
      <c r="GP34" t="e">
        <f>AND(medidas!AN23,"AAAAAFUfq8U=")</f>
        <v>#VALUE!</v>
      </c>
      <c r="GQ34" t="e">
        <f>AND(medidas!AO23,"AAAAAFUfq8Y=")</f>
        <v>#VALUE!</v>
      </c>
      <c r="GR34" t="e">
        <f>AND(medidas!AP23,"AAAAAFUfq8c=")</f>
        <v>#VALUE!</v>
      </c>
      <c r="GS34" t="e">
        <f>AND(medidas!AQ23,"AAAAAFUfq8g=")</f>
        <v>#VALUE!</v>
      </c>
      <c r="GT34" t="e">
        <f>AND(medidas!AR23,"AAAAAFUfq8k=")</f>
        <v>#VALUE!</v>
      </c>
      <c r="GU34" t="e">
        <f>AND(medidas!AS23,"AAAAAFUfq8o=")</f>
        <v>#VALUE!</v>
      </c>
      <c r="GV34" t="e">
        <f>AND(medidas!AT23,"AAAAAFUfq8s=")</f>
        <v>#VALUE!</v>
      </c>
      <c r="GW34" t="e">
        <f>AND(medidas!AU23,"AAAAAFUfq8w=")</f>
        <v>#VALUE!</v>
      </c>
      <c r="GX34" t="e">
        <f>AND(medidas!AV23,"AAAAAFUfq80=")</f>
        <v>#VALUE!</v>
      </c>
      <c r="GY34" t="e">
        <f>AND(medidas!AW23,"AAAAAFUfq84=")</f>
        <v>#VALUE!</v>
      </c>
      <c r="GZ34" t="e">
        <f>AND(medidas!AX23,"AAAAAFUfq88=")</f>
        <v>#VALUE!</v>
      </c>
      <c r="HA34" t="e">
        <f>AND(medidas!AY23,"AAAAAFUfq9A=")</f>
        <v>#VALUE!</v>
      </c>
      <c r="HB34" t="e">
        <f>AND(medidas!AZ23,"AAAAAFUfq9E=")</f>
        <v>#VALUE!</v>
      </c>
      <c r="HC34" t="e">
        <f>AND(medidas!BA23,"AAAAAFUfq9I=")</f>
        <v>#VALUE!</v>
      </c>
      <c r="HD34" t="e">
        <f>AND(medidas!BB23,"AAAAAFUfq9M=")</f>
        <v>#VALUE!</v>
      </c>
      <c r="HE34" t="e">
        <f>AND(medidas!BC23,"AAAAAFUfq9Q=")</f>
        <v>#VALUE!</v>
      </c>
      <c r="HF34" t="e">
        <f>AND(medidas!BD23,"AAAAAFUfq9U=")</f>
        <v>#VALUE!</v>
      </c>
      <c r="HG34" t="e">
        <f>AND(medidas!BE23,"AAAAAFUfq9Y=")</f>
        <v>#VALUE!</v>
      </c>
      <c r="HH34" t="e">
        <f>AND(medidas!BF23,"AAAAAFUfq9c=")</f>
        <v>#VALUE!</v>
      </c>
      <c r="HI34" t="e">
        <f>AND(medidas!BG23,"AAAAAFUfq9g=")</f>
        <v>#VALUE!</v>
      </c>
      <c r="HJ34" t="e">
        <f>AND(medidas!BH23,"AAAAAFUfq9k=")</f>
        <v>#VALUE!</v>
      </c>
      <c r="HK34" t="e">
        <f>AND(medidas!BI23,"AAAAAFUfq9o=")</f>
        <v>#VALUE!</v>
      </c>
      <c r="HL34" t="e">
        <f>AND(medidas!BJ23,"AAAAAFUfq9s=")</f>
        <v>#VALUE!</v>
      </c>
      <c r="HM34" t="e">
        <f>AND(medidas!BK23,"AAAAAFUfq9w=")</f>
        <v>#VALUE!</v>
      </c>
      <c r="HN34" t="e">
        <f>AND(medidas!BL23,"AAAAAFUfq90=")</f>
        <v>#VALUE!</v>
      </c>
      <c r="HO34" t="e">
        <f>AND(medidas!BM23,"AAAAAFUfq94=")</f>
        <v>#VALUE!</v>
      </c>
      <c r="HP34" t="e">
        <f>AND(medidas!BN23,"AAAAAFUfq98=")</f>
        <v>#VALUE!</v>
      </c>
      <c r="HQ34" t="e">
        <f>AND(medidas!BO23,"AAAAAFUfq+A=")</f>
        <v>#VALUE!</v>
      </c>
      <c r="HR34" t="e">
        <f>AND(medidas!BP23,"AAAAAFUfq+E=")</f>
        <v>#VALUE!</v>
      </c>
      <c r="HS34" t="e">
        <f>AND(medidas!BQ23,"AAAAAFUfq+I=")</f>
        <v>#VALUE!</v>
      </c>
      <c r="HT34" t="e">
        <f>AND(medidas!BR23,"AAAAAFUfq+M=")</f>
        <v>#VALUE!</v>
      </c>
      <c r="HU34" t="e">
        <f>AND(medidas!BS23,"AAAAAFUfq+Q=")</f>
        <v>#VALUE!</v>
      </c>
      <c r="HV34" t="e">
        <f>AND(medidas!BT23,"AAAAAFUfq+U=")</f>
        <v>#VALUE!</v>
      </c>
      <c r="HW34" t="e">
        <f>AND(medidas!BU23,"AAAAAFUfq+Y=")</f>
        <v>#VALUE!</v>
      </c>
      <c r="HX34" t="e">
        <f>AND(medidas!BV23,"AAAAAFUfq+c=")</f>
        <v>#VALUE!</v>
      </c>
      <c r="HY34" t="e">
        <f>AND(medidas!BW23,"AAAAAFUfq+g=")</f>
        <v>#VALUE!</v>
      </c>
      <c r="HZ34" t="e">
        <f>AND(medidas!BX23,"AAAAAFUfq+k=")</f>
        <v>#VALUE!</v>
      </c>
      <c r="IA34" t="e">
        <f>AND(medidas!BY23,"AAAAAFUfq+o=")</f>
        <v>#VALUE!</v>
      </c>
      <c r="IB34">
        <f>IF(medidas!24:24,"AAAAAFUfq+s=",0)</f>
        <v>0</v>
      </c>
      <c r="IC34" t="e">
        <f>AND(medidas!B24,"AAAAAFUfq+w=")</f>
        <v>#VALUE!</v>
      </c>
      <c r="ID34" t="e">
        <f>AND(medidas!C24,"AAAAAFUfq+0=")</f>
        <v>#VALUE!</v>
      </c>
      <c r="IE34" t="e">
        <f>AND(medidas!D24,"AAAAAFUfq+4=")</f>
        <v>#VALUE!</v>
      </c>
      <c r="IF34" t="e">
        <f>AND(medidas!E24,"AAAAAFUfq+8=")</f>
        <v>#VALUE!</v>
      </c>
      <c r="IG34" t="e">
        <f>AND(medidas!F24,"AAAAAFUfq/A=")</f>
        <v>#VALUE!</v>
      </c>
      <c r="IH34" t="e">
        <f>AND(medidas!G24,"AAAAAFUfq/E=")</f>
        <v>#VALUE!</v>
      </c>
      <c r="II34" t="e">
        <f>AND(medidas!H24,"AAAAAFUfq/I=")</f>
        <v>#VALUE!</v>
      </c>
      <c r="IJ34" t="e">
        <f>AND(medidas!I24,"AAAAAFUfq/M=")</f>
        <v>#VALUE!</v>
      </c>
      <c r="IK34" t="e">
        <f>AND(medidas!J24,"AAAAAFUfq/Q=")</f>
        <v>#VALUE!</v>
      </c>
      <c r="IL34" t="e">
        <f>AND(medidas!K24,"AAAAAFUfq/U=")</f>
        <v>#VALUE!</v>
      </c>
      <c r="IM34" t="e">
        <f>AND(medidas!L24,"AAAAAFUfq/Y=")</f>
        <v>#VALUE!</v>
      </c>
      <c r="IN34" t="e">
        <f>AND(medidas!M24,"AAAAAFUfq/c=")</f>
        <v>#VALUE!</v>
      </c>
      <c r="IO34" t="e">
        <f>AND(medidas!N24,"AAAAAFUfq/g=")</f>
        <v>#VALUE!</v>
      </c>
      <c r="IP34" t="e">
        <f>AND(medidas!O24,"AAAAAFUfq/k=")</f>
        <v>#VALUE!</v>
      </c>
      <c r="IQ34" t="e">
        <f>AND(medidas!P24,"AAAAAFUfq/o=")</f>
        <v>#VALUE!</v>
      </c>
      <c r="IR34" t="e">
        <f>AND(medidas!Q24,"AAAAAFUfq/s=")</f>
        <v>#VALUE!</v>
      </c>
      <c r="IS34" t="e">
        <f>AND(medidas!R24,"AAAAAFUfq/w=")</f>
        <v>#VALUE!</v>
      </c>
      <c r="IT34" t="e">
        <f>AND(medidas!S24,"AAAAAFUfq/0=")</f>
        <v>#VALUE!</v>
      </c>
      <c r="IU34" t="e">
        <f>AND(medidas!T24,"AAAAAFUfq/4=")</f>
        <v>#VALUE!</v>
      </c>
      <c r="IV34" t="e">
        <f>AND(medidas!U24,"AAAAAFUfq/8=")</f>
        <v>#VALUE!</v>
      </c>
    </row>
    <row r="35" spans="1:256" x14ac:dyDescent="0.2">
      <c r="A35" t="e">
        <f>AND(medidas!V24,"AAAAAG1e/gA=")</f>
        <v>#VALUE!</v>
      </c>
      <c r="B35" t="e">
        <f>AND(medidas!W24,"AAAAAG1e/gE=")</f>
        <v>#VALUE!</v>
      </c>
      <c r="C35" t="e">
        <f>AND(medidas!X24,"AAAAAG1e/gI=")</f>
        <v>#VALUE!</v>
      </c>
      <c r="D35" t="e">
        <f>AND(medidas!Y24,"AAAAAG1e/gM=")</f>
        <v>#VALUE!</v>
      </c>
      <c r="E35" t="e">
        <f>AND(medidas!Z24,"AAAAAG1e/gQ=")</f>
        <v>#VALUE!</v>
      </c>
      <c r="F35" t="e">
        <f>AND(medidas!AA24,"AAAAAG1e/gU=")</f>
        <v>#VALUE!</v>
      </c>
      <c r="G35" t="e">
        <f>AND(medidas!AB24,"AAAAAG1e/gY=")</f>
        <v>#VALUE!</v>
      </c>
      <c r="H35" t="e">
        <f>AND(medidas!AC24,"AAAAAG1e/gc=")</f>
        <v>#VALUE!</v>
      </c>
      <c r="I35" t="e">
        <f>AND(medidas!AD24,"AAAAAG1e/gg=")</f>
        <v>#VALUE!</v>
      </c>
      <c r="J35" t="e">
        <f>AND(medidas!AE24,"AAAAAG1e/gk=")</f>
        <v>#VALUE!</v>
      </c>
      <c r="K35" t="e">
        <f>AND(medidas!AF24,"AAAAAG1e/go=")</f>
        <v>#VALUE!</v>
      </c>
      <c r="L35" t="e">
        <f>AND(medidas!AG24,"AAAAAG1e/gs=")</f>
        <v>#VALUE!</v>
      </c>
      <c r="M35" t="e">
        <f>AND(medidas!AH24,"AAAAAG1e/gw=")</f>
        <v>#VALUE!</v>
      </c>
      <c r="N35" t="e">
        <f>AND(medidas!AI24,"AAAAAG1e/g0=")</f>
        <v>#VALUE!</v>
      </c>
      <c r="O35" t="e">
        <f>AND(medidas!AJ24,"AAAAAG1e/g4=")</f>
        <v>#VALUE!</v>
      </c>
      <c r="P35" t="e">
        <f>AND(medidas!AK24,"AAAAAG1e/g8=")</f>
        <v>#VALUE!</v>
      </c>
      <c r="Q35" t="e">
        <f>AND(medidas!AL24,"AAAAAG1e/hA=")</f>
        <v>#VALUE!</v>
      </c>
      <c r="R35" t="e">
        <f>AND(medidas!AM24,"AAAAAG1e/hE=")</f>
        <v>#VALUE!</v>
      </c>
      <c r="S35" t="e">
        <f>AND(medidas!AN24,"AAAAAG1e/hI=")</f>
        <v>#VALUE!</v>
      </c>
      <c r="T35" t="e">
        <f>AND(medidas!AO24,"AAAAAG1e/hM=")</f>
        <v>#VALUE!</v>
      </c>
      <c r="U35" t="e">
        <f>AND(medidas!AP24,"AAAAAG1e/hQ=")</f>
        <v>#VALUE!</v>
      </c>
      <c r="V35" t="e">
        <f>AND(medidas!AQ24,"AAAAAG1e/hU=")</f>
        <v>#VALUE!</v>
      </c>
      <c r="W35" t="e">
        <f>AND(medidas!AR24,"AAAAAG1e/hY=")</f>
        <v>#VALUE!</v>
      </c>
      <c r="X35" t="e">
        <f>AND(medidas!AS24,"AAAAAG1e/hc=")</f>
        <v>#VALUE!</v>
      </c>
      <c r="Y35" t="e">
        <f>AND(medidas!AT24,"AAAAAG1e/hg=")</f>
        <v>#VALUE!</v>
      </c>
      <c r="Z35" t="e">
        <f>AND(medidas!AU24,"AAAAAG1e/hk=")</f>
        <v>#VALUE!</v>
      </c>
      <c r="AA35" t="e">
        <f>AND(medidas!AV24,"AAAAAG1e/ho=")</f>
        <v>#VALUE!</v>
      </c>
      <c r="AB35" t="e">
        <f>AND(medidas!AW24,"AAAAAG1e/hs=")</f>
        <v>#VALUE!</v>
      </c>
      <c r="AC35" t="e">
        <f>AND(medidas!AX24,"AAAAAG1e/hw=")</f>
        <v>#VALUE!</v>
      </c>
      <c r="AD35" t="e">
        <f>AND(medidas!AY24,"AAAAAG1e/h0=")</f>
        <v>#VALUE!</v>
      </c>
      <c r="AE35" t="e">
        <f>AND(medidas!AZ24,"AAAAAG1e/h4=")</f>
        <v>#VALUE!</v>
      </c>
      <c r="AF35" t="e">
        <f>AND(medidas!BA24,"AAAAAG1e/h8=")</f>
        <v>#VALUE!</v>
      </c>
      <c r="AG35" t="e">
        <f>AND(medidas!BB24,"AAAAAG1e/iA=")</f>
        <v>#VALUE!</v>
      </c>
      <c r="AH35" t="e">
        <f>AND(medidas!BC24,"AAAAAG1e/iE=")</f>
        <v>#VALUE!</v>
      </c>
      <c r="AI35" t="e">
        <f>AND(medidas!BD24,"AAAAAG1e/iI=")</f>
        <v>#VALUE!</v>
      </c>
      <c r="AJ35" t="e">
        <f>AND(medidas!BE24,"AAAAAG1e/iM=")</f>
        <v>#VALUE!</v>
      </c>
      <c r="AK35" t="e">
        <f>AND(medidas!BF24,"AAAAAG1e/iQ=")</f>
        <v>#VALUE!</v>
      </c>
      <c r="AL35" t="e">
        <f>AND(medidas!BG24,"AAAAAG1e/iU=")</f>
        <v>#VALUE!</v>
      </c>
      <c r="AM35" t="e">
        <f>AND(medidas!BH24,"AAAAAG1e/iY=")</f>
        <v>#VALUE!</v>
      </c>
      <c r="AN35" t="e">
        <f>AND(medidas!BI24,"AAAAAG1e/ic=")</f>
        <v>#VALUE!</v>
      </c>
      <c r="AO35" t="e">
        <f>AND(medidas!BJ24,"AAAAAG1e/ig=")</f>
        <v>#VALUE!</v>
      </c>
      <c r="AP35" t="e">
        <f>AND(medidas!BK24,"AAAAAG1e/ik=")</f>
        <v>#VALUE!</v>
      </c>
      <c r="AQ35" t="e">
        <f>AND(medidas!BL24,"AAAAAG1e/io=")</f>
        <v>#VALUE!</v>
      </c>
      <c r="AR35" t="e">
        <f>AND(medidas!BM24,"AAAAAG1e/is=")</f>
        <v>#VALUE!</v>
      </c>
      <c r="AS35" t="e">
        <f>AND(medidas!BN24,"AAAAAG1e/iw=")</f>
        <v>#VALUE!</v>
      </c>
      <c r="AT35" t="e">
        <f>AND(medidas!BO24,"AAAAAG1e/i0=")</f>
        <v>#VALUE!</v>
      </c>
      <c r="AU35" t="e">
        <f>AND(medidas!BP24,"AAAAAG1e/i4=")</f>
        <v>#VALUE!</v>
      </c>
      <c r="AV35" t="e">
        <f>AND(medidas!BQ24,"AAAAAG1e/i8=")</f>
        <v>#VALUE!</v>
      </c>
      <c r="AW35" t="e">
        <f>AND(medidas!BR24,"AAAAAG1e/jA=")</f>
        <v>#VALUE!</v>
      </c>
      <c r="AX35" t="e">
        <f>AND(medidas!BS24,"AAAAAG1e/jE=")</f>
        <v>#VALUE!</v>
      </c>
      <c r="AY35" t="e">
        <f>AND(medidas!BT24,"AAAAAG1e/jI=")</f>
        <v>#VALUE!</v>
      </c>
      <c r="AZ35" t="e">
        <f>AND(medidas!BU24,"AAAAAG1e/jM=")</f>
        <v>#VALUE!</v>
      </c>
      <c r="BA35" t="e">
        <f>AND(medidas!BV24,"AAAAAG1e/jQ=")</f>
        <v>#VALUE!</v>
      </c>
      <c r="BB35" t="e">
        <f>AND(medidas!BW24,"AAAAAG1e/jU=")</f>
        <v>#VALUE!</v>
      </c>
      <c r="BC35" t="e">
        <f>AND(medidas!BX24,"AAAAAG1e/jY=")</f>
        <v>#VALUE!</v>
      </c>
      <c r="BD35" t="e">
        <f>AND(medidas!BY24,"AAAAAG1e/jc=")</f>
        <v>#VALUE!</v>
      </c>
      <c r="BE35">
        <f>IF(medidas!25:25,"AAAAAG1e/jg=",0)</f>
        <v>0</v>
      </c>
      <c r="BF35" t="e">
        <f>AND(medidas!B25,"AAAAAG1e/jk=")</f>
        <v>#VALUE!</v>
      </c>
      <c r="BG35" t="e">
        <f>AND(medidas!C25,"AAAAAG1e/jo=")</f>
        <v>#VALUE!</v>
      </c>
      <c r="BH35" t="e">
        <f>AND(medidas!D25,"AAAAAG1e/js=")</f>
        <v>#VALUE!</v>
      </c>
      <c r="BI35" t="e">
        <f>AND(medidas!E25,"AAAAAG1e/jw=")</f>
        <v>#VALUE!</v>
      </c>
      <c r="BJ35" t="e">
        <f>AND(medidas!F25,"AAAAAG1e/j0=")</f>
        <v>#VALUE!</v>
      </c>
      <c r="BK35" t="e">
        <f>AND(medidas!G25,"AAAAAG1e/j4=")</f>
        <v>#VALUE!</v>
      </c>
      <c r="BL35" t="e">
        <f>AND(medidas!H25,"AAAAAG1e/j8=")</f>
        <v>#VALUE!</v>
      </c>
      <c r="BM35" t="e">
        <f>AND(medidas!I25,"AAAAAG1e/kA=")</f>
        <v>#VALUE!</v>
      </c>
      <c r="BN35" t="e">
        <f>AND(medidas!J25,"AAAAAG1e/kE=")</f>
        <v>#VALUE!</v>
      </c>
      <c r="BO35" t="e">
        <f>AND(medidas!K25,"AAAAAG1e/kI=")</f>
        <v>#VALUE!</v>
      </c>
      <c r="BP35" t="e">
        <f>AND(medidas!L25,"AAAAAG1e/kM=")</f>
        <v>#VALUE!</v>
      </c>
      <c r="BQ35" t="e">
        <f>AND(medidas!M25,"AAAAAG1e/kQ=")</f>
        <v>#VALUE!</v>
      </c>
      <c r="BR35" t="e">
        <f>AND(medidas!N25,"AAAAAG1e/kU=")</f>
        <v>#VALUE!</v>
      </c>
      <c r="BS35" t="e">
        <f>AND(medidas!O25,"AAAAAG1e/kY=")</f>
        <v>#VALUE!</v>
      </c>
      <c r="BT35" t="e">
        <f>AND(medidas!P25,"AAAAAG1e/kc=")</f>
        <v>#VALUE!</v>
      </c>
      <c r="BU35" t="e">
        <f>AND(medidas!Q25,"AAAAAG1e/kg=")</f>
        <v>#VALUE!</v>
      </c>
      <c r="BV35" t="e">
        <f>AND(medidas!R25,"AAAAAG1e/kk=")</f>
        <v>#VALUE!</v>
      </c>
      <c r="BW35" t="e">
        <f>AND(medidas!S25,"AAAAAG1e/ko=")</f>
        <v>#VALUE!</v>
      </c>
      <c r="BX35" t="e">
        <f>AND(medidas!T25,"AAAAAG1e/ks=")</f>
        <v>#VALUE!</v>
      </c>
      <c r="BY35" t="e">
        <f>AND(medidas!U25,"AAAAAG1e/kw=")</f>
        <v>#VALUE!</v>
      </c>
      <c r="BZ35" t="e">
        <f>AND(medidas!V25,"AAAAAG1e/k0=")</f>
        <v>#VALUE!</v>
      </c>
      <c r="CA35" t="e">
        <f>AND(medidas!W25,"AAAAAG1e/k4=")</f>
        <v>#VALUE!</v>
      </c>
      <c r="CB35" t="e">
        <f>AND(medidas!X25,"AAAAAG1e/k8=")</f>
        <v>#VALUE!</v>
      </c>
      <c r="CC35" t="e">
        <f>AND(medidas!Y25,"AAAAAG1e/lA=")</f>
        <v>#VALUE!</v>
      </c>
      <c r="CD35" t="e">
        <f>AND(medidas!Z25,"AAAAAG1e/lE=")</f>
        <v>#VALUE!</v>
      </c>
      <c r="CE35" t="e">
        <f>AND(medidas!AA25,"AAAAAG1e/lI=")</f>
        <v>#VALUE!</v>
      </c>
      <c r="CF35" t="e">
        <f>AND(medidas!AB25,"AAAAAG1e/lM=")</f>
        <v>#VALUE!</v>
      </c>
      <c r="CG35" t="e">
        <f>AND(medidas!AC25,"AAAAAG1e/lQ=")</f>
        <v>#VALUE!</v>
      </c>
      <c r="CH35" t="e">
        <f>AND(medidas!AD25,"AAAAAG1e/lU=")</f>
        <v>#VALUE!</v>
      </c>
      <c r="CI35" t="e">
        <f>AND(medidas!AE25,"AAAAAG1e/lY=")</f>
        <v>#VALUE!</v>
      </c>
      <c r="CJ35" t="e">
        <f>AND(medidas!AF25,"AAAAAG1e/lc=")</f>
        <v>#VALUE!</v>
      </c>
      <c r="CK35" t="e">
        <f>AND(medidas!AG25,"AAAAAG1e/lg=")</f>
        <v>#VALUE!</v>
      </c>
      <c r="CL35" t="e">
        <f>AND(medidas!AH25,"AAAAAG1e/lk=")</f>
        <v>#VALUE!</v>
      </c>
      <c r="CM35" t="e">
        <f>AND(medidas!AI25,"AAAAAG1e/lo=")</f>
        <v>#VALUE!</v>
      </c>
      <c r="CN35" t="e">
        <f>AND(medidas!AJ25,"AAAAAG1e/ls=")</f>
        <v>#VALUE!</v>
      </c>
      <c r="CO35" t="e">
        <f>AND(medidas!AK25,"AAAAAG1e/lw=")</f>
        <v>#VALUE!</v>
      </c>
      <c r="CP35" t="e">
        <f>AND(medidas!AL25,"AAAAAG1e/l0=")</f>
        <v>#VALUE!</v>
      </c>
      <c r="CQ35" t="e">
        <f>AND(medidas!AM25,"AAAAAG1e/l4=")</f>
        <v>#VALUE!</v>
      </c>
      <c r="CR35" t="e">
        <f>AND(medidas!AN25,"AAAAAG1e/l8=")</f>
        <v>#VALUE!</v>
      </c>
      <c r="CS35" t="e">
        <f>AND(medidas!AO25,"AAAAAG1e/mA=")</f>
        <v>#VALUE!</v>
      </c>
      <c r="CT35" t="e">
        <f>AND(medidas!AP25,"AAAAAG1e/mE=")</f>
        <v>#VALUE!</v>
      </c>
      <c r="CU35" t="e">
        <f>AND(medidas!AQ25,"AAAAAG1e/mI=")</f>
        <v>#VALUE!</v>
      </c>
      <c r="CV35" t="e">
        <f>AND(medidas!AR25,"AAAAAG1e/mM=")</f>
        <v>#VALUE!</v>
      </c>
      <c r="CW35" t="e">
        <f>AND(medidas!AS25,"AAAAAG1e/mQ=")</f>
        <v>#VALUE!</v>
      </c>
      <c r="CX35" t="e">
        <f>AND(medidas!AT25,"AAAAAG1e/mU=")</f>
        <v>#VALUE!</v>
      </c>
      <c r="CY35" t="e">
        <f>AND(medidas!AU25,"AAAAAG1e/mY=")</f>
        <v>#VALUE!</v>
      </c>
      <c r="CZ35" t="e">
        <f>AND(medidas!AV25,"AAAAAG1e/mc=")</f>
        <v>#VALUE!</v>
      </c>
      <c r="DA35" t="e">
        <f>AND(medidas!AW25,"AAAAAG1e/mg=")</f>
        <v>#VALUE!</v>
      </c>
      <c r="DB35" t="e">
        <f>AND(medidas!AX25,"AAAAAG1e/mk=")</f>
        <v>#VALUE!</v>
      </c>
      <c r="DC35" t="e">
        <f>AND(medidas!AY25,"AAAAAG1e/mo=")</f>
        <v>#VALUE!</v>
      </c>
      <c r="DD35" t="e">
        <f>AND(medidas!AZ25,"AAAAAG1e/ms=")</f>
        <v>#VALUE!</v>
      </c>
      <c r="DE35" t="e">
        <f>AND(medidas!BA25,"AAAAAG1e/mw=")</f>
        <v>#VALUE!</v>
      </c>
      <c r="DF35" t="e">
        <f>AND(medidas!BB25,"AAAAAG1e/m0=")</f>
        <v>#VALUE!</v>
      </c>
      <c r="DG35" t="e">
        <f>AND(medidas!BC25,"AAAAAG1e/m4=")</f>
        <v>#VALUE!</v>
      </c>
      <c r="DH35" t="e">
        <f>AND(medidas!BD25,"AAAAAG1e/m8=")</f>
        <v>#VALUE!</v>
      </c>
      <c r="DI35" t="e">
        <f>AND(medidas!BE25,"AAAAAG1e/nA=")</f>
        <v>#VALUE!</v>
      </c>
      <c r="DJ35" t="e">
        <f>AND(medidas!BF25,"AAAAAG1e/nE=")</f>
        <v>#VALUE!</v>
      </c>
      <c r="DK35" t="e">
        <f>AND(medidas!BG25,"AAAAAG1e/nI=")</f>
        <v>#VALUE!</v>
      </c>
      <c r="DL35" t="e">
        <f>AND(medidas!BH25,"AAAAAG1e/nM=")</f>
        <v>#VALUE!</v>
      </c>
      <c r="DM35" t="e">
        <f>AND(medidas!BI25,"AAAAAG1e/nQ=")</f>
        <v>#VALUE!</v>
      </c>
      <c r="DN35" t="e">
        <f>AND(medidas!BJ25,"AAAAAG1e/nU=")</f>
        <v>#VALUE!</v>
      </c>
      <c r="DO35" t="e">
        <f>AND(medidas!BK25,"AAAAAG1e/nY=")</f>
        <v>#VALUE!</v>
      </c>
      <c r="DP35" t="e">
        <f>AND(medidas!BL25,"AAAAAG1e/nc=")</f>
        <v>#VALUE!</v>
      </c>
      <c r="DQ35" t="e">
        <f>AND(medidas!BM25,"AAAAAG1e/ng=")</f>
        <v>#VALUE!</v>
      </c>
      <c r="DR35" t="e">
        <f>AND(medidas!BN25,"AAAAAG1e/nk=")</f>
        <v>#VALUE!</v>
      </c>
      <c r="DS35" t="e">
        <f>AND(medidas!BO25,"AAAAAG1e/no=")</f>
        <v>#VALUE!</v>
      </c>
      <c r="DT35" t="e">
        <f>AND(medidas!BP25,"AAAAAG1e/ns=")</f>
        <v>#VALUE!</v>
      </c>
      <c r="DU35" t="e">
        <f>AND(medidas!BQ25,"AAAAAG1e/nw=")</f>
        <v>#VALUE!</v>
      </c>
      <c r="DV35" t="e">
        <f>AND(medidas!BR25,"AAAAAG1e/n0=")</f>
        <v>#VALUE!</v>
      </c>
      <c r="DW35" t="e">
        <f>AND(medidas!BS25,"AAAAAG1e/n4=")</f>
        <v>#VALUE!</v>
      </c>
      <c r="DX35" t="e">
        <f>AND(medidas!BT25,"AAAAAG1e/n8=")</f>
        <v>#VALUE!</v>
      </c>
      <c r="DY35" t="e">
        <f>AND(medidas!BU25,"AAAAAG1e/oA=")</f>
        <v>#VALUE!</v>
      </c>
      <c r="DZ35" t="e">
        <f>AND(medidas!BV25,"AAAAAG1e/oE=")</f>
        <v>#VALUE!</v>
      </c>
      <c r="EA35" t="e">
        <f>AND(medidas!BW25,"AAAAAG1e/oI=")</f>
        <v>#VALUE!</v>
      </c>
      <c r="EB35" t="e">
        <f>AND(medidas!BX25,"AAAAAG1e/oM=")</f>
        <v>#VALUE!</v>
      </c>
      <c r="EC35" t="e">
        <f>AND(medidas!BY25,"AAAAAG1e/oQ=")</f>
        <v>#VALUE!</v>
      </c>
      <c r="ED35">
        <f>IF(medidas!26:26,"AAAAAG1e/oU=",0)</f>
        <v>0</v>
      </c>
      <c r="EE35" t="e">
        <f>AND(medidas!B26,"AAAAAG1e/oY=")</f>
        <v>#VALUE!</v>
      </c>
      <c r="EF35" t="e">
        <f>AND(medidas!C26,"AAAAAG1e/oc=")</f>
        <v>#VALUE!</v>
      </c>
      <c r="EG35" t="e">
        <f>AND(medidas!D26,"AAAAAG1e/og=")</f>
        <v>#VALUE!</v>
      </c>
      <c r="EH35" t="e">
        <f>AND(medidas!E26,"AAAAAG1e/ok=")</f>
        <v>#VALUE!</v>
      </c>
      <c r="EI35" t="e">
        <f>AND(medidas!F26,"AAAAAG1e/oo=")</f>
        <v>#VALUE!</v>
      </c>
      <c r="EJ35" t="e">
        <f>AND(medidas!G26,"AAAAAG1e/os=")</f>
        <v>#VALUE!</v>
      </c>
      <c r="EK35" t="e">
        <f>AND(medidas!H26,"AAAAAG1e/ow=")</f>
        <v>#VALUE!</v>
      </c>
      <c r="EL35" t="e">
        <f>AND(medidas!I26,"AAAAAG1e/o0=")</f>
        <v>#VALUE!</v>
      </c>
      <c r="EM35" t="e">
        <f>AND(medidas!J26,"AAAAAG1e/o4=")</f>
        <v>#VALUE!</v>
      </c>
      <c r="EN35" t="e">
        <f>AND(medidas!K26,"AAAAAG1e/o8=")</f>
        <v>#VALUE!</v>
      </c>
      <c r="EO35" t="e">
        <f>AND(medidas!L26,"AAAAAG1e/pA=")</f>
        <v>#VALUE!</v>
      </c>
      <c r="EP35" t="e">
        <f>AND(medidas!M26,"AAAAAG1e/pE=")</f>
        <v>#VALUE!</v>
      </c>
      <c r="EQ35" t="e">
        <f>AND(medidas!N26,"AAAAAG1e/pI=")</f>
        <v>#VALUE!</v>
      </c>
      <c r="ER35" t="e">
        <f>AND(medidas!O26,"AAAAAG1e/pM=")</f>
        <v>#VALUE!</v>
      </c>
      <c r="ES35" t="e">
        <f>AND(medidas!P26,"AAAAAG1e/pQ=")</f>
        <v>#VALUE!</v>
      </c>
      <c r="ET35" t="e">
        <f>AND(medidas!Q26,"AAAAAG1e/pU=")</f>
        <v>#VALUE!</v>
      </c>
      <c r="EU35" t="e">
        <f>AND(medidas!R26,"AAAAAG1e/pY=")</f>
        <v>#VALUE!</v>
      </c>
      <c r="EV35" t="e">
        <f>AND(medidas!S26,"AAAAAG1e/pc=")</f>
        <v>#VALUE!</v>
      </c>
      <c r="EW35" t="e">
        <f>AND(medidas!T26,"AAAAAG1e/pg=")</f>
        <v>#VALUE!</v>
      </c>
      <c r="EX35" t="e">
        <f>AND(medidas!U26,"AAAAAG1e/pk=")</f>
        <v>#VALUE!</v>
      </c>
      <c r="EY35" t="e">
        <f>AND(medidas!V26,"AAAAAG1e/po=")</f>
        <v>#VALUE!</v>
      </c>
      <c r="EZ35" t="e">
        <f>AND(medidas!W26,"AAAAAG1e/ps=")</f>
        <v>#VALUE!</v>
      </c>
      <c r="FA35" t="e">
        <f>AND(medidas!X26,"AAAAAG1e/pw=")</f>
        <v>#VALUE!</v>
      </c>
      <c r="FB35" t="e">
        <f>AND(medidas!Y26,"AAAAAG1e/p0=")</f>
        <v>#VALUE!</v>
      </c>
      <c r="FC35" t="e">
        <f>AND(medidas!Z26,"AAAAAG1e/p4=")</f>
        <v>#VALUE!</v>
      </c>
      <c r="FD35" t="e">
        <f>AND(medidas!AA26,"AAAAAG1e/p8=")</f>
        <v>#VALUE!</v>
      </c>
      <c r="FE35" t="e">
        <f>AND(medidas!AB26,"AAAAAG1e/qA=")</f>
        <v>#VALUE!</v>
      </c>
      <c r="FF35" t="e">
        <f>AND(medidas!AC26,"AAAAAG1e/qE=")</f>
        <v>#VALUE!</v>
      </c>
      <c r="FG35" t="e">
        <f>AND(medidas!AD26,"AAAAAG1e/qI=")</f>
        <v>#VALUE!</v>
      </c>
      <c r="FH35" t="e">
        <f>AND(medidas!AE26,"AAAAAG1e/qM=")</f>
        <v>#VALUE!</v>
      </c>
      <c r="FI35" t="e">
        <f>AND(medidas!AF26,"AAAAAG1e/qQ=")</f>
        <v>#VALUE!</v>
      </c>
      <c r="FJ35" t="e">
        <f>AND(medidas!AG26,"AAAAAG1e/qU=")</f>
        <v>#VALUE!</v>
      </c>
      <c r="FK35" t="e">
        <f>AND(medidas!AH26,"AAAAAG1e/qY=")</f>
        <v>#VALUE!</v>
      </c>
      <c r="FL35" t="e">
        <f>AND(medidas!AI26,"AAAAAG1e/qc=")</f>
        <v>#VALUE!</v>
      </c>
      <c r="FM35" t="e">
        <f>AND(medidas!AJ26,"AAAAAG1e/qg=")</f>
        <v>#VALUE!</v>
      </c>
      <c r="FN35" t="e">
        <f>AND(medidas!AK26,"AAAAAG1e/qk=")</f>
        <v>#VALUE!</v>
      </c>
      <c r="FO35" t="e">
        <f>AND(medidas!AL26,"AAAAAG1e/qo=")</f>
        <v>#VALUE!</v>
      </c>
      <c r="FP35" t="e">
        <f>AND(medidas!AM26,"AAAAAG1e/qs=")</f>
        <v>#VALUE!</v>
      </c>
      <c r="FQ35" t="e">
        <f>AND(medidas!AN26,"AAAAAG1e/qw=")</f>
        <v>#VALUE!</v>
      </c>
      <c r="FR35" t="e">
        <f>AND(medidas!AO26,"AAAAAG1e/q0=")</f>
        <v>#VALUE!</v>
      </c>
      <c r="FS35" t="e">
        <f>AND(medidas!AP26,"AAAAAG1e/q4=")</f>
        <v>#VALUE!</v>
      </c>
      <c r="FT35" t="e">
        <f>AND(medidas!AQ26,"AAAAAG1e/q8=")</f>
        <v>#VALUE!</v>
      </c>
      <c r="FU35" t="e">
        <f>AND(medidas!AR26,"AAAAAG1e/rA=")</f>
        <v>#VALUE!</v>
      </c>
      <c r="FV35" t="e">
        <f>AND(medidas!AS26,"AAAAAG1e/rE=")</f>
        <v>#VALUE!</v>
      </c>
      <c r="FW35" t="e">
        <f>AND(medidas!AT26,"AAAAAG1e/rI=")</f>
        <v>#VALUE!</v>
      </c>
      <c r="FX35" t="e">
        <f>AND(medidas!AU26,"AAAAAG1e/rM=")</f>
        <v>#VALUE!</v>
      </c>
      <c r="FY35" t="e">
        <f>AND(medidas!AV26,"AAAAAG1e/rQ=")</f>
        <v>#VALUE!</v>
      </c>
      <c r="FZ35" t="e">
        <f>AND(medidas!AW26,"AAAAAG1e/rU=")</f>
        <v>#VALUE!</v>
      </c>
      <c r="GA35" t="e">
        <f>AND(medidas!AX26,"AAAAAG1e/rY=")</f>
        <v>#VALUE!</v>
      </c>
      <c r="GB35" t="e">
        <f>AND(medidas!AY26,"AAAAAG1e/rc=")</f>
        <v>#VALUE!</v>
      </c>
      <c r="GC35" t="e">
        <f>AND(medidas!AZ26,"AAAAAG1e/rg=")</f>
        <v>#VALUE!</v>
      </c>
      <c r="GD35" t="e">
        <f>AND(medidas!BA26,"AAAAAG1e/rk=")</f>
        <v>#VALUE!</v>
      </c>
      <c r="GE35" t="e">
        <f>AND(medidas!BB26,"AAAAAG1e/ro=")</f>
        <v>#VALUE!</v>
      </c>
      <c r="GF35" t="e">
        <f>AND(medidas!BC26,"AAAAAG1e/rs=")</f>
        <v>#VALUE!</v>
      </c>
      <c r="GG35" t="e">
        <f>AND(medidas!BD26,"AAAAAG1e/rw=")</f>
        <v>#VALUE!</v>
      </c>
      <c r="GH35" t="e">
        <f>AND(medidas!BE26,"AAAAAG1e/r0=")</f>
        <v>#VALUE!</v>
      </c>
      <c r="GI35" t="e">
        <f>AND(medidas!BF26,"AAAAAG1e/r4=")</f>
        <v>#VALUE!</v>
      </c>
      <c r="GJ35" t="e">
        <f>AND(medidas!BG26,"AAAAAG1e/r8=")</f>
        <v>#VALUE!</v>
      </c>
      <c r="GK35" t="e">
        <f>AND(medidas!BH26,"AAAAAG1e/sA=")</f>
        <v>#VALUE!</v>
      </c>
      <c r="GL35" t="e">
        <f>AND(medidas!BI26,"AAAAAG1e/sE=")</f>
        <v>#VALUE!</v>
      </c>
      <c r="GM35" t="e">
        <f>AND(medidas!BJ26,"AAAAAG1e/sI=")</f>
        <v>#VALUE!</v>
      </c>
      <c r="GN35" t="e">
        <f>AND(medidas!BK26,"AAAAAG1e/sM=")</f>
        <v>#VALUE!</v>
      </c>
      <c r="GO35" t="e">
        <f>AND(medidas!BL26,"AAAAAG1e/sQ=")</f>
        <v>#VALUE!</v>
      </c>
      <c r="GP35" t="e">
        <f>AND(medidas!BM26,"AAAAAG1e/sU=")</f>
        <v>#VALUE!</v>
      </c>
      <c r="GQ35" t="e">
        <f>AND(medidas!BN26,"AAAAAG1e/sY=")</f>
        <v>#VALUE!</v>
      </c>
      <c r="GR35" t="e">
        <f>AND(medidas!BO26,"AAAAAG1e/sc=")</f>
        <v>#VALUE!</v>
      </c>
      <c r="GS35" t="e">
        <f>AND(medidas!BP26,"AAAAAG1e/sg=")</f>
        <v>#VALUE!</v>
      </c>
      <c r="GT35" t="e">
        <f>AND(medidas!BQ26,"AAAAAG1e/sk=")</f>
        <v>#VALUE!</v>
      </c>
      <c r="GU35" t="e">
        <f>AND(medidas!BR26,"AAAAAG1e/so=")</f>
        <v>#VALUE!</v>
      </c>
      <c r="GV35" t="e">
        <f>AND(medidas!BS26,"AAAAAG1e/ss=")</f>
        <v>#VALUE!</v>
      </c>
      <c r="GW35" t="e">
        <f>AND(medidas!BT26,"AAAAAG1e/sw=")</f>
        <v>#VALUE!</v>
      </c>
      <c r="GX35" t="e">
        <f>AND(medidas!BU26,"AAAAAG1e/s0=")</f>
        <v>#VALUE!</v>
      </c>
      <c r="GY35" t="e">
        <f>AND(medidas!BV26,"AAAAAG1e/s4=")</f>
        <v>#VALUE!</v>
      </c>
      <c r="GZ35" t="e">
        <f>AND(medidas!BW26,"AAAAAG1e/s8=")</f>
        <v>#VALUE!</v>
      </c>
      <c r="HA35" t="e">
        <f>AND(medidas!BX26,"AAAAAG1e/tA=")</f>
        <v>#VALUE!</v>
      </c>
      <c r="HB35" t="e">
        <f>AND(medidas!BY26,"AAAAAG1e/tE=")</f>
        <v>#VALUE!</v>
      </c>
      <c r="HC35">
        <f>IF(medidas!27:27,"AAAAAG1e/tI=",0)</f>
        <v>0</v>
      </c>
      <c r="HD35" t="e">
        <f>AND(medidas!B27,"AAAAAG1e/tM=")</f>
        <v>#VALUE!</v>
      </c>
      <c r="HE35" t="e">
        <f>AND(medidas!C27,"AAAAAG1e/tQ=")</f>
        <v>#VALUE!</v>
      </c>
      <c r="HF35" t="e">
        <f>AND(medidas!D27,"AAAAAG1e/tU=")</f>
        <v>#VALUE!</v>
      </c>
      <c r="HG35" t="e">
        <f>AND(medidas!E27,"AAAAAG1e/tY=")</f>
        <v>#VALUE!</v>
      </c>
      <c r="HH35" t="e">
        <f>AND(medidas!F27,"AAAAAG1e/tc=")</f>
        <v>#VALUE!</v>
      </c>
      <c r="HI35" t="e">
        <f>AND(medidas!G27,"AAAAAG1e/tg=")</f>
        <v>#VALUE!</v>
      </c>
      <c r="HJ35" t="e">
        <f>AND(medidas!H27,"AAAAAG1e/tk=")</f>
        <v>#VALUE!</v>
      </c>
      <c r="HK35" t="e">
        <f>AND(medidas!I27,"AAAAAG1e/to=")</f>
        <v>#VALUE!</v>
      </c>
      <c r="HL35" t="e">
        <f>AND(medidas!J27,"AAAAAG1e/ts=")</f>
        <v>#VALUE!</v>
      </c>
      <c r="HM35" t="e">
        <f>AND(medidas!K27,"AAAAAG1e/tw=")</f>
        <v>#VALUE!</v>
      </c>
      <c r="HN35" t="e">
        <f>AND(medidas!L27,"AAAAAG1e/t0=")</f>
        <v>#VALUE!</v>
      </c>
      <c r="HO35" t="e">
        <f>AND(medidas!M27,"AAAAAG1e/t4=")</f>
        <v>#VALUE!</v>
      </c>
      <c r="HP35" t="e">
        <f>AND(medidas!N27,"AAAAAG1e/t8=")</f>
        <v>#VALUE!</v>
      </c>
      <c r="HQ35" t="e">
        <f>AND(medidas!O27,"AAAAAG1e/uA=")</f>
        <v>#VALUE!</v>
      </c>
      <c r="HR35" t="e">
        <f>AND(medidas!P27,"AAAAAG1e/uE=")</f>
        <v>#VALUE!</v>
      </c>
      <c r="HS35" t="e">
        <f>AND(medidas!Q27,"AAAAAG1e/uI=")</f>
        <v>#VALUE!</v>
      </c>
      <c r="HT35" t="e">
        <f>AND(medidas!R27,"AAAAAG1e/uM=")</f>
        <v>#VALUE!</v>
      </c>
      <c r="HU35" t="e">
        <f>AND(medidas!S27,"AAAAAG1e/uQ=")</f>
        <v>#VALUE!</v>
      </c>
      <c r="HV35" t="e">
        <f>AND(medidas!T27,"AAAAAG1e/uU=")</f>
        <v>#VALUE!</v>
      </c>
      <c r="HW35" t="e">
        <f>AND(medidas!U27,"AAAAAG1e/uY=")</f>
        <v>#VALUE!</v>
      </c>
      <c r="HX35" t="e">
        <f>AND(medidas!V27,"AAAAAG1e/uc=")</f>
        <v>#VALUE!</v>
      </c>
      <c r="HY35" t="e">
        <f>AND(medidas!W27,"AAAAAG1e/ug=")</f>
        <v>#VALUE!</v>
      </c>
      <c r="HZ35" t="e">
        <f>AND(medidas!X27,"AAAAAG1e/uk=")</f>
        <v>#VALUE!</v>
      </c>
      <c r="IA35" t="e">
        <f>AND(medidas!Y27,"AAAAAG1e/uo=")</f>
        <v>#VALUE!</v>
      </c>
      <c r="IB35" t="e">
        <f>AND(medidas!Z27,"AAAAAG1e/us=")</f>
        <v>#VALUE!</v>
      </c>
      <c r="IC35" t="e">
        <f>AND(medidas!AA27,"AAAAAG1e/uw=")</f>
        <v>#VALUE!</v>
      </c>
      <c r="ID35" t="e">
        <f>AND(medidas!AB27,"AAAAAG1e/u0=")</f>
        <v>#VALUE!</v>
      </c>
      <c r="IE35" t="e">
        <f>AND(medidas!AC27,"AAAAAG1e/u4=")</f>
        <v>#VALUE!</v>
      </c>
      <c r="IF35" t="e">
        <f>AND(medidas!AD27,"AAAAAG1e/u8=")</f>
        <v>#VALUE!</v>
      </c>
      <c r="IG35" t="e">
        <f>AND(medidas!AE27,"AAAAAG1e/vA=")</f>
        <v>#VALUE!</v>
      </c>
      <c r="IH35" t="e">
        <f>AND(medidas!AF27,"AAAAAG1e/vE=")</f>
        <v>#VALUE!</v>
      </c>
      <c r="II35" t="e">
        <f>AND(medidas!AG27,"AAAAAG1e/vI=")</f>
        <v>#VALUE!</v>
      </c>
      <c r="IJ35" t="e">
        <f>AND(medidas!AH27,"AAAAAG1e/vM=")</f>
        <v>#VALUE!</v>
      </c>
      <c r="IK35" t="e">
        <f>AND(medidas!AI27,"AAAAAG1e/vQ=")</f>
        <v>#VALUE!</v>
      </c>
      <c r="IL35" t="e">
        <f>AND(medidas!AJ27,"AAAAAG1e/vU=")</f>
        <v>#VALUE!</v>
      </c>
      <c r="IM35" t="e">
        <f>AND(medidas!AK27,"AAAAAG1e/vY=")</f>
        <v>#VALUE!</v>
      </c>
      <c r="IN35" t="e">
        <f>AND(medidas!AL27,"AAAAAG1e/vc=")</f>
        <v>#VALUE!</v>
      </c>
      <c r="IO35" t="e">
        <f>AND(medidas!AM27,"AAAAAG1e/vg=")</f>
        <v>#VALUE!</v>
      </c>
      <c r="IP35" t="e">
        <f>AND(medidas!AN27,"AAAAAG1e/vk=")</f>
        <v>#VALUE!</v>
      </c>
      <c r="IQ35" t="e">
        <f>AND(medidas!AO27,"AAAAAG1e/vo=")</f>
        <v>#VALUE!</v>
      </c>
      <c r="IR35" t="e">
        <f>AND(medidas!AP27,"AAAAAG1e/vs=")</f>
        <v>#VALUE!</v>
      </c>
      <c r="IS35" t="e">
        <f>AND(medidas!AQ27,"AAAAAG1e/vw=")</f>
        <v>#VALUE!</v>
      </c>
      <c r="IT35" t="e">
        <f>AND(medidas!AR27,"AAAAAG1e/v0=")</f>
        <v>#VALUE!</v>
      </c>
      <c r="IU35" t="e">
        <f>AND(medidas!AS27,"AAAAAG1e/v4=")</f>
        <v>#VALUE!</v>
      </c>
      <c r="IV35" t="e">
        <f>AND(medidas!AT27,"AAAAAG1e/v8=")</f>
        <v>#VALUE!</v>
      </c>
    </row>
    <row r="36" spans="1:256" x14ac:dyDescent="0.2">
      <c r="A36" t="e">
        <f>AND(medidas!AU27,"AAAAAHf5PwA=")</f>
        <v>#VALUE!</v>
      </c>
      <c r="B36" t="e">
        <f>AND(medidas!AV27,"AAAAAHf5PwE=")</f>
        <v>#VALUE!</v>
      </c>
      <c r="C36" t="e">
        <f>AND(medidas!AW27,"AAAAAHf5PwI=")</f>
        <v>#VALUE!</v>
      </c>
      <c r="D36" t="e">
        <f>AND(medidas!AX27,"AAAAAHf5PwM=")</f>
        <v>#VALUE!</v>
      </c>
      <c r="E36" t="e">
        <f>AND(medidas!AY27,"AAAAAHf5PwQ=")</f>
        <v>#VALUE!</v>
      </c>
      <c r="F36" t="e">
        <f>AND(medidas!AZ27,"AAAAAHf5PwU=")</f>
        <v>#VALUE!</v>
      </c>
      <c r="G36" t="e">
        <f>AND(medidas!BA27,"AAAAAHf5PwY=")</f>
        <v>#VALUE!</v>
      </c>
      <c r="H36" t="e">
        <f>AND(medidas!BB27,"AAAAAHf5Pwc=")</f>
        <v>#VALUE!</v>
      </c>
      <c r="I36" t="e">
        <f>AND(medidas!BC27,"AAAAAHf5Pwg=")</f>
        <v>#VALUE!</v>
      </c>
      <c r="J36" t="e">
        <f>AND(medidas!BD27,"AAAAAHf5Pwk=")</f>
        <v>#VALUE!</v>
      </c>
      <c r="K36" t="e">
        <f>AND(medidas!BE27,"AAAAAHf5Pwo=")</f>
        <v>#VALUE!</v>
      </c>
      <c r="L36" t="e">
        <f>AND(medidas!BF27,"AAAAAHf5Pws=")</f>
        <v>#VALUE!</v>
      </c>
      <c r="M36" t="e">
        <f>AND(medidas!BG27,"AAAAAHf5Pww=")</f>
        <v>#VALUE!</v>
      </c>
      <c r="N36" t="e">
        <f>AND(medidas!BH27,"AAAAAHf5Pw0=")</f>
        <v>#VALUE!</v>
      </c>
      <c r="O36" t="e">
        <f>AND(medidas!BI27,"AAAAAHf5Pw4=")</f>
        <v>#VALUE!</v>
      </c>
      <c r="P36" t="e">
        <f>AND(medidas!BJ27,"AAAAAHf5Pw8=")</f>
        <v>#VALUE!</v>
      </c>
      <c r="Q36" t="e">
        <f>AND(medidas!BK27,"AAAAAHf5PxA=")</f>
        <v>#VALUE!</v>
      </c>
      <c r="R36" t="e">
        <f>AND(medidas!BL27,"AAAAAHf5PxE=")</f>
        <v>#VALUE!</v>
      </c>
      <c r="S36" t="e">
        <f>AND(medidas!BM27,"AAAAAHf5PxI=")</f>
        <v>#VALUE!</v>
      </c>
      <c r="T36" t="e">
        <f>AND(medidas!BN27,"AAAAAHf5PxM=")</f>
        <v>#VALUE!</v>
      </c>
      <c r="U36" t="e">
        <f>AND(medidas!BO27,"AAAAAHf5PxQ=")</f>
        <v>#VALUE!</v>
      </c>
      <c r="V36" t="e">
        <f>AND(medidas!BP27,"AAAAAHf5PxU=")</f>
        <v>#VALUE!</v>
      </c>
      <c r="W36" t="e">
        <f>AND(medidas!BQ27,"AAAAAHf5PxY=")</f>
        <v>#VALUE!</v>
      </c>
      <c r="X36" t="e">
        <f>AND(medidas!BR27,"AAAAAHf5Pxc=")</f>
        <v>#VALUE!</v>
      </c>
      <c r="Y36" t="e">
        <f>AND(medidas!BS27,"AAAAAHf5Pxg=")</f>
        <v>#VALUE!</v>
      </c>
      <c r="Z36" t="e">
        <f>AND(medidas!BT27,"AAAAAHf5Pxk=")</f>
        <v>#VALUE!</v>
      </c>
      <c r="AA36" t="e">
        <f>AND(medidas!BU27,"AAAAAHf5Pxo=")</f>
        <v>#VALUE!</v>
      </c>
      <c r="AB36" t="e">
        <f>AND(medidas!BV27,"AAAAAHf5Pxs=")</f>
        <v>#VALUE!</v>
      </c>
      <c r="AC36" t="e">
        <f>AND(medidas!BW27,"AAAAAHf5Pxw=")</f>
        <v>#VALUE!</v>
      </c>
      <c r="AD36" t="e">
        <f>AND(medidas!BX27,"AAAAAHf5Px0=")</f>
        <v>#VALUE!</v>
      </c>
      <c r="AE36" t="e">
        <f>AND(medidas!BY27,"AAAAAHf5Px4=")</f>
        <v>#VALUE!</v>
      </c>
      <c r="AF36">
        <f>IF(medidas!28:28,"AAAAAHf5Px8=",0)</f>
        <v>0</v>
      </c>
      <c r="AG36" t="e">
        <f>AND(medidas!B28,"AAAAAHf5PyA=")</f>
        <v>#VALUE!</v>
      </c>
      <c r="AH36" t="e">
        <f>AND(medidas!C28,"AAAAAHf5PyE=")</f>
        <v>#VALUE!</v>
      </c>
      <c r="AI36" t="e">
        <f>AND(medidas!D28,"AAAAAHf5PyI=")</f>
        <v>#VALUE!</v>
      </c>
      <c r="AJ36" t="e">
        <f>AND(medidas!E28,"AAAAAHf5PyM=")</f>
        <v>#VALUE!</v>
      </c>
      <c r="AK36" t="e">
        <f>AND(medidas!F28,"AAAAAHf5PyQ=")</f>
        <v>#VALUE!</v>
      </c>
      <c r="AL36" t="e">
        <f>AND(medidas!G28,"AAAAAHf5PyU=")</f>
        <v>#VALUE!</v>
      </c>
      <c r="AM36" t="e">
        <f>AND(medidas!H28,"AAAAAHf5PyY=")</f>
        <v>#VALUE!</v>
      </c>
      <c r="AN36" t="e">
        <f>AND(medidas!I28,"AAAAAHf5Pyc=")</f>
        <v>#VALUE!</v>
      </c>
      <c r="AO36" t="e">
        <f>AND(medidas!J28,"AAAAAHf5Pyg=")</f>
        <v>#VALUE!</v>
      </c>
      <c r="AP36" t="e">
        <f>AND(medidas!K28,"AAAAAHf5Pyk=")</f>
        <v>#VALUE!</v>
      </c>
      <c r="AQ36" t="e">
        <f>AND(medidas!L28,"AAAAAHf5Pyo=")</f>
        <v>#VALUE!</v>
      </c>
      <c r="AR36" t="e">
        <f>AND(medidas!M28,"AAAAAHf5Pys=")</f>
        <v>#VALUE!</v>
      </c>
      <c r="AS36" t="e">
        <f>AND(medidas!N28,"AAAAAHf5Pyw=")</f>
        <v>#VALUE!</v>
      </c>
      <c r="AT36" t="e">
        <f>AND(medidas!O28,"AAAAAHf5Py0=")</f>
        <v>#VALUE!</v>
      </c>
      <c r="AU36" t="e">
        <f>AND(medidas!P28,"AAAAAHf5Py4=")</f>
        <v>#VALUE!</v>
      </c>
      <c r="AV36" t="e">
        <f>AND(medidas!Q28,"AAAAAHf5Py8=")</f>
        <v>#VALUE!</v>
      </c>
      <c r="AW36" t="e">
        <f>AND(medidas!R28,"AAAAAHf5PzA=")</f>
        <v>#VALUE!</v>
      </c>
      <c r="AX36" t="e">
        <f>AND(medidas!S28,"AAAAAHf5PzE=")</f>
        <v>#VALUE!</v>
      </c>
      <c r="AY36" t="e">
        <f>AND(medidas!T28,"AAAAAHf5PzI=")</f>
        <v>#VALUE!</v>
      </c>
      <c r="AZ36" t="e">
        <f>AND(medidas!U28,"AAAAAHf5PzM=")</f>
        <v>#VALUE!</v>
      </c>
      <c r="BA36" t="e">
        <f>AND(medidas!V28,"AAAAAHf5PzQ=")</f>
        <v>#VALUE!</v>
      </c>
      <c r="BB36" t="e">
        <f>AND(medidas!W28,"AAAAAHf5PzU=")</f>
        <v>#VALUE!</v>
      </c>
      <c r="BC36" t="e">
        <f>AND(medidas!X28,"AAAAAHf5PzY=")</f>
        <v>#VALUE!</v>
      </c>
      <c r="BD36" t="e">
        <f>AND(medidas!Y28,"AAAAAHf5Pzc=")</f>
        <v>#VALUE!</v>
      </c>
      <c r="BE36" t="e">
        <f>AND(medidas!Z28,"AAAAAHf5Pzg=")</f>
        <v>#VALUE!</v>
      </c>
      <c r="BF36" t="e">
        <f>AND(medidas!AA28,"AAAAAHf5Pzk=")</f>
        <v>#VALUE!</v>
      </c>
      <c r="BG36" t="e">
        <f>AND(medidas!AB28,"AAAAAHf5Pzo=")</f>
        <v>#VALUE!</v>
      </c>
      <c r="BH36" t="e">
        <f>AND(medidas!AC28,"AAAAAHf5Pzs=")</f>
        <v>#VALUE!</v>
      </c>
      <c r="BI36" t="e">
        <f>AND(medidas!AD28,"AAAAAHf5Pzw=")</f>
        <v>#VALUE!</v>
      </c>
      <c r="BJ36" t="e">
        <f>AND(medidas!AE28,"AAAAAHf5Pz0=")</f>
        <v>#VALUE!</v>
      </c>
      <c r="BK36" t="e">
        <f>AND(medidas!AF28,"AAAAAHf5Pz4=")</f>
        <v>#VALUE!</v>
      </c>
      <c r="BL36" t="e">
        <f>AND(medidas!AG28,"AAAAAHf5Pz8=")</f>
        <v>#VALUE!</v>
      </c>
      <c r="BM36" t="e">
        <f>AND(medidas!AH28,"AAAAAHf5P0A=")</f>
        <v>#VALUE!</v>
      </c>
      <c r="BN36" t="e">
        <f>AND(medidas!AI28,"AAAAAHf5P0E=")</f>
        <v>#VALUE!</v>
      </c>
      <c r="BO36" t="e">
        <f>AND(medidas!AJ28,"AAAAAHf5P0I=")</f>
        <v>#VALUE!</v>
      </c>
      <c r="BP36" t="e">
        <f>AND(medidas!AK28,"AAAAAHf5P0M=")</f>
        <v>#VALUE!</v>
      </c>
      <c r="BQ36" t="e">
        <f>AND(medidas!AL28,"AAAAAHf5P0Q=")</f>
        <v>#VALUE!</v>
      </c>
      <c r="BR36" t="e">
        <f>AND(medidas!AM28,"AAAAAHf5P0U=")</f>
        <v>#VALUE!</v>
      </c>
      <c r="BS36" t="e">
        <f>AND(medidas!AN28,"AAAAAHf5P0Y=")</f>
        <v>#VALUE!</v>
      </c>
      <c r="BT36" t="e">
        <f>AND(medidas!AO28,"AAAAAHf5P0c=")</f>
        <v>#VALUE!</v>
      </c>
      <c r="BU36" t="e">
        <f>AND(medidas!AP28,"AAAAAHf5P0g=")</f>
        <v>#VALUE!</v>
      </c>
      <c r="BV36" t="e">
        <f>AND(medidas!AQ28,"AAAAAHf5P0k=")</f>
        <v>#VALUE!</v>
      </c>
      <c r="BW36" t="e">
        <f>AND(medidas!AR28,"AAAAAHf5P0o=")</f>
        <v>#VALUE!</v>
      </c>
      <c r="BX36" t="e">
        <f>AND(medidas!AS28,"AAAAAHf5P0s=")</f>
        <v>#VALUE!</v>
      </c>
      <c r="BY36" t="e">
        <f>AND(medidas!AT28,"AAAAAHf5P0w=")</f>
        <v>#VALUE!</v>
      </c>
      <c r="BZ36" t="e">
        <f>AND(medidas!AU28,"AAAAAHf5P00=")</f>
        <v>#VALUE!</v>
      </c>
      <c r="CA36" t="e">
        <f>AND(medidas!AV28,"AAAAAHf5P04=")</f>
        <v>#VALUE!</v>
      </c>
      <c r="CB36" t="e">
        <f>AND(medidas!AW28,"AAAAAHf5P08=")</f>
        <v>#VALUE!</v>
      </c>
      <c r="CC36" t="e">
        <f>AND(medidas!AX28,"AAAAAHf5P1A=")</f>
        <v>#VALUE!</v>
      </c>
      <c r="CD36" t="e">
        <f>AND(medidas!AY28,"AAAAAHf5P1E=")</f>
        <v>#VALUE!</v>
      </c>
      <c r="CE36" t="e">
        <f>AND(medidas!AZ28,"AAAAAHf5P1I=")</f>
        <v>#VALUE!</v>
      </c>
      <c r="CF36" t="e">
        <f>AND(medidas!BA28,"AAAAAHf5P1M=")</f>
        <v>#VALUE!</v>
      </c>
      <c r="CG36" t="e">
        <f>AND(medidas!BB28,"AAAAAHf5P1Q=")</f>
        <v>#VALUE!</v>
      </c>
      <c r="CH36" t="e">
        <f>AND(medidas!BC28,"AAAAAHf5P1U=")</f>
        <v>#VALUE!</v>
      </c>
      <c r="CI36" t="e">
        <f>AND(medidas!BD28,"AAAAAHf5P1Y=")</f>
        <v>#VALUE!</v>
      </c>
      <c r="CJ36" t="e">
        <f>AND(medidas!BE28,"AAAAAHf5P1c=")</f>
        <v>#VALUE!</v>
      </c>
      <c r="CK36" t="e">
        <f>AND(medidas!BF28,"AAAAAHf5P1g=")</f>
        <v>#VALUE!</v>
      </c>
      <c r="CL36" t="e">
        <f>AND(medidas!BG28,"AAAAAHf5P1k=")</f>
        <v>#VALUE!</v>
      </c>
      <c r="CM36" t="e">
        <f>AND(medidas!BH28,"AAAAAHf5P1o=")</f>
        <v>#VALUE!</v>
      </c>
      <c r="CN36" t="e">
        <f>AND(medidas!BI28,"AAAAAHf5P1s=")</f>
        <v>#VALUE!</v>
      </c>
      <c r="CO36" t="e">
        <f>AND(medidas!BJ28,"AAAAAHf5P1w=")</f>
        <v>#VALUE!</v>
      </c>
      <c r="CP36" t="e">
        <f>AND(medidas!BK28,"AAAAAHf5P10=")</f>
        <v>#VALUE!</v>
      </c>
      <c r="CQ36" t="e">
        <f>AND(medidas!BL28,"AAAAAHf5P14=")</f>
        <v>#VALUE!</v>
      </c>
      <c r="CR36" t="e">
        <f>AND(medidas!BM28,"AAAAAHf5P18=")</f>
        <v>#VALUE!</v>
      </c>
      <c r="CS36" t="e">
        <f>AND(medidas!BN28,"AAAAAHf5P2A=")</f>
        <v>#VALUE!</v>
      </c>
      <c r="CT36" t="e">
        <f>AND(medidas!BO28,"AAAAAHf5P2E=")</f>
        <v>#VALUE!</v>
      </c>
      <c r="CU36" t="e">
        <f>AND(medidas!BP28,"AAAAAHf5P2I=")</f>
        <v>#VALUE!</v>
      </c>
      <c r="CV36" t="e">
        <f>AND(medidas!BQ28,"AAAAAHf5P2M=")</f>
        <v>#VALUE!</v>
      </c>
      <c r="CW36" t="e">
        <f>AND(medidas!BR28,"AAAAAHf5P2Q=")</f>
        <v>#VALUE!</v>
      </c>
      <c r="CX36" t="e">
        <f>AND(medidas!BS28,"AAAAAHf5P2U=")</f>
        <v>#VALUE!</v>
      </c>
      <c r="CY36" t="e">
        <f>AND(medidas!BT28,"AAAAAHf5P2Y=")</f>
        <v>#VALUE!</v>
      </c>
      <c r="CZ36" t="e">
        <f>AND(medidas!BU28,"AAAAAHf5P2c=")</f>
        <v>#VALUE!</v>
      </c>
      <c r="DA36" t="e">
        <f>AND(medidas!BV28,"AAAAAHf5P2g=")</f>
        <v>#VALUE!</v>
      </c>
      <c r="DB36" t="e">
        <f>AND(medidas!BW28,"AAAAAHf5P2k=")</f>
        <v>#VALUE!</v>
      </c>
      <c r="DC36" t="e">
        <f>AND(medidas!BX28,"AAAAAHf5P2o=")</f>
        <v>#VALUE!</v>
      </c>
      <c r="DD36" t="e">
        <f>AND(medidas!BY28,"AAAAAHf5P2s=")</f>
        <v>#VALUE!</v>
      </c>
      <c r="DE36">
        <f>IF(medidas!29:29,"AAAAAHf5P2w=",0)</f>
        <v>0</v>
      </c>
      <c r="DF36" t="e">
        <f>AND(medidas!B29,"AAAAAHf5P20=")</f>
        <v>#VALUE!</v>
      </c>
      <c r="DG36" t="e">
        <f>AND(medidas!C29,"AAAAAHf5P24=")</f>
        <v>#VALUE!</v>
      </c>
      <c r="DH36" t="e">
        <f>AND(medidas!D29,"AAAAAHf5P28=")</f>
        <v>#VALUE!</v>
      </c>
      <c r="DI36" t="e">
        <f>AND(medidas!E29,"AAAAAHf5P3A=")</f>
        <v>#VALUE!</v>
      </c>
      <c r="DJ36" t="e">
        <f>AND(medidas!F29,"AAAAAHf5P3E=")</f>
        <v>#VALUE!</v>
      </c>
      <c r="DK36" t="e">
        <f>AND(medidas!G29,"AAAAAHf5P3I=")</f>
        <v>#VALUE!</v>
      </c>
      <c r="DL36" t="e">
        <f>AND(medidas!H29,"AAAAAHf5P3M=")</f>
        <v>#VALUE!</v>
      </c>
      <c r="DM36" t="e">
        <f>AND(medidas!I29,"AAAAAHf5P3Q=")</f>
        <v>#VALUE!</v>
      </c>
      <c r="DN36" t="e">
        <f>AND(medidas!J29,"AAAAAHf5P3U=")</f>
        <v>#VALUE!</v>
      </c>
      <c r="DO36" t="e">
        <f>AND(medidas!K29,"AAAAAHf5P3Y=")</f>
        <v>#VALUE!</v>
      </c>
      <c r="DP36" t="e">
        <f>AND(medidas!L29,"AAAAAHf5P3c=")</f>
        <v>#VALUE!</v>
      </c>
      <c r="DQ36" t="e">
        <f>AND(medidas!M29,"AAAAAHf5P3g=")</f>
        <v>#VALUE!</v>
      </c>
      <c r="DR36" t="e">
        <f>AND(medidas!N29,"AAAAAHf5P3k=")</f>
        <v>#VALUE!</v>
      </c>
      <c r="DS36" t="e">
        <f>AND(medidas!O29,"AAAAAHf5P3o=")</f>
        <v>#VALUE!</v>
      </c>
      <c r="DT36" t="e">
        <f>AND(medidas!P29,"AAAAAHf5P3s=")</f>
        <v>#VALUE!</v>
      </c>
      <c r="DU36" t="e">
        <f>AND(medidas!Q29,"AAAAAHf5P3w=")</f>
        <v>#VALUE!</v>
      </c>
      <c r="DV36" t="e">
        <f>AND(medidas!R29,"AAAAAHf5P30=")</f>
        <v>#VALUE!</v>
      </c>
      <c r="DW36" t="e">
        <f>AND(medidas!S29,"AAAAAHf5P34=")</f>
        <v>#VALUE!</v>
      </c>
      <c r="DX36" t="e">
        <f>AND(medidas!T29,"AAAAAHf5P38=")</f>
        <v>#VALUE!</v>
      </c>
      <c r="DY36" t="e">
        <f>AND(medidas!U29,"AAAAAHf5P4A=")</f>
        <v>#VALUE!</v>
      </c>
      <c r="DZ36" t="e">
        <f>AND(medidas!V29,"AAAAAHf5P4E=")</f>
        <v>#VALUE!</v>
      </c>
      <c r="EA36" t="e">
        <f>AND(medidas!W29,"AAAAAHf5P4I=")</f>
        <v>#VALUE!</v>
      </c>
      <c r="EB36" t="e">
        <f>AND(medidas!X29,"AAAAAHf5P4M=")</f>
        <v>#VALUE!</v>
      </c>
      <c r="EC36" t="e">
        <f>AND(medidas!Y29,"AAAAAHf5P4Q=")</f>
        <v>#VALUE!</v>
      </c>
      <c r="ED36" t="e">
        <f>AND(medidas!Z29,"AAAAAHf5P4U=")</f>
        <v>#VALUE!</v>
      </c>
      <c r="EE36" t="e">
        <f>AND(medidas!AA29,"AAAAAHf5P4Y=")</f>
        <v>#VALUE!</v>
      </c>
      <c r="EF36" t="e">
        <f>AND(medidas!AB29,"AAAAAHf5P4c=")</f>
        <v>#VALUE!</v>
      </c>
      <c r="EG36" t="e">
        <f>AND(medidas!AC29,"AAAAAHf5P4g=")</f>
        <v>#VALUE!</v>
      </c>
      <c r="EH36" t="e">
        <f>AND(medidas!AD29,"AAAAAHf5P4k=")</f>
        <v>#VALUE!</v>
      </c>
      <c r="EI36" t="e">
        <f>AND(medidas!AE29,"AAAAAHf5P4o=")</f>
        <v>#VALUE!</v>
      </c>
      <c r="EJ36" t="e">
        <f>AND(medidas!AF29,"AAAAAHf5P4s=")</f>
        <v>#VALUE!</v>
      </c>
      <c r="EK36" t="e">
        <f>AND(medidas!AG29,"AAAAAHf5P4w=")</f>
        <v>#VALUE!</v>
      </c>
      <c r="EL36" t="e">
        <f>AND(medidas!AH29,"AAAAAHf5P40=")</f>
        <v>#VALUE!</v>
      </c>
      <c r="EM36" t="e">
        <f>AND(medidas!AI29,"AAAAAHf5P44=")</f>
        <v>#VALUE!</v>
      </c>
      <c r="EN36" t="e">
        <f>AND(medidas!AJ29,"AAAAAHf5P48=")</f>
        <v>#VALUE!</v>
      </c>
      <c r="EO36" t="e">
        <f>AND(medidas!AK29,"AAAAAHf5P5A=")</f>
        <v>#VALUE!</v>
      </c>
      <c r="EP36" t="e">
        <f>AND(medidas!AL29,"AAAAAHf5P5E=")</f>
        <v>#VALUE!</v>
      </c>
      <c r="EQ36" t="e">
        <f>AND(medidas!AM29,"AAAAAHf5P5I=")</f>
        <v>#VALUE!</v>
      </c>
      <c r="ER36" t="e">
        <f>AND(medidas!AN29,"AAAAAHf5P5M=")</f>
        <v>#VALUE!</v>
      </c>
      <c r="ES36" t="e">
        <f>AND(medidas!AO29,"AAAAAHf5P5Q=")</f>
        <v>#VALUE!</v>
      </c>
      <c r="ET36" t="e">
        <f>AND(medidas!AP29,"AAAAAHf5P5U=")</f>
        <v>#VALUE!</v>
      </c>
      <c r="EU36" t="e">
        <f>AND(medidas!AQ29,"AAAAAHf5P5Y=")</f>
        <v>#VALUE!</v>
      </c>
      <c r="EV36" t="e">
        <f>AND(medidas!AR29,"AAAAAHf5P5c=")</f>
        <v>#VALUE!</v>
      </c>
      <c r="EW36" t="e">
        <f>AND(medidas!AS29,"AAAAAHf5P5g=")</f>
        <v>#VALUE!</v>
      </c>
      <c r="EX36" t="e">
        <f>AND(medidas!AT29,"AAAAAHf5P5k=")</f>
        <v>#VALUE!</v>
      </c>
      <c r="EY36" t="e">
        <f>AND(medidas!AU29,"AAAAAHf5P5o=")</f>
        <v>#VALUE!</v>
      </c>
      <c r="EZ36" t="e">
        <f>AND(medidas!AV29,"AAAAAHf5P5s=")</f>
        <v>#VALUE!</v>
      </c>
      <c r="FA36" t="e">
        <f>AND(medidas!AW29,"AAAAAHf5P5w=")</f>
        <v>#VALUE!</v>
      </c>
      <c r="FB36" t="e">
        <f>AND(medidas!AX29,"AAAAAHf5P50=")</f>
        <v>#VALUE!</v>
      </c>
      <c r="FC36" t="e">
        <f>AND(medidas!AY29,"AAAAAHf5P54=")</f>
        <v>#VALUE!</v>
      </c>
      <c r="FD36" t="e">
        <f>AND(medidas!AZ29,"AAAAAHf5P58=")</f>
        <v>#VALUE!</v>
      </c>
      <c r="FE36" t="e">
        <f>AND(medidas!BA29,"AAAAAHf5P6A=")</f>
        <v>#VALUE!</v>
      </c>
      <c r="FF36" t="e">
        <f>AND(medidas!BB29,"AAAAAHf5P6E=")</f>
        <v>#VALUE!</v>
      </c>
      <c r="FG36" t="e">
        <f>AND(medidas!BC29,"AAAAAHf5P6I=")</f>
        <v>#VALUE!</v>
      </c>
      <c r="FH36" t="e">
        <f>AND(medidas!BD29,"AAAAAHf5P6M=")</f>
        <v>#VALUE!</v>
      </c>
      <c r="FI36" t="e">
        <f>AND(medidas!BE29,"AAAAAHf5P6Q=")</f>
        <v>#VALUE!</v>
      </c>
      <c r="FJ36" t="e">
        <f>AND(medidas!BF29,"AAAAAHf5P6U=")</f>
        <v>#VALUE!</v>
      </c>
      <c r="FK36" t="e">
        <f>AND(medidas!BG29,"AAAAAHf5P6Y=")</f>
        <v>#VALUE!</v>
      </c>
      <c r="FL36" t="e">
        <f>AND(medidas!BH29,"AAAAAHf5P6c=")</f>
        <v>#VALUE!</v>
      </c>
      <c r="FM36" t="e">
        <f>AND(medidas!BI29,"AAAAAHf5P6g=")</f>
        <v>#VALUE!</v>
      </c>
      <c r="FN36" t="e">
        <f>AND(medidas!BJ29,"AAAAAHf5P6k=")</f>
        <v>#VALUE!</v>
      </c>
      <c r="FO36" t="e">
        <f>AND(medidas!BK29,"AAAAAHf5P6o=")</f>
        <v>#VALUE!</v>
      </c>
      <c r="FP36" t="e">
        <f>AND(medidas!BL29,"AAAAAHf5P6s=")</f>
        <v>#VALUE!</v>
      </c>
      <c r="FQ36" t="e">
        <f>AND(medidas!BM29,"AAAAAHf5P6w=")</f>
        <v>#VALUE!</v>
      </c>
      <c r="FR36" t="e">
        <f>AND(medidas!BN29,"AAAAAHf5P60=")</f>
        <v>#VALUE!</v>
      </c>
      <c r="FS36" t="e">
        <f>AND(medidas!BO29,"AAAAAHf5P64=")</f>
        <v>#VALUE!</v>
      </c>
      <c r="FT36" t="e">
        <f>AND(medidas!BP29,"AAAAAHf5P68=")</f>
        <v>#VALUE!</v>
      </c>
      <c r="FU36" t="e">
        <f>AND(medidas!BQ29,"AAAAAHf5P7A=")</f>
        <v>#VALUE!</v>
      </c>
      <c r="FV36" t="e">
        <f>AND(medidas!BR29,"AAAAAHf5P7E=")</f>
        <v>#VALUE!</v>
      </c>
      <c r="FW36" t="e">
        <f>AND(medidas!BS29,"AAAAAHf5P7I=")</f>
        <v>#VALUE!</v>
      </c>
      <c r="FX36" t="e">
        <f>AND(medidas!BT29,"AAAAAHf5P7M=")</f>
        <v>#VALUE!</v>
      </c>
      <c r="FY36" t="e">
        <f>AND(medidas!BU29,"AAAAAHf5P7Q=")</f>
        <v>#VALUE!</v>
      </c>
      <c r="FZ36" t="e">
        <f>AND(medidas!BV29,"AAAAAHf5P7U=")</f>
        <v>#VALUE!</v>
      </c>
      <c r="GA36" t="e">
        <f>AND(medidas!BW29,"AAAAAHf5P7Y=")</f>
        <v>#VALUE!</v>
      </c>
      <c r="GB36" t="e">
        <f>AND(medidas!BX29,"AAAAAHf5P7c=")</f>
        <v>#VALUE!</v>
      </c>
      <c r="GC36" t="e">
        <f>AND(medidas!BY29,"AAAAAHf5P7g=")</f>
        <v>#VALUE!</v>
      </c>
      <c r="GD36">
        <f>IF(medidas!30:30,"AAAAAHf5P7k=",0)</f>
        <v>0</v>
      </c>
      <c r="GE36" t="e">
        <f>AND(medidas!B30,"AAAAAHf5P7o=")</f>
        <v>#VALUE!</v>
      </c>
      <c r="GF36" t="e">
        <f>AND(medidas!C30,"AAAAAHf5P7s=")</f>
        <v>#VALUE!</v>
      </c>
      <c r="GG36" t="e">
        <f>AND(medidas!D30,"AAAAAHf5P7w=")</f>
        <v>#VALUE!</v>
      </c>
      <c r="GH36" t="e">
        <f>AND(medidas!E30,"AAAAAHf5P70=")</f>
        <v>#VALUE!</v>
      </c>
      <c r="GI36" t="e">
        <f>AND(medidas!F30,"AAAAAHf5P74=")</f>
        <v>#VALUE!</v>
      </c>
      <c r="GJ36" t="e">
        <f>AND(medidas!G30,"AAAAAHf5P78=")</f>
        <v>#VALUE!</v>
      </c>
      <c r="GK36" t="e">
        <f>AND(medidas!H30,"AAAAAHf5P8A=")</f>
        <v>#VALUE!</v>
      </c>
      <c r="GL36" t="e">
        <f>AND(medidas!I30,"AAAAAHf5P8E=")</f>
        <v>#VALUE!</v>
      </c>
      <c r="GM36" t="e">
        <f>AND(medidas!J30,"AAAAAHf5P8I=")</f>
        <v>#VALUE!</v>
      </c>
      <c r="GN36" t="e">
        <f>AND(medidas!K30,"AAAAAHf5P8M=")</f>
        <v>#VALUE!</v>
      </c>
      <c r="GO36" t="e">
        <f>AND(medidas!L30,"AAAAAHf5P8Q=")</f>
        <v>#VALUE!</v>
      </c>
      <c r="GP36" t="e">
        <f>AND(medidas!M30,"AAAAAHf5P8U=")</f>
        <v>#VALUE!</v>
      </c>
      <c r="GQ36" t="e">
        <f>AND(medidas!N30,"AAAAAHf5P8Y=")</f>
        <v>#VALUE!</v>
      </c>
      <c r="GR36" t="e">
        <f>AND(medidas!O30,"AAAAAHf5P8c=")</f>
        <v>#VALUE!</v>
      </c>
      <c r="GS36" t="e">
        <f>AND(medidas!P30,"AAAAAHf5P8g=")</f>
        <v>#VALUE!</v>
      </c>
      <c r="GT36" t="e">
        <f>AND(medidas!Q30,"AAAAAHf5P8k=")</f>
        <v>#VALUE!</v>
      </c>
      <c r="GU36" t="e">
        <f>AND(medidas!R30,"AAAAAHf5P8o=")</f>
        <v>#VALUE!</v>
      </c>
      <c r="GV36" t="e">
        <f>AND(medidas!S30,"AAAAAHf5P8s=")</f>
        <v>#VALUE!</v>
      </c>
      <c r="GW36" t="e">
        <f>AND(medidas!T30,"AAAAAHf5P8w=")</f>
        <v>#VALUE!</v>
      </c>
      <c r="GX36" t="e">
        <f>AND(medidas!U30,"AAAAAHf5P80=")</f>
        <v>#VALUE!</v>
      </c>
      <c r="GY36" t="e">
        <f>AND(medidas!V30,"AAAAAHf5P84=")</f>
        <v>#VALUE!</v>
      </c>
      <c r="GZ36" t="e">
        <f>AND(medidas!W30,"AAAAAHf5P88=")</f>
        <v>#VALUE!</v>
      </c>
      <c r="HA36" t="e">
        <f>AND(medidas!X30,"AAAAAHf5P9A=")</f>
        <v>#VALUE!</v>
      </c>
      <c r="HB36" t="e">
        <f>AND(medidas!Y30,"AAAAAHf5P9E=")</f>
        <v>#VALUE!</v>
      </c>
      <c r="HC36" t="e">
        <f>AND(medidas!Z30,"AAAAAHf5P9I=")</f>
        <v>#VALUE!</v>
      </c>
      <c r="HD36" t="e">
        <f>AND(medidas!AA30,"AAAAAHf5P9M=")</f>
        <v>#VALUE!</v>
      </c>
      <c r="HE36" t="e">
        <f>AND(medidas!AB30,"AAAAAHf5P9Q=")</f>
        <v>#VALUE!</v>
      </c>
      <c r="HF36" t="e">
        <f>AND(medidas!AC30,"AAAAAHf5P9U=")</f>
        <v>#VALUE!</v>
      </c>
      <c r="HG36" t="e">
        <f>AND(medidas!AD30,"AAAAAHf5P9Y=")</f>
        <v>#VALUE!</v>
      </c>
      <c r="HH36" t="e">
        <f>AND(medidas!AE30,"AAAAAHf5P9c=")</f>
        <v>#VALUE!</v>
      </c>
      <c r="HI36" t="e">
        <f>AND(medidas!AF30,"AAAAAHf5P9g=")</f>
        <v>#VALUE!</v>
      </c>
      <c r="HJ36" t="e">
        <f>AND(medidas!AG30,"AAAAAHf5P9k=")</f>
        <v>#VALUE!</v>
      </c>
      <c r="HK36" t="e">
        <f>AND(medidas!AH30,"AAAAAHf5P9o=")</f>
        <v>#VALUE!</v>
      </c>
      <c r="HL36" t="e">
        <f>AND(medidas!AI30,"AAAAAHf5P9s=")</f>
        <v>#VALUE!</v>
      </c>
      <c r="HM36" t="e">
        <f>AND(medidas!AJ30,"AAAAAHf5P9w=")</f>
        <v>#VALUE!</v>
      </c>
      <c r="HN36" t="e">
        <f>AND(medidas!AK30,"AAAAAHf5P90=")</f>
        <v>#VALUE!</v>
      </c>
      <c r="HO36" t="e">
        <f>AND(medidas!AL30,"AAAAAHf5P94=")</f>
        <v>#VALUE!</v>
      </c>
      <c r="HP36" t="e">
        <f>AND(medidas!AM30,"AAAAAHf5P98=")</f>
        <v>#VALUE!</v>
      </c>
      <c r="HQ36" t="e">
        <f>AND(medidas!AN30,"AAAAAHf5P+A=")</f>
        <v>#VALUE!</v>
      </c>
      <c r="HR36" t="e">
        <f>AND(medidas!AO30,"AAAAAHf5P+E=")</f>
        <v>#VALUE!</v>
      </c>
      <c r="HS36" t="e">
        <f>AND(medidas!AP30,"AAAAAHf5P+I=")</f>
        <v>#VALUE!</v>
      </c>
      <c r="HT36" t="e">
        <f>AND(medidas!AQ30,"AAAAAHf5P+M=")</f>
        <v>#VALUE!</v>
      </c>
      <c r="HU36" t="e">
        <f>AND(medidas!AR30,"AAAAAHf5P+Q=")</f>
        <v>#VALUE!</v>
      </c>
      <c r="HV36" t="e">
        <f>AND(medidas!AS30,"AAAAAHf5P+U=")</f>
        <v>#VALUE!</v>
      </c>
      <c r="HW36" t="e">
        <f>AND(medidas!AT30,"AAAAAHf5P+Y=")</f>
        <v>#VALUE!</v>
      </c>
      <c r="HX36" t="e">
        <f>AND(medidas!AU30,"AAAAAHf5P+c=")</f>
        <v>#VALUE!</v>
      </c>
      <c r="HY36" t="e">
        <f>AND(medidas!AV30,"AAAAAHf5P+g=")</f>
        <v>#VALUE!</v>
      </c>
      <c r="HZ36" t="e">
        <f>AND(medidas!AW30,"AAAAAHf5P+k=")</f>
        <v>#VALUE!</v>
      </c>
      <c r="IA36" t="e">
        <f>AND(medidas!AX30,"AAAAAHf5P+o=")</f>
        <v>#VALUE!</v>
      </c>
      <c r="IB36" t="e">
        <f>AND(medidas!AY30,"AAAAAHf5P+s=")</f>
        <v>#VALUE!</v>
      </c>
      <c r="IC36" t="e">
        <f>AND(medidas!AZ30,"AAAAAHf5P+w=")</f>
        <v>#VALUE!</v>
      </c>
      <c r="ID36" t="e">
        <f>AND(medidas!BA30,"AAAAAHf5P+0=")</f>
        <v>#VALUE!</v>
      </c>
      <c r="IE36" t="e">
        <f>AND(medidas!BB30,"AAAAAHf5P+4=")</f>
        <v>#VALUE!</v>
      </c>
      <c r="IF36" t="e">
        <f>AND(medidas!BC30,"AAAAAHf5P+8=")</f>
        <v>#VALUE!</v>
      </c>
      <c r="IG36" t="e">
        <f>AND(medidas!BD30,"AAAAAHf5P/A=")</f>
        <v>#VALUE!</v>
      </c>
      <c r="IH36" t="e">
        <f>AND(medidas!BE30,"AAAAAHf5P/E=")</f>
        <v>#VALUE!</v>
      </c>
      <c r="II36" t="e">
        <f>AND(medidas!BF30,"AAAAAHf5P/I=")</f>
        <v>#VALUE!</v>
      </c>
      <c r="IJ36" t="e">
        <f>AND(medidas!BG30,"AAAAAHf5P/M=")</f>
        <v>#VALUE!</v>
      </c>
      <c r="IK36" t="e">
        <f>AND(medidas!BH30,"AAAAAHf5P/Q=")</f>
        <v>#VALUE!</v>
      </c>
      <c r="IL36" t="e">
        <f>AND(medidas!BI30,"AAAAAHf5P/U=")</f>
        <v>#VALUE!</v>
      </c>
      <c r="IM36" t="e">
        <f>AND(medidas!BJ30,"AAAAAHf5P/Y=")</f>
        <v>#VALUE!</v>
      </c>
      <c r="IN36" t="e">
        <f>AND(medidas!BK30,"AAAAAHf5P/c=")</f>
        <v>#VALUE!</v>
      </c>
      <c r="IO36" t="e">
        <f>AND(medidas!BL30,"AAAAAHf5P/g=")</f>
        <v>#VALUE!</v>
      </c>
      <c r="IP36" t="e">
        <f>AND(medidas!BM30,"AAAAAHf5P/k=")</f>
        <v>#VALUE!</v>
      </c>
      <c r="IQ36" t="e">
        <f>AND(medidas!BN30,"AAAAAHf5P/o=")</f>
        <v>#VALUE!</v>
      </c>
      <c r="IR36" t="e">
        <f>AND(medidas!BO30,"AAAAAHf5P/s=")</f>
        <v>#VALUE!</v>
      </c>
      <c r="IS36" t="e">
        <f>AND(medidas!BP30,"AAAAAHf5P/w=")</f>
        <v>#VALUE!</v>
      </c>
      <c r="IT36" t="e">
        <f>AND(medidas!BQ30,"AAAAAHf5P/0=")</f>
        <v>#VALUE!</v>
      </c>
      <c r="IU36" t="e">
        <f>AND(medidas!BR30,"AAAAAHf5P/4=")</f>
        <v>#VALUE!</v>
      </c>
      <c r="IV36" t="e">
        <f>AND(medidas!BS30,"AAAAAHf5P/8=")</f>
        <v>#VALUE!</v>
      </c>
    </row>
    <row r="37" spans="1:256" x14ac:dyDescent="0.2">
      <c r="A37" t="e">
        <f>AND(medidas!BT30,"AAAAAFU+fwA=")</f>
        <v>#VALUE!</v>
      </c>
      <c r="B37" t="e">
        <f>AND(medidas!BU30,"AAAAAFU+fwE=")</f>
        <v>#VALUE!</v>
      </c>
      <c r="C37" t="e">
        <f>AND(medidas!BV30,"AAAAAFU+fwI=")</f>
        <v>#VALUE!</v>
      </c>
      <c r="D37" t="e">
        <f>AND(medidas!BW30,"AAAAAFU+fwM=")</f>
        <v>#VALUE!</v>
      </c>
      <c r="E37" t="e">
        <f>AND(medidas!BX30,"AAAAAFU+fwQ=")</f>
        <v>#VALUE!</v>
      </c>
      <c r="F37" t="e">
        <f>AND(medidas!BY30,"AAAAAFU+fwU=")</f>
        <v>#VALUE!</v>
      </c>
      <c r="G37">
        <f>IF(medidas!31:31,"AAAAAFU+fwY=",0)</f>
        <v>0</v>
      </c>
      <c r="H37" t="e">
        <f>AND(medidas!B31,"AAAAAFU+fwc=")</f>
        <v>#VALUE!</v>
      </c>
      <c r="I37" t="e">
        <f>AND(medidas!C31,"AAAAAFU+fwg=")</f>
        <v>#VALUE!</v>
      </c>
      <c r="J37" t="e">
        <f>AND(medidas!D31,"AAAAAFU+fwk=")</f>
        <v>#VALUE!</v>
      </c>
      <c r="K37" t="e">
        <f>AND(medidas!E31,"AAAAAFU+fwo=")</f>
        <v>#VALUE!</v>
      </c>
      <c r="L37" t="e">
        <f>AND(medidas!F31,"AAAAAFU+fws=")</f>
        <v>#VALUE!</v>
      </c>
      <c r="M37" t="e">
        <f>AND(medidas!G31,"AAAAAFU+fww=")</f>
        <v>#VALUE!</v>
      </c>
      <c r="N37" t="e">
        <f>AND(medidas!H31,"AAAAAFU+fw0=")</f>
        <v>#VALUE!</v>
      </c>
      <c r="O37" t="e">
        <f>AND(medidas!I31,"AAAAAFU+fw4=")</f>
        <v>#VALUE!</v>
      </c>
      <c r="P37" t="e">
        <f>AND(medidas!J31,"AAAAAFU+fw8=")</f>
        <v>#VALUE!</v>
      </c>
      <c r="Q37" t="e">
        <f>AND(medidas!K31,"AAAAAFU+fxA=")</f>
        <v>#VALUE!</v>
      </c>
      <c r="R37" t="e">
        <f>AND(medidas!L31,"AAAAAFU+fxE=")</f>
        <v>#VALUE!</v>
      </c>
      <c r="S37" t="e">
        <f>AND(medidas!M31,"AAAAAFU+fxI=")</f>
        <v>#VALUE!</v>
      </c>
      <c r="T37" t="e">
        <f>AND(medidas!N31,"AAAAAFU+fxM=")</f>
        <v>#VALUE!</v>
      </c>
      <c r="U37" t="e">
        <f>AND(medidas!O31,"AAAAAFU+fxQ=")</f>
        <v>#VALUE!</v>
      </c>
      <c r="V37" t="e">
        <f>AND(medidas!P31,"AAAAAFU+fxU=")</f>
        <v>#VALUE!</v>
      </c>
      <c r="W37" t="e">
        <f>AND(medidas!Q31,"AAAAAFU+fxY=")</f>
        <v>#VALUE!</v>
      </c>
      <c r="X37" t="e">
        <f>AND(medidas!R31,"AAAAAFU+fxc=")</f>
        <v>#VALUE!</v>
      </c>
      <c r="Y37" t="e">
        <f>AND(medidas!S31,"AAAAAFU+fxg=")</f>
        <v>#VALUE!</v>
      </c>
      <c r="Z37" t="e">
        <f>AND(medidas!T31,"AAAAAFU+fxk=")</f>
        <v>#VALUE!</v>
      </c>
      <c r="AA37" t="e">
        <f>AND(medidas!U31,"AAAAAFU+fxo=")</f>
        <v>#VALUE!</v>
      </c>
      <c r="AB37" t="e">
        <f>AND(medidas!V31,"AAAAAFU+fxs=")</f>
        <v>#VALUE!</v>
      </c>
      <c r="AC37" t="e">
        <f>AND(medidas!W31,"AAAAAFU+fxw=")</f>
        <v>#VALUE!</v>
      </c>
      <c r="AD37" t="e">
        <f>AND(medidas!X31,"AAAAAFU+fx0=")</f>
        <v>#VALUE!</v>
      </c>
      <c r="AE37" t="e">
        <f>AND(medidas!Y31,"AAAAAFU+fx4=")</f>
        <v>#VALUE!</v>
      </c>
      <c r="AF37" t="e">
        <f>AND(medidas!Z31,"AAAAAFU+fx8=")</f>
        <v>#VALUE!</v>
      </c>
      <c r="AG37" t="e">
        <f>AND(medidas!AA31,"AAAAAFU+fyA=")</f>
        <v>#VALUE!</v>
      </c>
      <c r="AH37" t="e">
        <f>AND(medidas!AB31,"AAAAAFU+fyE=")</f>
        <v>#VALUE!</v>
      </c>
      <c r="AI37" t="e">
        <f>AND(medidas!AC31,"AAAAAFU+fyI=")</f>
        <v>#VALUE!</v>
      </c>
      <c r="AJ37" t="e">
        <f>AND(medidas!AD31,"AAAAAFU+fyM=")</f>
        <v>#VALUE!</v>
      </c>
      <c r="AK37" t="e">
        <f>AND(medidas!AE31,"AAAAAFU+fyQ=")</f>
        <v>#VALUE!</v>
      </c>
      <c r="AL37" t="e">
        <f>AND(medidas!AF31,"AAAAAFU+fyU=")</f>
        <v>#VALUE!</v>
      </c>
      <c r="AM37" t="e">
        <f>AND(medidas!AG31,"AAAAAFU+fyY=")</f>
        <v>#VALUE!</v>
      </c>
      <c r="AN37" t="e">
        <f>AND(medidas!AH31,"AAAAAFU+fyc=")</f>
        <v>#VALUE!</v>
      </c>
      <c r="AO37" t="e">
        <f>AND(medidas!AI31,"AAAAAFU+fyg=")</f>
        <v>#VALUE!</v>
      </c>
      <c r="AP37" t="e">
        <f>AND(medidas!AJ31,"AAAAAFU+fyk=")</f>
        <v>#VALUE!</v>
      </c>
      <c r="AQ37" t="e">
        <f>AND(medidas!AK31,"AAAAAFU+fyo=")</f>
        <v>#VALUE!</v>
      </c>
      <c r="AR37" t="e">
        <f>AND(medidas!AL31,"AAAAAFU+fys=")</f>
        <v>#VALUE!</v>
      </c>
      <c r="AS37" t="e">
        <f>AND(medidas!AM31,"AAAAAFU+fyw=")</f>
        <v>#VALUE!</v>
      </c>
      <c r="AT37" t="e">
        <f>AND(medidas!AN31,"AAAAAFU+fy0=")</f>
        <v>#VALUE!</v>
      </c>
      <c r="AU37" t="e">
        <f>AND(medidas!AO31,"AAAAAFU+fy4=")</f>
        <v>#VALUE!</v>
      </c>
      <c r="AV37" t="e">
        <f>AND(medidas!AP31,"AAAAAFU+fy8=")</f>
        <v>#VALUE!</v>
      </c>
      <c r="AW37" t="e">
        <f>AND(medidas!AQ31,"AAAAAFU+fzA=")</f>
        <v>#VALUE!</v>
      </c>
      <c r="AX37" t="e">
        <f>AND(medidas!AR31,"AAAAAFU+fzE=")</f>
        <v>#VALUE!</v>
      </c>
      <c r="AY37" t="e">
        <f>AND(medidas!AS31,"AAAAAFU+fzI=")</f>
        <v>#VALUE!</v>
      </c>
      <c r="AZ37" t="e">
        <f>AND(medidas!AT31,"AAAAAFU+fzM=")</f>
        <v>#VALUE!</v>
      </c>
      <c r="BA37" t="e">
        <f>AND(medidas!AU31,"AAAAAFU+fzQ=")</f>
        <v>#VALUE!</v>
      </c>
      <c r="BB37" t="e">
        <f>AND(medidas!AV31,"AAAAAFU+fzU=")</f>
        <v>#VALUE!</v>
      </c>
      <c r="BC37" t="e">
        <f>AND(medidas!AW31,"AAAAAFU+fzY=")</f>
        <v>#VALUE!</v>
      </c>
      <c r="BD37" t="e">
        <f>AND(medidas!AX31,"AAAAAFU+fzc=")</f>
        <v>#VALUE!</v>
      </c>
      <c r="BE37" t="e">
        <f>AND(medidas!AY31,"AAAAAFU+fzg=")</f>
        <v>#VALUE!</v>
      </c>
      <c r="BF37" t="e">
        <f>AND(medidas!AZ31,"AAAAAFU+fzk=")</f>
        <v>#VALUE!</v>
      </c>
      <c r="BG37" t="e">
        <f>AND(medidas!BA31,"AAAAAFU+fzo=")</f>
        <v>#VALUE!</v>
      </c>
      <c r="BH37" t="e">
        <f>AND(medidas!BB31,"AAAAAFU+fzs=")</f>
        <v>#VALUE!</v>
      </c>
      <c r="BI37" t="e">
        <f>AND(medidas!BC31,"AAAAAFU+fzw=")</f>
        <v>#VALUE!</v>
      </c>
      <c r="BJ37" t="e">
        <f>AND(medidas!BD31,"AAAAAFU+fz0=")</f>
        <v>#VALUE!</v>
      </c>
      <c r="BK37" t="e">
        <f>AND(medidas!BE31,"AAAAAFU+fz4=")</f>
        <v>#VALUE!</v>
      </c>
      <c r="BL37" t="e">
        <f>AND(medidas!BF31,"AAAAAFU+fz8=")</f>
        <v>#VALUE!</v>
      </c>
      <c r="BM37" t="e">
        <f>AND(medidas!BG31,"AAAAAFU+f0A=")</f>
        <v>#VALUE!</v>
      </c>
      <c r="BN37" t="e">
        <f>AND(medidas!BH31,"AAAAAFU+f0E=")</f>
        <v>#VALUE!</v>
      </c>
      <c r="BO37" t="e">
        <f>AND(medidas!BI31,"AAAAAFU+f0I=")</f>
        <v>#VALUE!</v>
      </c>
      <c r="BP37" t="e">
        <f>AND(medidas!BJ31,"AAAAAFU+f0M=")</f>
        <v>#VALUE!</v>
      </c>
      <c r="BQ37" t="e">
        <f>AND(medidas!BK31,"AAAAAFU+f0Q=")</f>
        <v>#VALUE!</v>
      </c>
      <c r="BR37" t="e">
        <f>AND(medidas!BL31,"AAAAAFU+f0U=")</f>
        <v>#VALUE!</v>
      </c>
      <c r="BS37" t="e">
        <f>AND(medidas!BM31,"AAAAAFU+f0Y=")</f>
        <v>#VALUE!</v>
      </c>
      <c r="BT37" t="e">
        <f>AND(medidas!BN31,"AAAAAFU+f0c=")</f>
        <v>#VALUE!</v>
      </c>
      <c r="BU37" t="e">
        <f>AND(medidas!BO31,"AAAAAFU+f0g=")</f>
        <v>#VALUE!</v>
      </c>
      <c r="BV37" t="e">
        <f>AND(medidas!BP31,"AAAAAFU+f0k=")</f>
        <v>#VALUE!</v>
      </c>
      <c r="BW37" t="e">
        <f>AND(medidas!BQ31,"AAAAAFU+f0o=")</f>
        <v>#VALUE!</v>
      </c>
      <c r="BX37" t="e">
        <f>AND(medidas!BR31,"AAAAAFU+f0s=")</f>
        <v>#VALUE!</v>
      </c>
      <c r="BY37" t="e">
        <f>AND(medidas!BS31,"AAAAAFU+f0w=")</f>
        <v>#VALUE!</v>
      </c>
      <c r="BZ37" t="e">
        <f>AND(medidas!BT31,"AAAAAFU+f00=")</f>
        <v>#VALUE!</v>
      </c>
      <c r="CA37" t="e">
        <f>AND(medidas!BU31,"AAAAAFU+f04=")</f>
        <v>#VALUE!</v>
      </c>
      <c r="CB37" t="e">
        <f>AND(medidas!BV31,"AAAAAFU+f08=")</f>
        <v>#VALUE!</v>
      </c>
      <c r="CC37" t="e">
        <f>AND(medidas!BW31,"AAAAAFU+f1A=")</f>
        <v>#VALUE!</v>
      </c>
      <c r="CD37" t="e">
        <f>AND(medidas!BX31,"AAAAAFU+f1E=")</f>
        <v>#VALUE!</v>
      </c>
      <c r="CE37" t="e">
        <f>AND(medidas!BY31,"AAAAAFU+f1I=")</f>
        <v>#VALUE!</v>
      </c>
      <c r="CF37">
        <f>IF(medidas!32:32,"AAAAAFU+f1M=",0)</f>
        <v>0</v>
      </c>
      <c r="CG37" t="e">
        <f>AND(medidas!B32,"AAAAAFU+f1Q=")</f>
        <v>#VALUE!</v>
      </c>
      <c r="CH37" t="e">
        <f>AND(medidas!C32,"AAAAAFU+f1U=")</f>
        <v>#VALUE!</v>
      </c>
      <c r="CI37" t="e">
        <f>AND(medidas!D32,"AAAAAFU+f1Y=")</f>
        <v>#VALUE!</v>
      </c>
      <c r="CJ37" t="e">
        <f>AND(medidas!E32,"AAAAAFU+f1c=")</f>
        <v>#VALUE!</v>
      </c>
      <c r="CK37" t="e">
        <f>AND(medidas!F32,"AAAAAFU+f1g=")</f>
        <v>#VALUE!</v>
      </c>
      <c r="CL37" t="e">
        <f>AND(medidas!G32,"AAAAAFU+f1k=")</f>
        <v>#VALUE!</v>
      </c>
      <c r="CM37" t="e">
        <f>AND(medidas!H32,"AAAAAFU+f1o=")</f>
        <v>#VALUE!</v>
      </c>
      <c r="CN37" t="e">
        <f>AND(medidas!I32,"AAAAAFU+f1s=")</f>
        <v>#VALUE!</v>
      </c>
      <c r="CO37" t="e">
        <f>AND(medidas!J32,"AAAAAFU+f1w=")</f>
        <v>#VALUE!</v>
      </c>
      <c r="CP37" t="e">
        <f>AND(medidas!K32,"AAAAAFU+f10=")</f>
        <v>#VALUE!</v>
      </c>
      <c r="CQ37" t="e">
        <f>AND(medidas!L32,"AAAAAFU+f14=")</f>
        <v>#VALUE!</v>
      </c>
      <c r="CR37" t="e">
        <f>AND(medidas!M32,"AAAAAFU+f18=")</f>
        <v>#VALUE!</v>
      </c>
      <c r="CS37" t="e">
        <f>AND(medidas!N32,"AAAAAFU+f2A=")</f>
        <v>#VALUE!</v>
      </c>
      <c r="CT37" t="e">
        <f>AND(medidas!O32,"AAAAAFU+f2E=")</f>
        <v>#VALUE!</v>
      </c>
      <c r="CU37" t="e">
        <f>AND(medidas!P32,"AAAAAFU+f2I=")</f>
        <v>#VALUE!</v>
      </c>
      <c r="CV37" t="e">
        <f>AND(medidas!Q32,"AAAAAFU+f2M=")</f>
        <v>#VALUE!</v>
      </c>
      <c r="CW37" t="e">
        <f>AND(medidas!R32,"AAAAAFU+f2Q=")</f>
        <v>#VALUE!</v>
      </c>
      <c r="CX37" t="e">
        <f>AND(medidas!S32,"AAAAAFU+f2U=")</f>
        <v>#VALUE!</v>
      </c>
      <c r="CY37" t="e">
        <f>AND(medidas!T32,"AAAAAFU+f2Y=")</f>
        <v>#VALUE!</v>
      </c>
      <c r="CZ37" t="e">
        <f>AND(medidas!U32,"AAAAAFU+f2c=")</f>
        <v>#VALUE!</v>
      </c>
      <c r="DA37" t="e">
        <f>AND(medidas!V32,"AAAAAFU+f2g=")</f>
        <v>#VALUE!</v>
      </c>
      <c r="DB37" t="e">
        <f>AND(medidas!W32,"AAAAAFU+f2k=")</f>
        <v>#VALUE!</v>
      </c>
      <c r="DC37" t="e">
        <f>AND(medidas!X32,"AAAAAFU+f2o=")</f>
        <v>#VALUE!</v>
      </c>
      <c r="DD37" t="e">
        <f>AND(medidas!Y32,"AAAAAFU+f2s=")</f>
        <v>#VALUE!</v>
      </c>
      <c r="DE37" t="e">
        <f>AND(medidas!Z32,"AAAAAFU+f2w=")</f>
        <v>#VALUE!</v>
      </c>
      <c r="DF37" t="e">
        <f>AND(medidas!AA32,"AAAAAFU+f20=")</f>
        <v>#VALUE!</v>
      </c>
      <c r="DG37" t="e">
        <f>AND(medidas!AB32,"AAAAAFU+f24=")</f>
        <v>#VALUE!</v>
      </c>
      <c r="DH37" t="e">
        <f>AND(medidas!AC32,"AAAAAFU+f28=")</f>
        <v>#VALUE!</v>
      </c>
      <c r="DI37" t="e">
        <f>AND(medidas!AD32,"AAAAAFU+f3A=")</f>
        <v>#VALUE!</v>
      </c>
      <c r="DJ37" t="e">
        <f>AND(medidas!AE32,"AAAAAFU+f3E=")</f>
        <v>#VALUE!</v>
      </c>
      <c r="DK37" t="e">
        <f>AND(medidas!AF32,"AAAAAFU+f3I=")</f>
        <v>#VALUE!</v>
      </c>
      <c r="DL37" t="e">
        <f>AND(medidas!AG32,"AAAAAFU+f3M=")</f>
        <v>#VALUE!</v>
      </c>
      <c r="DM37" t="e">
        <f>AND(medidas!AH32,"AAAAAFU+f3Q=")</f>
        <v>#VALUE!</v>
      </c>
      <c r="DN37" t="e">
        <f>AND(medidas!AI32,"AAAAAFU+f3U=")</f>
        <v>#VALUE!</v>
      </c>
      <c r="DO37" t="e">
        <f>AND(medidas!AJ32,"AAAAAFU+f3Y=")</f>
        <v>#VALUE!</v>
      </c>
      <c r="DP37" t="e">
        <f>AND(medidas!AK32,"AAAAAFU+f3c=")</f>
        <v>#VALUE!</v>
      </c>
      <c r="DQ37" t="e">
        <f>AND(medidas!AL32,"AAAAAFU+f3g=")</f>
        <v>#VALUE!</v>
      </c>
      <c r="DR37" t="e">
        <f>AND(medidas!AM32,"AAAAAFU+f3k=")</f>
        <v>#VALUE!</v>
      </c>
      <c r="DS37" t="e">
        <f>AND(medidas!AN32,"AAAAAFU+f3o=")</f>
        <v>#VALUE!</v>
      </c>
      <c r="DT37" t="e">
        <f>AND(medidas!AO32,"AAAAAFU+f3s=")</f>
        <v>#VALUE!</v>
      </c>
      <c r="DU37" t="e">
        <f>AND(medidas!AP32,"AAAAAFU+f3w=")</f>
        <v>#VALUE!</v>
      </c>
      <c r="DV37" t="e">
        <f>AND(medidas!AQ32,"AAAAAFU+f30=")</f>
        <v>#VALUE!</v>
      </c>
      <c r="DW37" t="e">
        <f>AND(medidas!AR32,"AAAAAFU+f34=")</f>
        <v>#VALUE!</v>
      </c>
      <c r="DX37" t="e">
        <f>AND(medidas!AS32,"AAAAAFU+f38=")</f>
        <v>#VALUE!</v>
      </c>
      <c r="DY37" t="e">
        <f>AND(medidas!AT32,"AAAAAFU+f4A=")</f>
        <v>#VALUE!</v>
      </c>
      <c r="DZ37" t="e">
        <f>AND(medidas!AU32,"AAAAAFU+f4E=")</f>
        <v>#VALUE!</v>
      </c>
      <c r="EA37" t="e">
        <f>AND(medidas!AV32,"AAAAAFU+f4I=")</f>
        <v>#VALUE!</v>
      </c>
      <c r="EB37" t="e">
        <f>AND(medidas!AW32,"AAAAAFU+f4M=")</f>
        <v>#VALUE!</v>
      </c>
      <c r="EC37" t="e">
        <f>AND(medidas!AX32,"AAAAAFU+f4Q=")</f>
        <v>#VALUE!</v>
      </c>
      <c r="ED37" t="e">
        <f>AND(medidas!AY32,"AAAAAFU+f4U=")</f>
        <v>#VALUE!</v>
      </c>
      <c r="EE37" t="e">
        <f>AND(medidas!AZ32,"AAAAAFU+f4Y=")</f>
        <v>#VALUE!</v>
      </c>
      <c r="EF37" t="e">
        <f>AND(medidas!BA32,"AAAAAFU+f4c=")</f>
        <v>#VALUE!</v>
      </c>
      <c r="EG37" t="e">
        <f>AND(medidas!BB32,"AAAAAFU+f4g=")</f>
        <v>#VALUE!</v>
      </c>
      <c r="EH37" t="e">
        <f>AND(medidas!BC32,"AAAAAFU+f4k=")</f>
        <v>#VALUE!</v>
      </c>
      <c r="EI37" t="e">
        <f>AND(medidas!BD32,"AAAAAFU+f4o=")</f>
        <v>#VALUE!</v>
      </c>
      <c r="EJ37" t="e">
        <f>AND(medidas!BE32,"AAAAAFU+f4s=")</f>
        <v>#VALUE!</v>
      </c>
      <c r="EK37" t="e">
        <f>AND(medidas!BF32,"AAAAAFU+f4w=")</f>
        <v>#VALUE!</v>
      </c>
      <c r="EL37" t="e">
        <f>AND(medidas!BG32,"AAAAAFU+f40=")</f>
        <v>#VALUE!</v>
      </c>
      <c r="EM37" t="e">
        <f>AND(medidas!BH32,"AAAAAFU+f44=")</f>
        <v>#VALUE!</v>
      </c>
      <c r="EN37" t="e">
        <f>AND(medidas!BI32,"AAAAAFU+f48=")</f>
        <v>#VALUE!</v>
      </c>
      <c r="EO37" t="e">
        <f>AND(medidas!BJ32,"AAAAAFU+f5A=")</f>
        <v>#VALUE!</v>
      </c>
      <c r="EP37" t="e">
        <f>AND(medidas!BK32,"AAAAAFU+f5E=")</f>
        <v>#VALUE!</v>
      </c>
      <c r="EQ37" t="e">
        <f>AND(medidas!BL32,"AAAAAFU+f5I=")</f>
        <v>#VALUE!</v>
      </c>
      <c r="ER37" t="e">
        <f>AND(medidas!BM32,"AAAAAFU+f5M=")</f>
        <v>#VALUE!</v>
      </c>
      <c r="ES37" t="e">
        <f>AND(medidas!BN32,"AAAAAFU+f5Q=")</f>
        <v>#VALUE!</v>
      </c>
      <c r="ET37" t="e">
        <f>AND(medidas!BO32,"AAAAAFU+f5U=")</f>
        <v>#VALUE!</v>
      </c>
      <c r="EU37" t="e">
        <f>AND(medidas!BP32,"AAAAAFU+f5Y=")</f>
        <v>#VALUE!</v>
      </c>
      <c r="EV37" t="e">
        <f>AND(medidas!BQ32,"AAAAAFU+f5c=")</f>
        <v>#VALUE!</v>
      </c>
      <c r="EW37" t="e">
        <f>AND(medidas!BR32,"AAAAAFU+f5g=")</f>
        <v>#VALUE!</v>
      </c>
      <c r="EX37" t="e">
        <f>AND(medidas!BS32,"AAAAAFU+f5k=")</f>
        <v>#VALUE!</v>
      </c>
      <c r="EY37" t="e">
        <f>AND(medidas!BT32,"AAAAAFU+f5o=")</f>
        <v>#VALUE!</v>
      </c>
      <c r="EZ37" t="e">
        <f>AND(medidas!BU32,"AAAAAFU+f5s=")</f>
        <v>#VALUE!</v>
      </c>
      <c r="FA37" t="e">
        <f>AND(medidas!BV32,"AAAAAFU+f5w=")</f>
        <v>#VALUE!</v>
      </c>
      <c r="FB37" t="e">
        <f>AND(medidas!BW32,"AAAAAFU+f50=")</f>
        <v>#VALUE!</v>
      </c>
      <c r="FC37" t="e">
        <f>AND(medidas!BX32,"AAAAAFU+f54=")</f>
        <v>#VALUE!</v>
      </c>
      <c r="FD37" t="e">
        <f>AND(medidas!BY32,"AAAAAFU+f58=")</f>
        <v>#VALUE!</v>
      </c>
      <c r="FE37">
        <f>IF(medidas!33:33,"AAAAAFU+f6A=",0)</f>
        <v>0</v>
      </c>
      <c r="FF37" t="e">
        <f>AND(medidas!B33,"AAAAAFU+f6E=")</f>
        <v>#VALUE!</v>
      </c>
      <c r="FG37" t="e">
        <f>AND(medidas!C33,"AAAAAFU+f6I=")</f>
        <v>#VALUE!</v>
      </c>
      <c r="FH37" t="e">
        <f>AND(medidas!D33,"AAAAAFU+f6M=")</f>
        <v>#VALUE!</v>
      </c>
      <c r="FI37" t="e">
        <f>AND(medidas!E33,"AAAAAFU+f6Q=")</f>
        <v>#VALUE!</v>
      </c>
      <c r="FJ37" t="e">
        <f>AND(medidas!F33,"AAAAAFU+f6U=")</f>
        <v>#VALUE!</v>
      </c>
      <c r="FK37" t="e">
        <f>AND(medidas!G33,"AAAAAFU+f6Y=")</f>
        <v>#VALUE!</v>
      </c>
      <c r="FL37" t="e">
        <f>AND(medidas!H33,"AAAAAFU+f6c=")</f>
        <v>#VALUE!</v>
      </c>
      <c r="FM37" t="e">
        <f>AND(medidas!I33,"AAAAAFU+f6g=")</f>
        <v>#VALUE!</v>
      </c>
      <c r="FN37" t="e">
        <f>AND(medidas!J33,"AAAAAFU+f6k=")</f>
        <v>#VALUE!</v>
      </c>
      <c r="FO37" t="e">
        <f>AND(medidas!K33,"AAAAAFU+f6o=")</f>
        <v>#VALUE!</v>
      </c>
      <c r="FP37" t="e">
        <f>AND(medidas!L33,"AAAAAFU+f6s=")</f>
        <v>#VALUE!</v>
      </c>
      <c r="FQ37" t="e">
        <f>AND(medidas!M33,"AAAAAFU+f6w=")</f>
        <v>#VALUE!</v>
      </c>
      <c r="FR37" t="e">
        <f>AND(medidas!N33,"AAAAAFU+f60=")</f>
        <v>#VALUE!</v>
      </c>
      <c r="FS37" t="e">
        <f>AND(medidas!O33,"AAAAAFU+f64=")</f>
        <v>#VALUE!</v>
      </c>
      <c r="FT37" t="e">
        <f>AND(medidas!P33,"AAAAAFU+f68=")</f>
        <v>#VALUE!</v>
      </c>
      <c r="FU37" t="e">
        <f>AND(medidas!Q33,"AAAAAFU+f7A=")</f>
        <v>#VALUE!</v>
      </c>
      <c r="FV37" t="e">
        <f>AND(medidas!R33,"AAAAAFU+f7E=")</f>
        <v>#VALUE!</v>
      </c>
      <c r="FW37" t="e">
        <f>AND(medidas!S33,"AAAAAFU+f7I=")</f>
        <v>#VALUE!</v>
      </c>
      <c r="FX37" t="e">
        <f>AND(medidas!T33,"AAAAAFU+f7M=")</f>
        <v>#VALUE!</v>
      </c>
      <c r="FY37" t="e">
        <f>AND(medidas!U33,"AAAAAFU+f7Q=")</f>
        <v>#VALUE!</v>
      </c>
      <c r="FZ37" t="e">
        <f>AND(medidas!V33,"AAAAAFU+f7U=")</f>
        <v>#VALUE!</v>
      </c>
      <c r="GA37" t="e">
        <f>AND(medidas!W33,"AAAAAFU+f7Y=")</f>
        <v>#VALUE!</v>
      </c>
      <c r="GB37" t="e">
        <f>AND(medidas!X33,"AAAAAFU+f7c=")</f>
        <v>#VALUE!</v>
      </c>
      <c r="GC37" t="e">
        <f>AND(medidas!Y33,"AAAAAFU+f7g=")</f>
        <v>#VALUE!</v>
      </c>
      <c r="GD37" t="e">
        <f>AND(medidas!Z33,"AAAAAFU+f7k=")</f>
        <v>#VALUE!</v>
      </c>
      <c r="GE37" t="e">
        <f>AND(medidas!AA33,"AAAAAFU+f7o=")</f>
        <v>#VALUE!</v>
      </c>
      <c r="GF37" t="e">
        <f>AND(medidas!AB33,"AAAAAFU+f7s=")</f>
        <v>#VALUE!</v>
      </c>
      <c r="GG37" t="e">
        <f>AND(medidas!AC33,"AAAAAFU+f7w=")</f>
        <v>#VALUE!</v>
      </c>
      <c r="GH37" t="e">
        <f>AND(medidas!AD33,"AAAAAFU+f70=")</f>
        <v>#VALUE!</v>
      </c>
      <c r="GI37" t="e">
        <f>AND(medidas!AE33,"AAAAAFU+f74=")</f>
        <v>#VALUE!</v>
      </c>
      <c r="GJ37" t="e">
        <f>AND(medidas!AF33,"AAAAAFU+f78=")</f>
        <v>#VALUE!</v>
      </c>
      <c r="GK37" t="e">
        <f>AND(medidas!AG33,"AAAAAFU+f8A=")</f>
        <v>#VALUE!</v>
      </c>
      <c r="GL37" t="e">
        <f>AND(medidas!AH33,"AAAAAFU+f8E=")</f>
        <v>#VALUE!</v>
      </c>
      <c r="GM37" t="e">
        <f>AND(medidas!AI33,"AAAAAFU+f8I=")</f>
        <v>#VALUE!</v>
      </c>
      <c r="GN37" t="e">
        <f>AND(medidas!AJ33,"AAAAAFU+f8M=")</f>
        <v>#VALUE!</v>
      </c>
      <c r="GO37" t="e">
        <f>AND(medidas!AK33,"AAAAAFU+f8Q=")</f>
        <v>#VALUE!</v>
      </c>
      <c r="GP37" t="e">
        <f>AND(medidas!AL33,"AAAAAFU+f8U=")</f>
        <v>#VALUE!</v>
      </c>
      <c r="GQ37" t="e">
        <f>AND(medidas!AM33,"AAAAAFU+f8Y=")</f>
        <v>#VALUE!</v>
      </c>
      <c r="GR37" t="e">
        <f>AND(medidas!AN33,"AAAAAFU+f8c=")</f>
        <v>#VALUE!</v>
      </c>
      <c r="GS37" t="e">
        <f>AND(medidas!AO33,"AAAAAFU+f8g=")</f>
        <v>#VALUE!</v>
      </c>
      <c r="GT37" t="e">
        <f>AND(medidas!AP33,"AAAAAFU+f8k=")</f>
        <v>#VALUE!</v>
      </c>
      <c r="GU37" t="e">
        <f>AND(medidas!AQ33,"AAAAAFU+f8o=")</f>
        <v>#VALUE!</v>
      </c>
      <c r="GV37" t="e">
        <f>AND(medidas!AR33,"AAAAAFU+f8s=")</f>
        <v>#VALUE!</v>
      </c>
      <c r="GW37" t="e">
        <f>AND(medidas!AS33,"AAAAAFU+f8w=")</f>
        <v>#VALUE!</v>
      </c>
      <c r="GX37" t="e">
        <f>AND(medidas!AT33,"AAAAAFU+f80=")</f>
        <v>#VALUE!</v>
      </c>
      <c r="GY37" t="e">
        <f>AND(medidas!AU33,"AAAAAFU+f84=")</f>
        <v>#VALUE!</v>
      </c>
      <c r="GZ37" t="e">
        <f>AND(medidas!AV33,"AAAAAFU+f88=")</f>
        <v>#VALUE!</v>
      </c>
      <c r="HA37" t="e">
        <f>AND(medidas!AW33,"AAAAAFU+f9A=")</f>
        <v>#VALUE!</v>
      </c>
      <c r="HB37" t="e">
        <f>AND(medidas!AX33,"AAAAAFU+f9E=")</f>
        <v>#VALUE!</v>
      </c>
      <c r="HC37" t="e">
        <f>AND(medidas!AY33,"AAAAAFU+f9I=")</f>
        <v>#VALUE!</v>
      </c>
      <c r="HD37" t="e">
        <f>AND(medidas!AZ33,"AAAAAFU+f9M=")</f>
        <v>#VALUE!</v>
      </c>
      <c r="HE37" t="e">
        <f>AND(medidas!BA33,"AAAAAFU+f9Q=")</f>
        <v>#VALUE!</v>
      </c>
      <c r="HF37" t="e">
        <f>AND(medidas!BB33,"AAAAAFU+f9U=")</f>
        <v>#VALUE!</v>
      </c>
      <c r="HG37" t="e">
        <f>AND(medidas!BC33,"AAAAAFU+f9Y=")</f>
        <v>#VALUE!</v>
      </c>
      <c r="HH37" t="e">
        <f>AND(medidas!BD33,"AAAAAFU+f9c=")</f>
        <v>#VALUE!</v>
      </c>
      <c r="HI37" t="e">
        <f>AND(medidas!BE33,"AAAAAFU+f9g=")</f>
        <v>#VALUE!</v>
      </c>
      <c r="HJ37" t="e">
        <f>AND(medidas!BF33,"AAAAAFU+f9k=")</f>
        <v>#VALUE!</v>
      </c>
      <c r="HK37" t="e">
        <f>AND(medidas!BG33,"AAAAAFU+f9o=")</f>
        <v>#VALUE!</v>
      </c>
      <c r="HL37" t="e">
        <f>AND(medidas!BH33,"AAAAAFU+f9s=")</f>
        <v>#VALUE!</v>
      </c>
      <c r="HM37" t="e">
        <f>AND(medidas!BI33,"AAAAAFU+f9w=")</f>
        <v>#VALUE!</v>
      </c>
      <c r="HN37" t="e">
        <f>AND(medidas!BJ33,"AAAAAFU+f90=")</f>
        <v>#VALUE!</v>
      </c>
      <c r="HO37" t="e">
        <f>AND(medidas!BK33,"AAAAAFU+f94=")</f>
        <v>#VALUE!</v>
      </c>
      <c r="HP37" t="e">
        <f>AND(medidas!BL33,"AAAAAFU+f98=")</f>
        <v>#VALUE!</v>
      </c>
      <c r="HQ37" t="e">
        <f>AND(medidas!BM33,"AAAAAFU+f+A=")</f>
        <v>#VALUE!</v>
      </c>
      <c r="HR37" t="e">
        <f>AND(medidas!BN33,"AAAAAFU+f+E=")</f>
        <v>#VALUE!</v>
      </c>
      <c r="HS37" t="e">
        <f>AND(medidas!BO33,"AAAAAFU+f+I=")</f>
        <v>#VALUE!</v>
      </c>
      <c r="HT37" t="e">
        <f>AND(medidas!BP33,"AAAAAFU+f+M=")</f>
        <v>#VALUE!</v>
      </c>
      <c r="HU37" t="e">
        <f>AND(medidas!BQ33,"AAAAAFU+f+Q=")</f>
        <v>#VALUE!</v>
      </c>
      <c r="HV37" t="e">
        <f>AND(medidas!BR33,"AAAAAFU+f+U=")</f>
        <v>#VALUE!</v>
      </c>
      <c r="HW37" t="e">
        <f>AND(medidas!BS33,"AAAAAFU+f+Y=")</f>
        <v>#VALUE!</v>
      </c>
      <c r="HX37" t="e">
        <f>AND(medidas!BT33,"AAAAAFU+f+c=")</f>
        <v>#VALUE!</v>
      </c>
      <c r="HY37" t="e">
        <f>AND(medidas!BU33,"AAAAAFU+f+g=")</f>
        <v>#VALUE!</v>
      </c>
      <c r="HZ37" t="e">
        <f>AND(medidas!BV33,"AAAAAFU+f+k=")</f>
        <v>#VALUE!</v>
      </c>
      <c r="IA37" t="e">
        <f>AND(medidas!BW33,"AAAAAFU+f+o=")</f>
        <v>#VALUE!</v>
      </c>
      <c r="IB37" t="e">
        <f>AND(medidas!BX33,"AAAAAFU+f+s=")</f>
        <v>#VALUE!</v>
      </c>
      <c r="IC37" t="e">
        <f>AND(medidas!BY33,"AAAAAFU+f+w=")</f>
        <v>#VALUE!</v>
      </c>
      <c r="ID37">
        <f>IF(medidas!34:34,"AAAAAFU+f+0=",0)</f>
        <v>0</v>
      </c>
      <c r="IE37" t="e">
        <f>AND(medidas!B34,"AAAAAFU+f+4=")</f>
        <v>#VALUE!</v>
      </c>
      <c r="IF37" t="e">
        <f>AND(medidas!C34,"AAAAAFU+f+8=")</f>
        <v>#VALUE!</v>
      </c>
      <c r="IG37" t="e">
        <f>AND(medidas!D34,"AAAAAFU+f/A=")</f>
        <v>#VALUE!</v>
      </c>
      <c r="IH37" t="e">
        <f>AND(medidas!E34,"AAAAAFU+f/E=")</f>
        <v>#VALUE!</v>
      </c>
      <c r="II37" t="e">
        <f>AND(medidas!F34,"AAAAAFU+f/I=")</f>
        <v>#VALUE!</v>
      </c>
      <c r="IJ37" t="e">
        <f>AND(medidas!G34,"AAAAAFU+f/M=")</f>
        <v>#VALUE!</v>
      </c>
      <c r="IK37" t="e">
        <f>AND(medidas!H34,"AAAAAFU+f/Q=")</f>
        <v>#VALUE!</v>
      </c>
      <c r="IL37" t="e">
        <f>AND(medidas!I34,"AAAAAFU+f/U=")</f>
        <v>#VALUE!</v>
      </c>
      <c r="IM37" t="e">
        <f>AND(medidas!J34,"AAAAAFU+f/Y=")</f>
        <v>#VALUE!</v>
      </c>
      <c r="IN37" t="e">
        <f>AND(medidas!K34,"AAAAAFU+f/c=")</f>
        <v>#VALUE!</v>
      </c>
      <c r="IO37" t="e">
        <f>AND(medidas!L34,"AAAAAFU+f/g=")</f>
        <v>#VALUE!</v>
      </c>
      <c r="IP37" t="e">
        <f>AND(medidas!M34,"AAAAAFU+f/k=")</f>
        <v>#VALUE!</v>
      </c>
      <c r="IQ37" t="e">
        <f>AND(medidas!N34,"AAAAAFU+f/o=")</f>
        <v>#VALUE!</v>
      </c>
      <c r="IR37" t="e">
        <f>AND(medidas!O34,"AAAAAFU+f/s=")</f>
        <v>#VALUE!</v>
      </c>
      <c r="IS37" t="e">
        <f>AND(medidas!P34,"AAAAAFU+f/w=")</f>
        <v>#VALUE!</v>
      </c>
      <c r="IT37" t="e">
        <f>AND(medidas!Q34,"AAAAAFU+f/0=")</f>
        <v>#VALUE!</v>
      </c>
      <c r="IU37" t="e">
        <f>AND(medidas!R34,"AAAAAFU+f/4=")</f>
        <v>#VALUE!</v>
      </c>
      <c r="IV37" t="e">
        <f>AND(medidas!S34,"AAAAAFU+f/8=")</f>
        <v>#VALUE!</v>
      </c>
    </row>
    <row r="38" spans="1:256" x14ac:dyDescent="0.2">
      <c r="A38" t="e">
        <f>AND(medidas!T34,"AAAAACb3eQA=")</f>
        <v>#VALUE!</v>
      </c>
      <c r="B38" t="e">
        <f>AND(medidas!U34,"AAAAACb3eQE=")</f>
        <v>#VALUE!</v>
      </c>
      <c r="C38" t="e">
        <f>AND(medidas!V34,"AAAAACb3eQI=")</f>
        <v>#VALUE!</v>
      </c>
      <c r="D38" t="e">
        <f>AND(medidas!W34,"AAAAACb3eQM=")</f>
        <v>#VALUE!</v>
      </c>
      <c r="E38" t="e">
        <f>AND(medidas!X34,"AAAAACb3eQQ=")</f>
        <v>#VALUE!</v>
      </c>
      <c r="F38" t="e">
        <f>AND(medidas!Y34,"AAAAACb3eQU=")</f>
        <v>#VALUE!</v>
      </c>
      <c r="G38" t="e">
        <f>AND(medidas!Z34,"AAAAACb3eQY=")</f>
        <v>#VALUE!</v>
      </c>
      <c r="H38" t="e">
        <f>AND(medidas!AA34,"AAAAACb3eQc=")</f>
        <v>#VALUE!</v>
      </c>
      <c r="I38" t="e">
        <f>AND(medidas!AB34,"AAAAACb3eQg=")</f>
        <v>#VALUE!</v>
      </c>
      <c r="J38" t="e">
        <f>AND(medidas!AC34,"AAAAACb3eQk=")</f>
        <v>#VALUE!</v>
      </c>
      <c r="K38" t="e">
        <f>AND(medidas!AD34,"AAAAACb3eQo=")</f>
        <v>#VALUE!</v>
      </c>
      <c r="L38" t="e">
        <f>AND(medidas!AE34,"AAAAACb3eQs=")</f>
        <v>#VALUE!</v>
      </c>
      <c r="M38" t="e">
        <f>AND(medidas!AF34,"AAAAACb3eQw=")</f>
        <v>#VALUE!</v>
      </c>
      <c r="N38" t="e">
        <f>AND(medidas!AG34,"AAAAACb3eQ0=")</f>
        <v>#VALUE!</v>
      </c>
      <c r="O38" t="e">
        <f>AND(medidas!AH34,"AAAAACb3eQ4=")</f>
        <v>#VALUE!</v>
      </c>
      <c r="P38" t="e">
        <f>AND(medidas!AI34,"AAAAACb3eQ8=")</f>
        <v>#VALUE!</v>
      </c>
      <c r="Q38" t="e">
        <f>AND(medidas!AJ34,"AAAAACb3eRA=")</f>
        <v>#VALUE!</v>
      </c>
      <c r="R38" t="e">
        <f>AND(medidas!AK34,"AAAAACb3eRE=")</f>
        <v>#VALUE!</v>
      </c>
      <c r="S38" t="e">
        <f>AND(medidas!AL34,"AAAAACb3eRI=")</f>
        <v>#VALUE!</v>
      </c>
      <c r="T38" t="e">
        <f>AND(medidas!AM34,"AAAAACb3eRM=")</f>
        <v>#VALUE!</v>
      </c>
      <c r="U38" t="e">
        <f>AND(medidas!AN34,"AAAAACb3eRQ=")</f>
        <v>#VALUE!</v>
      </c>
      <c r="V38" t="e">
        <f>AND(medidas!AO34,"AAAAACb3eRU=")</f>
        <v>#VALUE!</v>
      </c>
      <c r="W38" t="e">
        <f>AND(medidas!AP34,"AAAAACb3eRY=")</f>
        <v>#VALUE!</v>
      </c>
      <c r="X38" t="e">
        <f>AND(medidas!AQ34,"AAAAACb3eRc=")</f>
        <v>#VALUE!</v>
      </c>
      <c r="Y38" t="e">
        <f>AND(medidas!AR34,"AAAAACb3eRg=")</f>
        <v>#VALUE!</v>
      </c>
      <c r="Z38" t="e">
        <f>AND(medidas!AS34,"AAAAACb3eRk=")</f>
        <v>#VALUE!</v>
      </c>
      <c r="AA38" t="e">
        <f>AND(medidas!AT34,"AAAAACb3eRo=")</f>
        <v>#VALUE!</v>
      </c>
      <c r="AB38" t="e">
        <f>AND(medidas!AU34,"AAAAACb3eRs=")</f>
        <v>#VALUE!</v>
      </c>
      <c r="AC38" t="e">
        <f>AND(medidas!AV34,"AAAAACb3eRw=")</f>
        <v>#VALUE!</v>
      </c>
      <c r="AD38" t="e">
        <f>AND(medidas!AW34,"AAAAACb3eR0=")</f>
        <v>#VALUE!</v>
      </c>
      <c r="AE38" t="e">
        <f>AND(medidas!AX34,"AAAAACb3eR4=")</f>
        <v>#VALUE!</v>
      </c>
      <c r="AF38" t="e">
        <f>AND(medidas!AY34,"AAAAACb3eR8=")</f>
        <v>#VALUE!</v>
      </c>
      <c r="AG38" t="e">
        <f>AND(medidas!AZ34,"AAAAACb3eSA=")</f>
        <v>#VALUE!</v>
      </c>
      <c r="AH38" t="e">
        <f>AND(medidas!BA34,"AAAAACb3eSE=")</f>
        <v>#VALUE!</v>
      </c>
      <c r="AI38" t="e">
        <f>AND(medidas!BB34,"AAAAACb3eSI=")</f>
        <v>#VALUE!</v>
      </c>
      <c r="AJ38" t="e">
        <f>AND(medidas!BC34,"AAAAACb3eSM=")</f>
        <v>#VALUE!</v>
      </c>
      <c r="AK38" t="e">
        <f>AND(medidas!BD34,"AAAAACb3eSQ=")</f>
        <v>#VALUE!</v>
      </c>
      <c r="AL38" t="e">
        <f>AND(medidas!BE34,"AAAAACb3eSU=")</f>
        <v>#VALUE!</v>
      </c>
      <c r="AM38" t="e">
        <f>AND(medidas!BF34,"AAAAACb3eSY=")</f>
        <v>#VALUE!</v>
      </c>
      <c r="AN38" t="e">
        <f>AND(medidas!BG34,"AAAAACb3eSc=")</f>
        <v>#VALUE!</v>
      </c>
      <c r="AO38" t="e">
        <f>AND(medidas!BH34,"AAAAACb3eSg=")</f>
        <v>#VALUE!</v>
      </c>
      <c r="AP38" t="e">
        <f>AND(medidas!BI34,"AAAAACb3eSk=")</f>
        <v>#VALUE!</v>
      </c>
      <c r="AQ38" t="e">
        <f>AND(medidas!BJ34,"AAAAACb3eSo=")</f>
        <v>#VALUE!</v>
      </c>
      <c r="AR38" t="e">
        <f>AND(medidas!BK34,"AAAAACb3eSs=")</f>
        <v>#VALUE!</v>
      </c>
      <c r="AS38" t="e">
        <f>AND(medidas!BL34,"AAAAACb3eSw=")</f>
        <v>#VALUE!</v>
      </c>
      <c r="AT38" t="e">
        <f>AND(medidas!BM34,"AAAAACb3eS0=")</f>
        <v>#VALUE!</v>
      </c>
      <c r="AU38" t="e">
        <f>AND(medidas!BN34,"AAAAACb3eS4=")</f>
        <v>#VALUE!</v>
      </c>
      <c r="AV38" t="e">
        <f>AND(medidas!BO34,"AAAAACb3eS8=")</f>
        <v>#VALUE!</v>
      </c>
      <c r="AW38" t="e">
        <f>AND(medidas!BP34,"AAAAACb3eTA=")</f>
        <v>#VALUE!</v>
      </c>
      <c r="AX38" t="e">
        <f>AND(medidas!BQ34,"AAAAACb3eTE=")</f>
        <v>#VALUE!</v>
      </c>
      <c r="AY38" t="e">
        <f>AND(medidas!BR34,"AAAAACb3eTI=")</f>
        <v>#VALUE!</v>
      </c>
      <c r="AZ38" t="e">
        <f>AND(medidas!BS34,"AAAAACb3eTM=")</f>
        <v>#VALUE!</v>
      </c>
      <c r="BA38" t="e">
        <f>AND(medidas!BT34,"AAAAACb3eTQ=")</f>
        <v>#VALUE!</v>
      </c>
      <c r="BB38" t="e">
        <f>AND(medidas!BU34,"AAAAACb3eTU=")</f>
        <v>#VALUE!</v>
      </c>
      <c r="BC38" t="e">
        <f>AND(medidas!BV34,"AAAAACb3eTY=")</f>
        <v>#VALUE!</v>
      </c>
      <c r="BD38" t="e">
        <f>AND(medidas!BW34,"AAAAACb3eTc=")</f>
        <v>#VALUE!</v>
      </c>
      <c r="BE38" t="e">
        <f>AND(medidas!BX34,"AAAAACb3eTg=")</f>
        <v>#VALUE!</v>
      </c>
      <c r="BF38" t="e">
        <f>AND(medidas!BY34,"AAAAACb3eTk=")</f>
        <v>#VALUE!</v>
      </c>
      <c r="BG38">
        <f>IF(medidas!35:35,"AAAAACb3eTo=",0)</f>
        <v>0</v>
      </c>
      <c r="BH38" t="e">
        <f>AND(medidas!B35,"AAAAACb3eTs=")</f>
        <v>#VALUE!</v>
      </c>
      <c r="BI38" t="e">
        <f>AND(medidas!C35,"AAAAACb3eTw=")</f>
        <v>#VALUE!</v>
      </c>
      <c r="BJ38" t="e">
        <f>AND(medidas!D35,"AAAAACb3eT0=")</f>
        <v>#VALUE!</v>
      </c>
      <c r="BK38" t="e">
        <f>AND(medidas!E35,"AAAAACb3eT4=")</f>
        <v>#VALUE!</v>
      </c>
      <c r="BL38" t="e">
        <f>AND(medidas!F35,"AAAAACb3eT8=")</f>
        <v>#VALUE!</v>
      </c>
      <c r="BM38" t="e">
        <f>AND(medidas!G35,"AAAAACb3eUA=")</f>
        <v>#VALUE!</v>
      </c>
      <c r="BN38" t="e">
        <f>AND(medidas!H35,"AAAAACb3eUE=")</f>
        <v>#VALUE!</v>
      </c>
      <c r="BO38" t="e">
        <f>AND(medidas!I35,"AAAAACb3eUI=")</f>
        <v>#VALUE!</v>
      </c>
      <c r="BP38" t="e">
        <f>AND(medidas!J35,"AAAAACb3eUM=")</f>
        <v>#VALUE!</v>
      </c>
      <c r="BQ38" t="e">
        <f>AND(medidas!K35,"AAAAACb3eUQ=")</f>
        <v>#VALUE!</v>
      </c>
      <c r="BR38" t="e">
        <f>AND(medidas!L35,"AAAAACb3eUU=")</f>
        <v>#VALUE!</v>
      </c>
      <c r="BS38" t="e">
        <f>AND(medidas!M35,"AAAAACb3eUY=")</f>
        <v>#VALUE!</v>
      </c>
      <c r="BT38" t="e">
        <f>AND(medidas!N35,"AAAAACb3eUc=")</f>
        <v>#VALUE!</v>
      </c>
      <c r="BU38" t="e">
        <f>AND(medidas!O35,"AAAAACb3eUg=")</f>
        <v>#VALUE!</v>
      </c>
      <c r="BV38" t="e">
        <f>AND(medidas!P35,"AAAAACb3eUk=")</f>
        <v>#VALUE!</v>
      </c>
      <c r="BW38" t="e">
        <f>AND(medidas!Q35,"AAAAACb3eUo=")</f>
        <v>#VALUE!</v>
      </c>
      <c r="BX38" t="e">
        <f>AND(medidas!R35,"AAAAACb3eUs=")</f>
        <v>#VALUE!</v>
      </c>
      <c r="BY38" t="e">
        <f>AND(medidas!S35,"AAAAACb3eUw=")</f>
        <v>#VALUE!</v>
      </c>
      <c r="BZ38" t="e">
        <f>AND(medidas!T35,"AAAAACb3eU0=")</f>
        <v>#VALUE!</v>
      </c>
      <c r="CA38" t="e">
        <f>AND(medidas!U35,"AAAAACb3eU4=")</f>
        <v>#VALUE!</v>
      </c>
      <c r="CB38" t="e">
        <f>AND(medidas!V35,"AAAAACb3eU8=")</f>
        <v>#VALUE!</v>
      </c>
      <c r="CC38" t="e">
        <f>AND(medidas!W35,"AAAAACb3eVA=")</f>
        <v>#VALUE!</v>
      </c>
      <c r="CD38" t="e">
        <f>AND(medidas!X35,"AAAAACb3eVE=")</f>
        <v>#VALUE!</v>
      </c>
      <c r="CE38" t="e">
        <f>AND(medidas!Y35,"AAAAACb3eVI=")</f>
        <v>#VALUE!</v>
      </c>
      <c r="CF38" t="e">
        <f>AND(medidas!Z35,"AAAAACb3eVM=")</f>
        <v>#VALUE!</v>
      </c>
      <c r="CG38" t="e">
        <f>AND(medidas!AA35,"AAAAACb3eVQ=")</f>
        <v>#VALUE!</v>
      </c>
      <c r="CH38" t="e">
        <f>AND(medidas!AB35,"AAAAACb3eVU=")</f>
        <v>#VALUE!</v>
      </c>
      <c r="CI38" t="e">
        <f>AND(medidas!AC35,"AAAAACb3eVY=")</f>
        <v>#VALUE!</v>
      </c>
      <c r="CJ38" t="e">
        <f>AND(medidas!AD35,"AAAAACb3eVc=")</f>
        <v>#VALUE!</v>
      </c>
      <c r="CK38" t="e">
        <f>AND(medidas!AE35,"AAAAACb3eVg=")</f>
        <v>#VALUE!</v>
      </c>
      <c r="CL38" t="e">
        <f>AND(medidas!AF35,"AAAAACb3eVk=")</f>
        <v>#VALUE!</v>
      </c>
      <c r="CM38" t="e">
        <f>AND(medidas!AG35,"AAAAACb3eVo=")</f>
        <v>#VALUE!</v>
      </c>
      <c r="CN38" t="e">
        <f>AND(medidas!AH35,"AAAAACb3eVs=")</f>
        <v>#VALUE!</v>
      </c>
      <c r="CO38" t="e">
        <f>AND(medidas!AI35,"AAAAACb3eVw=")</f>
        <v>#VALUE!</v>
      </c>
      <c r="CP38" t="e">
        <f>AND(medidas!AJ35,"AAAAACb3eV0=")</f>
        <v>#VALUE!</v>
      </c>
      <c r="CQ38" t="e">
        <f>AND(medidas!AK35,"AAAAACb3eV4=")</f>
        <v>#VALUE!</v>
      </c>
      <c r="CR38" t="e">
        <f>AND(medidas!AL35,"AAAAACb3eV8=")</f>
        <v>#VALUE!</v>
      </c>
      <c r="CS38" t="e">
        <f>AND(medidas!AM35,"AAAAACb3eWA=")</f>
        <v>#VALUE!</v>
      </c>
      <c r="CT38" t="e">
        <f>AND(medidas!AN35,"AAAAACb3eWE=")</f>
        <v>#VALUE!</v>
      </c>
      <c r="CU38" t="e">
        <f>AND(medidas!AO35,"AAAAACb3eWI=")</f>
        <v>#VALUE!</v>
      </c>
      <c r="CV38" t="e">
        <f>AND(medidas!AP35,"AAAAACb3eWM=")</f>
        <v>#VALUE!</v>
      </c>
      <c r="CW38" t="e">
        <f>AND(medidas!AQ35,"AAAAACb3eWQ=")</f>
        <v>#VALUE!</v>
      </c>
      <c r="CX38" t="e">
        <f>AND(medidas!AR35,"AAAAACb3eWU=")</f>
        <v>#VALUE!</v>
      </c>
      <c r="CY38" t="e">
        <f>AND(medidas!AS35,"AAAAACb3eWY=")</f>
        <v>#VALUE!</v>
      </c>
      <c r="CZ38" t="e">
        <f>AND(medidas!AT35,"AAAAACb3eWc=")</f>
        <v>#VALUE!</v>
      </c>
      <c r="DA38" t="e">
        <f>AND(medidas!AU35,"AAAAACb3eWg=")</f>
        <v>#VALUE!</v>
      </c>
      <c r="DB38" t="e">
        <f>AND(medidas!AV35,"AAAAACb3eWk=")</f>
        <v>#VALUE!</v>
      </c>
      <c r="DC38" t="e">
        <f>AND(medidas!AW35,"AAAAACb3eWo=")</f>
        <v>#VALUE!</v>
      </c>
      <c r="DD38" t="e">
        <f>AND(medidas!AX35,"AAAAACb3eWs=")</f>
        <v>#VALUE!</v>
      </c>
      <c r="DE38" t="e">
        <f>AND(medidas!AY35,"AAAAACb3eWw=")</f>
        <v>#VALUE!</v>
      </c>
      <c r="DF38" t="e">
        <f>AND(medidas!AZ35,"AAAAACb3eW0=")</f>
        <v>#VALUE!</v>
      </c>
      <c r="DG38" t="e">
        <f>AND(medidas!BA35,"AAAAACb3eW4=")</f>
        <v>#VALUE!</v>
      </c>
      <c r="DH38" t="e">
        <f>AND(medidas!BB35,"AAAAACb3eW8=")</f>
        <v>#VALUE!</v>
      </c>
      <c r="DI38" t="e">
        <f>AND(medidas!BC35,"AAAAACb3eXA=")</f>
        <v>#VALUE!</v>
      </c>
      <c r="DJ38" t="e">
        <f>AND(medidas!BD35,"AAAAACb3eXE=")</f>
        <v>#VALUE!</v>
      </c>
      <c r="DK38" t="e">
        <f>AND(medidas!BE35,"AAAAACb3eXI=")</f>
        <v>#VALUE!</v>
      </c>
      <c r="DL38" t="e">
        <f>AND(medidas!BF35,"AAAAACb3eXM=")</f>
        <v>#VALUE!</v>
      </c>
      <c r="DM38" t="e">
        <f>AND(medidas!BG35,"AAAAACb3eXQ=")</f>
        <v>#VALUE!</v>
      </c>
      <c r="DN38" t="e">
        <f>AND(medidas!BH35,"AAAAACb3eXU=")</f>
        <v>#VALUE!</v>
      </c>
      <c r="DO38" t="e">
        <f>AND(medidas!BI35,"AAAAACb3eXY=")</f>
        <v>#VALUE!</v>
      </c>
      <c r="DP38" t="e">
        <f>AND(medidas!BJ35,"AAAAACb3eXc=")</f>
        <v>#VALUE!</v>
      </c>
      <c r="DQ38" t="e">
        <f>AND(medidas!BK35,"AAAAACb3eXg=")</f>
        <v>#VALUE!</v>
      </c>
      <c r="DR38" t="e">
        <f>AND(medidas!BL35,"AAAAACb3eXk=")</f>
        <v>#VALUE!</v>
      </c>
      <c r="DS38" t="e">
        <f>AND(medidas!BM35,"AAAAACb3eXo=")</f>
        <v>#VALUE!</v>
      </c>
      <c r="DT38" t="e">
        <f>AND(medidas!BN35,"AAAAACb3eXs=")</f>
        <v>#VALUE!</v>
      </c>
      <c r="DU38" t="e">
        <f>AND(medidas!BO35,"AAAAACb3eXw=")</f>
        <v>#VALUE!</v>
      </c>
      <c r="DV38" t="e">
        <f>AND(medidas!BP35,"AAAAACb3eX0=")</f>
        <v>#VALUE!</v>
      </c>
      <c r="DW38" t="e">
        <f>AND(medidas!BQ35,"AAAAACb3eX4=")</f>
        <v>#VALUE!</v>
      </c>
      <c r="DX38" t="e">
        <f>AND(medidas!BR35,"AAAAACb3eX8=")</f>
        <v>#VALUE!</v>
      </c>
      <c r="DY38" t="e">
        <f>AND(medidas!BS35,"AAAAACb3eYA=")</f>
        <v>#VALUE!</v>
      </c>
      <c r="DZ38" t="e">
        <f>AND(medidas!BT35,"AAAAACb3eYE=")</f>
        <v>#VALUE!</v>
      </c>
      <c r="EA38" t="e">
        <f>AND(medidas!BU35,"AAAAACb3eYI=")</f>
        <v>#VALUE!</v>
      </c>
      <c r="EB38" t="e">
        <f>AND(medidas!BV35,"AAAAACb3eYM=")</f>
        <v>#VALUE!</v>
      </c>
      <c r="EC38" t="e">
        <f>AND(medidas!BW35,"AAAAACb3eYQ=")</f>
        <v>#VALUE!</v>
      </c>
      <c r="ED38" t="e">
        <f>AND(medidas!BX35,"AAAAACb3eYU=")</f>
        <v>#VALUE!</v>
      </c>
      <c r="EE38" t="e">
        <f>AND(medidas!BY35,"AAAAACb3eYY=")</f>
        <v>#VALUE!</v>
      </c>
      <c r="EF38">
        <f>IF(medidas!36:36,"AAAAACb3eYc=",0)</f>
        <v>0</v>
      </c>
      <c r="EG38" t="e">
        <f>AND(medidas!B36,"AAAAACb3eYg=")</f>
        <v>#VALUE!</v>
      </c>
      <c r="EH38" t="e">
        <f>AND(medidas!C36,"AAAAACb3eYk=")</f>
        <v>#VALUE!</v>
      </c>
      <c r="EI38" t="e">
        <f>AND(medidas!D36,"AAAAACb3eYo=")</f>
        <v>#VALUE!</v>
      </c>
      <c r="EJ38" t="e">
        <f>AND(medidas!E36,"AAAAACb3eYs=")</f>
        <v>#VALUE!</v>
      </c>
      <c r="EK38" t="e">
        <f>AND(medidas!F36,"AAAAACb3eYw=")</f>
        <v>#VALUE!</v>
      </c>
      <c r="EL38" t="e">
        <f>AND(medidas!G36,"AAAAACb3eY0=")</f>
        <v>#VALUE!</v>
      </c>
      <c r="EM38" t="e">
        <f>AND(medidas!H36,"AAAAACb3eY4=")</f>
        <v>#VALUE!</v>
      </c>
      <c r="EN38" t="e">
        <f>AND(medidas!I36,"AAAAACb3eY8=")</f>
        <v>#VALUE!</v>
      </c>
      <c r="EO38" t="e">
        <f>AND(medidas!J36,"AAAAACb3eZA=")</f>
        <v>#VALUE!</v>
      </c>
      <c r="EP38" t="e">
        <f>AND(medidas!K36,"AAAAACb3eZE=")</f>
        <v>#VALUE!</v>
      </c>
      <c r="EQ38" t="e">
        <f>AND(medidas!L36,"AAAAACb3eZI=")</f>
        <v>#VALUE!</v>
      </c>
      <c r="ER38" t="e">
        <f>AND(medidas!M36,"AAAAACb3eZM=")</f>
        <v>#VALUE!</v>
      </c>
      <c r="ES38" t="e">
        <f>AND(medidas!N36,"AAAAACb3eZQ=")</f>
        <v>#VALUE!</v>
      </c>
      <c r="ET38" t="e">
        <f>AND(medidas!O36,"AAAAACb3eZU=")</f>
        <v>#VALUE!</v>
      </c>
      <c r="EU38" t="e">
        <f>AND(medidas!P36,"AAAAACb3eZY=")</f>
        <v>#VALUE!</v>
      </c>
      <c r="EV38" t="e">
        <f>AND(medidas!Q36,"AAAAACb3eZc=")</f>
        <v>#VALUE!</v>
      </c>
      <c r="EW38" t="e">
        <f>AND(medidas!R36,"AAAAACb3eZg=")</f>
        <v>#VALUE!</v>
      </c>
      <c r="EX38" t="e">
        <f>AND(medidas!S36,"AAAAACb3eZk=")</f>
        <v>#VALUE!</v>
      </c>
      <c r="EY38" t="e">
        <f>AND(medidas!T36,"AAAAACb3eZo=")</f>
        <v>#VALUE!</v>
      </c>
      <c r="EZ38" t="e">
        <f>AND(medidas!U36,"AAAAACb3eZs=")</f>
        <v>#VALUE!</v>
      </c>
      <c r="FA38" t="e">
        <f>AND(medidas!V36,"AAAAACb3eZw=")</f>
        <v>#VALUE!</v>
      </c>
      <c r="FB38" t="e">
        <f>AND(medidas!W36,"AAAAACb3eZ0=")</f>
        <v>#VALUE!</v>
      </c>
      <c r="FC38" t="e">
        <f>AND(medidas!X36,"AAAAACb3eZ4=")</f>
        <v>#VALUE!</v>
      </c>
      <c r="FD38" t="e">
        <f>AND(medidas!Y36,"AAAAACb3eZ8=")</f>
        <v>#VALUE!</v>
      </c>
      <c r="FE38" t="e">
        <f>AND(medidas!Z36,"AAAAACb3eaA=")</f>
        <v>#VALUE!</v>
      </c>
      <c r="FF38" t="e">
        <f>AND(medidas!AA36,"AAAAACb3eaE=")</f>
        <v>#VALUE!</v>
      </c>
      <c r="FG38" t="e">
        <f>AND(medidas!AB36,"AAAAACb3eaI=")</f>
        <v>#VALUE!</v>
      </c>
      <c r="FH38" t="e">
        <f>AND(medidas!AC36,"AAAAACb3eaM=")</f>
        <v>#VALUE!</v>
      </c>
      <c r="FI38" t="e">
        <f>AND(medidas!AD36,"AAAAACb3eaQ=")</f>
        <v>#VALUE!</v>
      </c>
      <c r="FJ38" t="e">
        <f>AND(medidas!AE36,"AAAAACb3eaU=")</f>
        <v>#VALUE!</v>
      </c>
      <c r="FK38" t="e">
        <f>AND(medidas!AF36,"AAAAACb3eaY=")</f>
        <v>#VALUE!</v>
      </c>
      <c r="FL38" t="e">
        <f>AND(medidas!AG36,"AAAAACb3eac=")</f>
        <v>#VALUE!</v>
      </c>
      <c r="FM38" t="e">
        <f>AND(medidas!AH36,"AAAAACb3eag=")</f>
        <v>#VALUE!</v>
      </c>
      <c r="FN38" t="e">
        <f>AND(medidas!AI36,"AAAAACb3eak=")</f>
        <v>#VALUE!</v>
      </c>
      <c r="FO38" t="e">
        <f>AND(medidas!AJ36,"AAAAACb3eao=")</f>
        <v>#VALUE!</v>
      </c>
      <c r="FP38" t="e">
        <f>AND(medidas!AK36,"AAAAACb3eas=")</f>
        <v>#VALUE!</v>
      </c>
      <c r="FQ38" t="e">
        <f>AND(medidas!AL36,"AAAAACb3eaw=")</f>
        <v>#VALUE!</v>
      </c>
      <c r="FR38" t="e">
        <f>AND(medidas!AM36,"AAAAACb3ea0=")</f>
        <v>#VALUE!</v>
      </c>
      <c r="FS38" t="e">
        <f>AND(medidas!AN36,"AAAAACb3ea4=")</f>
        <v>#VALUE!</v>
      </c>
      <c r="FT38" t="e">
        <f>AND(medidas!AO36,"AAAAACb3ea8=")</f>
        <v>#VALUE!</v>
      </c>
      <c r="FU38" t="e">
        <f>AND(medidas!AP36,"AAAAACb3ebA=")</f>
        <v>#VALUE!</v>
      </c>
      <c r="FV38" t="e">
        <f>AND(medidas!AQ36,"AAAAACb3ebE=")</f>
        <v>#VALUE!</v>
      </c>
      <c r="FW38" t="e">
        <f>AND(medidas!AR36,"AAAAACb3ebI=")</f>
        <v>#VALUE!</v>
      </c>
      <c r="FX38" t="e">
        <f>AND(medidas!AS36,"AAAAACb3ebM=")</f>
        <v>#VALUE!</v>
      </c>
      <c r="FY38" t="e">
        <f>AND(medidas!AT36,"AAAAACb3ebQ=")</f>
        <v>#VALUE!</v>
      </c>
      <c r="FZ38" t="e">
        <f>AND(medidas!AU36,"AAAAACb3ebU=")</f>
        <v>#VALUE!</v>
      </c>
      <c r="GA38" t="e">
        <f>AND(medidas!AV36,"AAAAACb3ebY=")</f>
        <v>#VALUE!</v>
      </c>
      <c r="GB38" t="e">
        <f>AND(medidas!AW36,"AAAAACb3ebc=")</f>
        <v>#VALUE!</v>
      </c>
      <c r="GC38" t="e">
        <f>AND(medidas!AX36,"AAAAACb3ebg=")</f>
        <v>#VALUE!</v>
      </c>
      <c r="GD38" t="e">
        <f>AND(medidas!AY36,"AAAAACb3ebk=")</f>
        <v>#VALUE!</v>
      </c>
      <c r="GE38" t="e">
        <f>AND(medidas!AZ36,"AAAAACb3ebo=")</f>
        <v>#VALUE!</v>
      </c>
      <c r="GF38" t="e">
        <f>AND(medidas!BA36,"AAAAACb3ebs=")</f>
        <v>#VALUE!</v>
      </c>
      <c r="GG38" t="e">
        <f>AND(medidas!BB36,"AAAAACb3ebw=")</f>
        <v>#VALUE!</v>
      </c>
      <c r="GH38" t="e">
        <f>AND(medidas!BC36,"AAAAACb3eb0=")</f>
        <v>#VALUE!</v>
      </c>
      <c r="GI38" t="e">
        <f>AND(medidas!BD36,"AAAAACb3eb4=")</f>
        <v>#VALUE!</v>
      </c>
      <c r="GJ38" t="e">
        <f>AND(medidas!BE36,"AAAAACb3eb8=")</f>
        <v>#VALUE!</v>
      </c>
      <c r="GK38" t="e">
        <f>AND(medidas!BF36,"AAAAACb3ecA=")</f>
        <v>#VALUE!</v>
      </c>
      <c r="GL38" t="e">
        <f>AND(medidas!BG36,"AAAAACb3ecE=")</f>
        <v>#VALUE!</v>
      </c>
      <c r="GM38" t="e">
        <f>AND(medidas!BH36,"AAAAACb3ecI=")</f>
        <v>#VALUE!</v>
      </c>
      <c r="GN38" t="e">
        <f>AND(medidas!BI36,"AAAAACb3ecM=")</f>
        <v>#VALUE!</v>
      </c>
      <c r="GO38" t="e">
        <f>AND(medidas!BJ36,"AAAAACb3ecQ=")</f>
        <v>#VALUE!</v>
      </c>
      <c r="GP38" t="e">
        <f>AND(medidas!BK36,"AAAAACb3ecU=")</f>
        <v>#VALUE!</v>
      </c>
      <c r="GQ38" t="e">
        <f>AND(medidas!BL36,"AAAAACb3ecY=")</f>
        <v>#VALUE!</v>
      </c>
      <c r="GR38" t="e">
        <f>AND(medidas!BM36,"AAAAACb3ecc=")</f>
        <v>#VALUE!</v>
      </c>
      <c r="GS38" t="e">
        <f>AND(medidas!BN36,"AAAAACb3ecg=")</f>
        <v>#VALUE!</v>
      </c>
      <c r="GT38" t="e">
        <f>AND(medidas!BO36,"AAAAACb3eck=")</f>
        <v>#VALUE!</v>
      </c>
      <c r="GU38" t="e">
        <f>AND(medidas!BP36,"AAAAACb3eco=")</f>
        <v>#VALUE!</v>
      </c>
      <c r="GV38" t="e">
        <f>AND(medidas!BQ36,"AAAAACb3ecs=")</f>
        <v>#VALUE!</v>
      </c>
      <c r="GW38" t="e">
        <f>AND(medidas!BR36,"AAAAACb3ecw=")</f>
        <v>#VALUE!</v>
      </c>
      <c r="GX38" t="e">
        <f>AND(medidas!BS36,"AAAAACb3ec0=")</f>
        <v>#VALUE!</v>
      </c>
      <c r="GY38" t="e">
        <f>AND(medidas!BT36,"AAAAACb3ec4=")</f>
        <v>#VALUE!</v>
      </c>
      <c r="GZ38" t="e">
        <f>AND(medidas!BU36,"AAAAACb3ec8=")</f>
        <v>#VALUE!</v>
      </c>
      <c r="HA38" t="e">
        <f>AND(medidas!BV36,"AAAAACb3edA=")</f>
        <v>#VALUE!</v>
      </c>
      <c r="HB38" t="e">
        <f>AND(medidas!BW36,"AAAAACb3edE=")</f>
        <v>#VALUE!</v>
      </c>
      <c r="HC38" t="e">
        <f>AND(medidas!BX36,"AAAAACb3edI=")</f>
        <v>#VALUE!</v>
      </c>
      <c r="HD38" t="e">
        <f>AND(medidas!BY36,"AAAAACb3edM=")</f>
        <v>#VALUE!</v>
      </c>
      <c r="HE38">
        <f>IF(medidas!37:37,"AAAAACb3edQ=",0)</f>
        <v>0</v>
      </c>
      <c r="HF38" t="e">
        <f>AND(medidas!B37,"AAAAACb3edU=")</f>
        <v>#VALUE!</v>
      </c>
      <c r="HG38" t="e">
        <f>AND(medidas!C37,"AAAAACb3edY=")</f>
        <v>#VALUE!</v>
      </c>
      <c r="HH38" t="e">
        <f>AND(medidas!D37,"AAAAACb3edc=")</f>
        <v>#VALUE!</v>
      </c>
      <c r="HI38" t="e">
        <f>AND(medidas!E37,"AAAAACb3edg=")</f>
        <v>#VALUE!</v>
      </c>
      <c r="HJ38" t="e">
        <f>AND(medidas!F37,"AAAAACb3edk=")</f>
        <v>#VALUE!</v>
      </c>
      <c r="HK38" t="e">
        <f>AND(medidas!G37,"AAAAACb3edo=")</f>
        <v>#VALUE!</v>
      </c>
      <c r="HL38" t="e">
        <f>AND(medidas!H37,"AAAAACb3eds=")</f>
        <v>#VALUE!</v>
      </c>
      <c r="HM38" t="e">
        <f>AND(medidas!I37,"AAAAACb3edw=")</f>
        <v>#VALUE!</v>
      </c>
      <c r="HN38" t="e">
        <f>AND(medidas!J37,"AAAAACb3ed0=")</f>
        <v>#VALUE!</v>
      </c>
      <c r="HO38" t="e">
        <f>AND(medidas!K37,"AAAAACb3ed4=")</f>
        <v>#VALUE!</v>
      </c>
      <c r="HP38" t="e">
        <f>AND(medidas!L37,"AAAAACb3ed8=")</f>
        <v>#VALUE!</v>
      </c>
      <c r="HQ38" t="e">
        <f>AND(medidas!M37,"AAAAACb3eeA=")</f>
        <v>#VALUE!</v>
      </c>
      <c r="HR38" t="e">
        <f>AND(medidas!N37,"AAAAACb3eeE=")</f>
        <v>#VALUE!</v>
      </c>
      <c r="HS38" t="e">
        <f>AND(medidas!O37,"AAAAACb3eeI=")</f>
        <v>#VALUE!</v>
      </c>
      <c r="HT38" t="e">
        <f>AND(medidas!P37,"AAAAACb3eeM=")</f>
        <v>#VALUE!</v>
      </c>
      <c r="HU38" t="e">
        <f>AND(medidas!Q37,"AAAAACb3eeQ=")</f>
        <v>#VALUE!</v>
      </c>
      <c r="HV38" t="e">
        <f>AND(medidas!R37,"AAAAACb3eeU=")</f>
        <v>#VALUE!</v>
      </c>
      <c r="HW38" t="e">
        <f>AND(medidas!S37,"AAAAACb3eeY=")</f>
        <v>#VALUE!</v>
      </c>
      <c r="HX38" t="e">
        <f>AND(medidas!T37,"AAAAACb3eec=")</f>
        <v>#VALUE!</v>
      </c>
      <c r="HY38" t="e">
        <f>AND(medidas!U37,"AAAAACb3eeg=")</f>
        <v>#VALUE!</v>
      </c>
      <c r="HZ38" t="e">
        <f>AND(medidas!V37,"AAAAACb3eek=")</f>
        <v>#VALUE!</v>
      </c>
      <c r="IA38" t="e">
        <f>AND(medidas!W37,"AAAAACb3eeo=")</f>
        <v>#VALUE!</v>
      </c>
      <c r="IB38" t="e">
        <f>AND(medidas!X37,"AAAAACb3ees=")</f>
        <v>#VALUE!</v>
      </c>
      <c r="IC38" t="e">
        <f>AND(medidas!Y37,"AAAAACb3eew=")</f>
        <v>#VALUE!</v>
      </c>
      <c r="ID38" t="e">
        <f>AND(medidas!Z37,"AAAAACb3ee0=")</f>
        <v>#VALUE!</v>
      </c>
      <c r="IE38" t="e">
        <f>AND(medidas!AA37,"AAAAACb3ee4=")</f>
        <v>#VALUE!</v>
      </c>
      <c r="IF38" t="e">
        <f>AND(medidas!AB37,"AAAAACb3ee8=")</f>
        <v>#VALUE!</v>
      </c>
      <c r="IG38" t="e">
        <f>AND(medidas!AC37,"AAAAACb3efA=")</f>
        <v>#VALUE!</v>
      </c>
      <c r="IH38" t="e">
        <f>AND(medidas!AD37,"AAAAACb3efE=")</f>
        <v>#VALUE!</v>
      </c>
      <c r="II38" t="e">
        <f>AND(medidas!AE37,"AAAAACb3efI=")</f>
        <v>#VALUE!</v>
      </c>
      <c r="IJ38" t="e">
        <f>AND(medidas!AF37,"AAAAACb3efM=")</f>
        <v>#VALUE!</v>
      </c>
      <c r="IK38" t="e">
        <f>AND(medidas!AG37,"AAAAACb3efQ=")</f>
        <v>#VALUE!</v>
      </c>
      <c r="IL38" t="e">
        <f>AND(medidas!AH37,"AAAAACb3efU=")</f>
        <v>#VALUE!</v>
      </c>
      <c r="IM38" t="e">
        <f>AND(medidas!AI37,"AAAAACb3efY=")</f>
        <v>#VALUE!</v>
      </c>
      <c r="IN38" t="e">
        <f>AND(medidas!AJ37,"AAAAACb3efc=")</f>
        <v>#VALUE!</v>
      </c>
      <c r="IO38" t="e">
        <f>AND(medidas!AK37,"AAAAACb3efg=")</f>
        <v>#VALUE!</v>
      </c>
      <c r="IP38" t="e">
        <f>AND(medidas!AL37,"AAAAACb3efk=")</f>
        <v>#VALUE!</v>
      </c>
      <c r="IQ38" t="e">
        <f>AND(medidas!AM37,"AAAAACb3efo=")</f>
        <v>#VALUE!</v>
      </c>
      <c r="IR38" t="e">
        <f>AND(medidas!AN37,"AAAAACb3efs=")</f>
        <v>#VALUE!</v>
      </c>
      <c r="IS38" t="e">
        <f>AND(medidas!AO37,"AAAAACb3efw=")</f>
        <v>#VALUE!</v>
      </c>
      <c r="IT38" t="e">
        <f>AND(medidas!AP37,"AAAAACb3ef0=")</f>
        <v>#VALUE!</v>
      </c>
      <c r="IU38" t="e">
        <f>AND(medidas!AQ37,"AAAAACb3ef4=")</f>
        <v>#VALUE!</v>
      </c>
      <c r="IV38" t="e">
        <f>AND(medidas!AR37,"AAAAACb3ef8=")</f>
        <v>#VALUE!</v>
      </c>
    </row>
    <row r="39" spans="1:256" x14ac:dyDescent="0.2">
      <c r="A39" t="e">
        <f>AND(medidas!AS37,"AAAAAH/t/wA=")</f>
        <v>#VALUE!</v>
      </c>
      <c r="B39" t="e">
        <f>AND(medidas!AT37,"AAAAAH/t/wE=")</f>
        <v>#VALUE!</v>
      </c>
      <c r="C39" t="e">
        <f>AND(medidas!AU37,"AAAAAH/t/wI=")</f>
        <v>#VALUE!</v>
      </c>
      <c r="D39" t="e">
        <f>AND(medidas!AV37,"AAAAAH/t/wM=")</f>
        <v>#VALUE!</v>
      </c>
      <c r="E39" t="e">
        <f>AND(medidas!AW37,"AAAAAH/t/wQ=")</f>
        <v>#VALUE!</v>
      </c>
      <c r="F39" t="e">
        <f>AND(medidas!AX37,"AAAAAH/t/wU=")</f>
        <v>#VALUE!</v>
      </c>
      <c r="G39" t="e">
        <f>AND(medidas!AY37,"AAAAAH/t/wY=")</f>
        <v>#VALUE!</v>
      </c>
      <c r="H39" t="e">
        <f>AND(medidas!AZ37,"AAAAAH/t/wc=")</f>
        <v>#VALUE!</v>
      </c>
      <c r="I39" t="e">
        <f>AND(medidas!BA37,"AAAAAH/t/wg=")</f>
        <v>#VALUE!</v>
      </c>
      <c r="J39" t="e">
        <f>AND(medidas!BB37,"AAAAAH/t/wk=")</f>
        <v>#VALUE!</v>
      </c>
      <c r="K39" t="e">
        <f>AND(medidas!BC37,"AAAAAH/t/wo=")</f>
        <v>#VALUE!</v>
      </c>
      <c r="L39" t="e">
        <f>AND(medidas!BD37,"AAAAAH/t/ws=")</f>
        <v>#VALUE!</v>
      </c>
      <c r="M39" t="e">
        <f>AND(medidas!BE37,"AAAAAH/t/ww=")</f>
        <v>#VALUE!</v>
      </c>
      <c r="N39" t="e">
        <f>AND(medidas!BF37,"AAAAAH/t/w0=")</f>
        <v>#VALUE!</v>
      </c>
      <c r="O39" t="e">
        <f>AND(medidas!BG37,"AAAAAH/t/w4=")</f>
        <v>#VALUE!</v>
      </c>
      <c r="P39" t="e">
        <f>AND(medidas!BH37,"AAAAAH/t/w8=")</f>
        <v>#VALUE!</v>
      </c>
      <c r="Q39" t="e">
        <f>AND(medidas!BI37,"AAAAAH/t/xA=")</f>
        <v>#VALUE!</v>
      </c>
      <c r="R39" t="e">
        <f>AND(medidas!BJ37,"AAAAAH/t/xE=")</f>
        <v>#VALUE!</v>
      </c>
      <c r="S39" t="e">
        <f>AND(medidas!BK37,"AAAAAH/t/xI=")</f>
        <v>#VALUE!</v>
      </c>
      <c r="T39" t="e">
        <f>AND(medidas!BL37,"AAAAAH/t/xM=")</f>
        <v>#VALUE!</v>
      </c>
      <c r="U39" t="e">
        <f>AND(medidas!BM37,"AAAAAH/t/xQ=")</f>
        <v>#VALUE!</v>
      </c>
      <c r="V39" t="e">
        <f>AND(medidas!BN37,"AAAAAH/t/xU=")</f>
        <v>#VALUE!</v>
      </c>
      <c r="W39" t="e">
        <f>AND(medidas!BO37,"AAAAAH/t/xY=")</f>
        <v>#VALUE!</v>
      </c>
      <c r="X39" t="e">
        <f>AND(medidas!BP37,"AAAAAH/t/xc=")</f>
        <v>#VALUE!</v>
      </c>
      <c r="Y39" t="e">
        <f>AND(medidas!BQ37,"AAAAAH/t/xg=")</f>
        <v>#VALUE!</v>
      </c>
      <c r="Z39" t="e">
        <f>AND(medidas!BR37,"AAAAAH/t/xk=")</f>
        <v>#VALUE!</v>
      </c>
      <c r="AA39" t="e">
        <f>AND(medidas!BS37,"AAAAAH/t/xo=")</f>
        <v>#VALUE!</v>
      </c>
      <c r="AB39" t="e">
        <f>AND(medidas!BT37,"AAAAAH/t/xs=")</f>
        <v>#VALUE!</v>
      </c>
      <c r="AC39" t="e">
        <f>AND(medidas!BU37,"AAAAAH/t/xw=")</f>
        <v>#VALUE!</v>
      </c>
      <c r="AD39" t="e">
        <f>AND(medidas!BV37,"AAAAAH/t/x0=")</f>
        <v>#VALUE!</v>
      </c>
      <c r="AE39" t="e">
        <f>AND(medidas!BW37,"AAAAAH/t/x4=")</f>
        <v>#VALUE!</v>
      </c>
      <c r="AF39" t="e">
        <f>AND(medidas!BX37,"AAAAAH/t/x8=")</f>
        <v>#VALUE!</v>
      </c>
      <c r="AG39" t="e">
        <f>AND(medidas!BY37,"AAAAAH/t/yA=")</f>
        <v>#VALUE!</v>
      </c>
      <c r="AH39">
        <f>IF(medidas!38:38,"AAAAAH/t/yE=",0)</f>
        <v>0</v>
      </c>
      <c r="AI39" t="e">
        <f>AND(medidas!B38,"AAAAAH/t/yI=")</f>
        <v>#VALUE!</v>
      </c>
      <c r="AJ39" t="e">
        <f>AND(medidas!C38,"AAAAAH/t/yM=")</f>
        <v>#VALUE!</v>
      </c>
      <c r="AK39" t="e">
        <f>AND(medidas!D38,"AAAAAH/t/yQ=")</f>
        <v>#VALUE!</v>
      </c>
      <c r="AL39" t="e">
        <f>AND(medidas!E38,"AAAAAH/t/yU=")</f>
        <v>#VALUE!</v>
      </c>
      <c r="AM39" t="e">
        <f>AND(medidas!F38,"AAAAAH/t/yY=")</f>
        <v>#VALUE!</v>
      </c>
      <c r="AN39" t="e">
        <f>AND(medidas!G38,"AAAAAH/t/yc=")</f>
        <v>#VALUE!</v>
      </c>
      <c r="AO39" t="e">
        <f>AND(medidas!H38,"AAAAAH/t/yg=")</f>
        <v>#VALUE!</v>
      </c>
      <c r="AP39" t="e">
        <f>AND(medidas!I38,"AAAAAH/t/yk=")</f>
        <v>#VALUE!</v>
      </c>
      <c r="AQ39" t="e">
        <f>AND(medidas!J38,"AAAAAH/t/yo=")</f>
        <v>#VALUE!</v>
      </c>
      <c r="AR39" t="e">
        <f>AND(medidas!K38,"AAAAAH/t/ys=")</f>
        <v>#VALUE!</v>
      </c>
      <c r="AS39" t="e">
        <f>AND(medidas!L38,"AAAAAH/t/yw=")</f>
        <v>#VALUE!</v>
      </c>
      <c r="AT39" t="e">
        <f>AND(medidas!M38,"AAAAAH/t/y0=")</f>
        <v>#VALUE!</v>
      </c>
      <c r="AU39" t="e">
        <f>AND(medidas!N38,"AAAAAH/t/y4=")</f>
        <v>#VALUE!</v>
      </c>
      <c r="AV39" t="e">
        <f>AND(medidas!O38,"AAAAAH/t/y8=")</f>
        <v>#VALUE!</v>
      </c>
      <c r="AW39" t="e">
        <f>AND(medidas!P38,"AAAAAH/t/zA=")</f>
        <v>#VALUE!</v>
      </c>
      <c r="AX39" t="e">
        <f>AND(medidas!Q38,"AAAAAH/t/zE=")</f>
        <v>#VALUE!</v>
      </c>
      <c r="AY39" t="e">
        <f>AND(medidas!R38,"AAAAAH/t/zI=")</f>
        <v>#VALUE!</v>
      </c>
      <c r="AZ39" t="e">
        <f>AND(medidas!S38,"AAAAAH/t/zM=")</f>
        <v>#VALUE!</v>
      </c>
      <c r="BA39" t="e">
        <f>AND(medidas!T38,"AAAAAH/t/zQ=")</f>
        <v>#VALUE!</v>
      </c>
      <c r="BB39" t="e">
        <f>AND(medidas!U38,"AAAAAH/t/zU=")</f>
        <v>#VALUE!</v>
      </c>
      <c r="BC39" t="e">
        <f>AND(medidas!V38,"AAAAAH/t/zY=")</f>
        <v>#VALUE!</v>
      </c>
      <c r="BD39" t="e">
        <f>AND(medidas!W38,"AAAAAH/t/zc=")</f>
        <v>#VALUE!</v>
      </c>
      <c r="BE39" t="e">
        <f>AND(medidas!X38,"AAAAAH/t/zg=")</f>
        <v>#VALUE!</v>
      </c>
      <c r="BF39" t="e">
        <f>AND(medidas!Y38,"AAAAAH/t/zk=")</f>
        <v>#VALUE!</v>
      </c>
      <c r="BG39" t="e">
        <f>AND(medidas!Z38,"AAAAAH/t/zo=")</f>
        <v>#VALUE!</v>
      </c>
      <c r="BH39" t="e">
        <f>AND(medidas!AA38,"AAAAAH/t/zs=")</f>
        <v>#VALUE!</v>
      </c>
      <c r="BI39" t="e">
        <f>AND(medidas!AB38,"AAAAAH/t/zw=")</f>
        <v>#VALUE!</v>
      </c>
      <c r="BJ39" t="e">
        <f>AND(medidas!AC38,"AAAAAH/t/z0=")</f>
        <v>#VALUE!</v>
      </c>
      <c r="BK39" t="e">
        <f>AND(medidas!AD38,"AAAAAH/t/z4=")</f>
        <v>#VALUE!</v>
      </c>
      <c r="BL39" t="e">
        <f>AND(medidas!AE38,"AAAAAH/t/z8=")</f>
        <v>#VALUE!</v>
      </c>
      <c r="BM39" t="e">
        <f>AND(medidas!AF38,"AAAAAH/t/0A=")</f>
        <v>#VALUE!</v>
      </c>
      <c r="BN39" t="e">
        <f>AND(medidas!AG38,"AAAAAH/t/0E=")</f>
        <v>#VALUE!</v>
      </c>
      <c r="BO39" t="e">
        <f>AND(medidas!AH38,"AAAAAH/t/0I=")</f>
        <v>#VALUE!</v>
      </c>
      <c r="BP39" t="e">
        <f>AND(medidas!AI38,"AAAAAH/t/0M=")</f>
        <v>#VALUE!</v>
      </c>
      <c r="BQ39" t="e">
        <f>AND(medidas!AJ38,"AAAAAH/t/0Q=")</f>
        <v>#VALUE!</v>
      </c>
      <c r="BR39" t="e">
        <f>AND(medidas!AK38,"AAAAAH/t/0U=")</f>
        <v>#VALUE!</v>
      </c>
      <c r="BS39" t="e">
        <f>AND(medidas!AL38,"AAAAAH/t/0Y=")</f>
        <v>#VALUE!</v>
      </c>
      <c r="BT39" t="e">
        <f>AND(medidas!AM38,"AAAAAH/t/0c=")</f>
        <v>#VALUE!</v>
      </c>
      <c r="BU39" t="e">
        <f>AND(medidas!AN38,"AAAAAH/t/0g=")</f>
        <v>#VALUE!</v>
      </c>
      <c r="BV39" t="e">
        <f>AND(medidas!AO38,"AAAAAH/t/0k=")</f>
        <v>#VALUE!</v>
      </c>
      <c r="BW39" t="e">
        <f>AND(medidas!AP38,"AAAAAH/t/0o=")</f>
        <v>#VALUE!</v>
      </c>
      <c r="BX39" t="e">
        <f>AND(medidas!AQ38,"AAAAAH/t/0s=")</f>
        <v>#VALUE!</v>
      </c>
      <c r="BY39" t="e">
        <f>AND(medidas!AR38,"AAAAAH/t/0w=")</f>
        <v>#VALUE!</v>
      </c>
      <c r="BZ39" t="e">
        <f>AND(medidas!AS38,"AAAAAH/t/00=")</f>
        <v>#VALUE!</v>
      </c>
      <c r="CA39" t="e">
        <f>AND(medidas!AT38,"AAAAAH/t/04=")</f>
        <v>#VALUE!</v>
      </c>
      <c r="CB39" t="e">
        <f>AND(medidas!AU38,"AAAAAH/t/08=")</f>
        <v>#VALUE!</v>
      </c>
      <c r="CC39" t="e">
        <f>AND(medidas!AV38,"AAAAAH/t/1A=")</f>
        <v>#VALUE!</v>
      </c>
      <c r="CD39" t="e">
        <f>AND(medidas!AW38,"AAAAAH/t/1E=")</f>
        <v>#VALUE!</v>
      </c>
      <c r="CE39" t="e">
        <f>AND(medidas!AX38,"AAAAAH/t/1I=")</f>
        <v>#VALUE!</v>
      </c>
      <c r="CF39" t="e">
        <f>AND(medidas!AY38,"AAAAAH/t/1M=")</f>
        <v>#VALUE!</v>
      </c>
      <c r="CG39" t="e">
        <f>AND(medidas!AZ38,"AAAAAH/t/1Q=")</f>
        <v>#VALUE!</v>
      </c>
      <c r="CH39" t="e">
        <f>AND(medidas!BA38,"AAAAAH/t/1U=")</f>
        <v>#VALUE!</v>
      </c>
      <c r="CI39" t="e">
        <f>AND(medidas!BB38,"AAAAAH/t/1Y=")</f>
        <v>#VALUE!</v>
      </c>
      <c r="CJ39" t="e">
        <f>AND(medidas!BC38,"AAAAAH/t/1c=")</f>
        <v>#VALUE!</v>
      </c>
      <c r="CK39" t="e">
        <f>AND(medidas!BD38,"AAAAAH/t/1g=")</f>
        <v>#VALUE!</v>
      </c>
      <c r="CL39" t="e">
        <f>AND(medidas!BE38,"AAAAAH/t/1k=")</f>
        <v>#VALUE!</v>
      </c>
      <c r="CM39" t="e">
        <f>AND(medidas!BF38,"AAAAAH/t/1o=")</f>
        <v>#VALUE!</v>
      </c>
      <c r="CN39" t="e">
        <f>AND(medidas!BG38,"AAAAAH/t/1s=")</f>
        <v>#VALUE!</v>
      </c>
      <c r="CO39" t="e">
        <f>AND(medidas!BH38,"AAAAAH/t/1w=")</f>
        <v>#VALUE!</v>
      </c>
      <c r="CP39" t="e">
        <f>AND(medidas!BI38,"AAAAAH/t/10=")</f>
        <v>#VALUE!</v>
      </c>
      <c r="CQ39" t="e">
        <f>AND(medidas!BJ38,"AAAAAH/t/14=")</f>
        <v>#VALUE!</v>
      </c>
      <c r="CR39" t="e">
        <f>AND(medidas!BK38,"AAAAAH/t/18=")</f>
        <v>#VALUE!</v>
      </c>
      <c r="CS39" t="e">
        <f>AND(medidas!BL38,"AAAAAH/t/2A=")</f>
        <v>#VALUE!</v>
      </c>
      <c r="CT39" t="e">
        <f>AND(medidas!BM38,"AAAAAH/t/2E=")</f>
        <v>#VALUE!</v>
      </c>
      <c r="CU39" t="e">
        <f>AND(medidas!BN38,"AAAAAH/t/2I=")</f>
        <v>#VALUE!</v>
      </c>
      <c r="CV39" t="e">
        <f>AND(medidas!BO38,"AAAAAH/t/2M=")</f>
        <v>#VALUE!</v>
      </c>
      <c r="CW39" t="e">
        <f>AND(medidas!BP38,"AAAAAH/t/2Q=")</f>
        <v>#VALUE!</v>
      </c>
      <c r="CX39" t="e">
        <f>AND(medidas!BQ38,"AAAAAH/t/2U=")</f>
        <v>#VALUE!</v>
      </c>
      <c r="CY39" t="e">
        <f>AND(medidas!BR38,"AAAAAH/t/2Y=")</f>
        <v>#VALUE!</v>
      </c>
      <c r="CZ39" t="e">
        <f>AND(medidas!BS38,"AAAAAH/t/2c=")</f>
        <v>#VALUE!</v>
      </c>
      <c r="DA39" t="e">
        <f>AND(medidas!BT38,"AAAAAH/t/2g=")</f>
        <v>#VALUE!</v>
      </c>
      <c r="DB39" t="e">
        <f>AND(medidas!BU38,"AAAAAH/t/2k=")</f>
        <v>#VALUE!</v>
      </c>
      <c r="DC39" t="e">
        <f>AND(medidas!BV38,"AAAAAH/t/2o=")</f>
        <v>#VALUE!</v>
      </c>
      <c r="DD39" t="e">
        <f>AND(medidas!BW38,"AAAAAH/t/2s=")</f>
        <v>#VALUE!</v>
      </c>
      <c r="DE39" t="e">
        <f>AND(medidas!BX38,"AAAAAH/t/2w=")</f>
        <v>#VALUE!</v>
      </c>
      <c r="DF39" t="e">
        <f>AND(medidas!BY38,"AAAAAH/t/20=")</f>
        <v>#VALUE!</v>
      </c>
      <c r="DG39">
        <f>IF(medidas!39:39,"AAAAAH/t/24=",0)</f>
        <v>0</v>
      </c>
      <c r="DH39" t="e">
        <f>AND(medidas!B39,"AAAAAH/t/28=")</f>
        <v>#VALUE!</v>
      </c>
      <c r="DI39" t="e">
        <f>AND(medidas!C39,"AAAAAH/t/3A=")</f>
        <v>#VALUE!</v>
      </c>
      <c r="DJ39" t="e">
        <f>AND(medidas!D39,"AAAAAH/t/3E=")</f>
        <v>#VALUE!</v>
      </c>
      <c r="DK39" t="e">
        <f>AND(medidas!E39,"AAAAAH/t/3I=")</f>
        <v>#VALUE!</v>
      </c>
      <c r="DL39" t="e">
        <f>AND(medidas!F39,"AAAAAH/t/3M=")</f>
        <v>#VALUE!</v>
      </c>
      <c r="DM39" t="e">
        <f>AND(medidas!G39,"AAAAAH/t/3Q=")</f>
        <v>#VALUE!</v>
      </c>
      <c r="DN39" t="e">
        <f>AND(medidas!H39,"AAAAAH/t/3U=")</f>
        <v>#VALUE!</v>
      </c>
      <c r="DO39" t="e">
        <f>AND(medidas!I39,"AAAAAH/t/3Y=")</f>
        <v>#VALUE!</v>
      </c>
      <c r="DP39" t="e">
        <f>AND(medidas!J39,"AAAAAH/t/3c=")</f>
        <v>#VALUE!</v>
      </c>
      <c r="DQ39" t="e">
        <f>AND(medidas!K39,"AAAAAH/t/3g=")</f>
        <v>#VALUE!</v>
      </c>
      <c r="DR39" t="e">
        <f>AND(medidas!L39,"AAAAAH/t/3k=")</f>
        <v>#VALUE!</v>
      </c>
      <c r="DS39" t="e">
        <f>AND(medidas!M39,"AAAAAH/t/3o=")</f>
        <v>#VALUE!</v>
      </c>
      <c r="DT39" t="e">
        <f>AND(medidas!N39,"AAAAAH/t/3s=")</f>
        <v>#VALUE!</v>
      </c>
      <c r="DU39" t="e">
        <f>AND(medidas!O39,"AAAAAH/t/3w=")</f>
        <v>#VALUE!</v>
      </c>
      <c r="DV39" t="e">
        <f>AND(medidas!P39,"AAAAAH/t/30=")</f>
        <v>#VALUE!</v>
      </c>
      <c r="DW39" t="e">
        <f>AND(medidas!Q39,"AAAAAH/t/34=")</f>
        <v>#VALUE!</v>
      </c>
      <c r="DX39" t="e">
        <f>AND(medidas!R39,"AAAAAH/t/38=")</f>
        <v>#VALUE!</v>
      </c>
      <c r="DY39" t="e">
        <f>AND(medidas!S39,"AAAAAH/t/4A=")</f>
        <v>#VALUE!</v>
      </c>
      <c r="DZ39" t="e">
        <f>AND(medidas!T39,"AAAAAH/t/4E=")</f>
        <v>#VALUE!</v>
      </c>
      <c r="EA39" t="e">
        <f>AND(medidas!U39,"AAAAAH/t/4I=")</f>
        <v>#VALUE!</v>
      </c>
      <c r="EB39" t="e">
        <f>AND(medidas!V39,"AAAAAH/t/4M=")</f>
        <v>#VALUE!</v>
      </c>
      <c r="EC39" t="e">
        <f>AND(medidas!W39,"AAAAAH/t/4Q=")</f>
        <v>#VALUE!</v>
      </c>
      <c r="ED39" t="e">
        <f>AND(medidas!X39,"AAAAAH/t/4U=")</f>
        <v>#VALUE!</v>
      </c>
      <c r="EE39" t="e">
        <f>AND(medidas!Y39,"AAAAAH/t/4Y=")</f>
        <v>#VALUE!</v>
      </c>
      <c r="EF39" t="e">
        <f>AND(medidas!Z39,"AAAAAH/t/4c=")</f>
        <v>#VALUE!</v>
      </c>
      <c r="EG39" t="e">
        <f>AND(medidas!AA39,"AAAAAH/t/4g=")</f>
        <v>#VALUE!</v>
      </c>
      <c r="EH39" t="e">
        <f>AND(medidas!AB39,"AAAAAH/t/4k=")</f>
        <v>#VALUE!</v>
      </c>
      <c r="EI39" t="e">
        <f>AND(medidas!AC39,"AAAAAH/t/4o=")</f>
        <v>#VALUE!</v>
      </c>
      <c r="EJ39" t="e">
        <f>AND(medidas!AD39,"AAAAAH/t/4s=")</f>
        <v>#VALUE!</v>
      </c>
      <c r="EK39" t="e">
        <f>AND(medidas!AE39,"AAAAAH/t/4w=")</f>
        <v>#VALUE!</v>
      </c>
      <c r="EL39" t="e">
        <f>AND(medidas!AF39,"AAAAAH/t/40=")</f>
        <v>#VALUE!</v>
      </c>
      <c r="EM39" t="e">
        <f>AND(medidas!AG39,"AAAAAH/t/44=")</f>
        <v>#VALUE!</v>
      </c>
      <c r="EN39" t="e">
        <f>AND(medidas!AH39,"AAAAAH/t/48=")</f>
        <v>#VALUE!</v>
      </c>
      <c r="EO39" t="e">
        <f>AND(medidas!AI39,"AAAAAH/t/5A=")</f>
        <v>#VALUE!</v>
      </c>
      <c r="EP39" t="e">
        <f>AND(medidas!AJ39,"AAAAAH/t/5E=")</f>
        <v>#VALUE!</v>
      </c>
      <c r="EQ39" t="e">
        <f>AND(medidas!AK39,"AAAAAH/t/5I=")</f>
        <v>#VALUE!</v>
      </c>
      <c r="ER39" t="e">
        <f>AND(medidas!AL39,"AAAAAH/t/5M=")</f>
        <v>#VALUE!</v>
      </c>
      <c r="ES39" t="e">
        <f>AND(medidas!AM39,"AAAAAH/t/5Q=")</f>
        <v>#VALUE!</v>
      </c>
      <c r="ET39" t="e">
        <f>AND(medidas!AN39,"AAAAAH/t/5U=")</f>
        <v>#VALUE!</v>
      </c>
      <c r="EU39" t="e">
        <f>AND(medidas!AO39,"AAAAAH/t/5Y=")</f>
        <v>#VALUE!</v>
      </c>
      <c r="EV39" t="e">
        <f>AND(medidas!AP39,"AAAAAH/t/5c=")</f>
        <v>#VALUE!</v>
      </c>
      <c r="EW39" t="e">
        <f>AND(medidas!AQ39,"AAAAAH/t/5g=")</f>
        <v>#VALUE!</v>
      </c>
      <c r="EX39" t="e">
        <f>AND(medidas!AR39,"AAAAAH/t/5k=")</f>
        <v>#VALUE!</v>
      </c>
      <c r="EY39" t="e">
        <f>AND(medidas!AS39,"AAAAAH/t/5o=")</f>
        <v>#VALUE!</v>
      </c>
      <c r="EZ39" t="e">
        <f>AND(medidas!AT39,"AAAAAH/t/5s=")</f>
        <v>#VALUE!</v>
      </c>
      <c r="FA39" t="e">
        <f>AND(medidas!AU39,"AAAAAH/t/5w=")</f>
        <v>#VALUE!</v>
      </c>
      <c r="FB39" t="e">
        <f>AND(medidas!AV39,"AAAAAH/t/50=")</f>
        <v>#VALUE!</v>
      </c>
      <c r="FC39" t="e">
        <f>AND(medidas!AW39,"AAAAAH/t/54=")</f>
        <v>#VALUE!</v>
      </c>
      <c r="FD39" t="e">
        <f>AND(medidas!AX39,"AAAAAH/t/58=")</f>
        <v>#VALUE!</v>
      </c>
      <c r="FE39" t="e">
        <f>AND(medidas!AY39,"AAAAAH/t/6A=")</f>
        <v>#VALUE!</v>
      </c>
      <c r="FF39" t="e">
        <f>AND(medidas!AZ39,"AAAAAH/t/6E=")</f>
        <v>#VALUE!</v>
      </c>
      <c r="FG39" t="e">
        <f>AND(medidas!BA39,"AAAAAH/t/6I=")</f>
        <v>#VALUE!</v>
      </c>
      <c r="FH39" t="e">
        <f>AND(medidas!BB39,"AAAAAH/t/6M=")</f>
        <v>#VALUE!</v>
      </c>
      <c r="FI39" t="e">
        <f>AND(medidas!BC39,"AAAAAH/t/6Q=")</f>
        <v>#VALUE!</v>
      </c>
      <c r="FJ39" t="e">
        <f>AND(medidas!BD39,"AAAAAH/t/6U=")</f>
        <v>#VALUE!</v>
      </c>
      <c r="FK39" t="e">
        <f>AND(medidas!BE39,"AAAAAH/t/6Y=")</f>
        <v>#VALUE!</v>
      </c>
      <c r="FL39" t="e">
        <f>AND(medidas!BF39,"AAAAAH/t/6c=")</f>
        <v>#VALUE!</v>
      </c>
      <c r="FM39" t="e">
        <f>AND(medidas!BG39,"AAAAAH/t/6g=")</f>
        <v>#VALUE!</v>
      </c>
      <c r="FN39" t="e">
        <f>AND(medidas!BH39,"AAAAAH/t/6k=")</f>
        <v>#VALUE!</v>
      </c>
      <c r="FO39" t="e">
        <f>AND(medidas!BI39,"AAAAAH/t/6o=")</f>
        <v>#VALUE!</v>
      </c>
      <c r="FP39" t="e">
        <f>AND(medidas!BJ39,"AAAAAH/t/6s=")</f>
        <v>#VALUE!</v>
      </c>
      <c r="FQ39" t="e">
        <f>AND(medidas!BK39,"AAAAAH/t/6w=")</f>
        <v>#VALUE!</v>
      </c>
      <c r="FR39" t="e">
        <f>AND(medidas!BL39,"AAAAAH/t/60=")</f>
        <v>#VALUE!</v>
      </c>
      <c r="FS39" t="e">
        <f>AND(medidas!BM39,"AAAAAH/t/64=")</f>
        <v>#VALUE!</v>
      </c>
      <c r="FT39" t="e">
        <f>AND(medidas!BN39,"AAAAAH/t/68=")</f>
        <v>#VALUE!</v>
      </c>
      <c r="FU39" t="e">
        <f>AND(medidas!BO39,"AAAAAH/t/7A=")</f>
        <v>#VALUE!</v>
      </c>
      <c r="FV39" t="e">
        <f>AND(medidas!BP39,"AAAAAH/t/7E=")</f>
        <v>#VALUE!</v>
      </c>
      <c r="FW39" t="e">
        <f>AND(medidas!BQ39,"AAAAAH/t/7I=")</f>
        <v>#VALUE!</v>
      </c>
      <c r="FX39" t="e">
        <f>AND(medidas!BR39,"AAAAAH/t/7M=")</f>
        <v>#VALUE!</v>
      </c>
      <c r="FY39" t="e">
        <f>AND(medidas!BS39,"AAAAAH/t/7Q=")</f>
        <v>#VALUE!</v>
      </c>
      <c r="FZ39" t="e">
        <f>AND(medidas!BT39,"AAAAAH/t/7U=")</f>
        <v>#VALUE!</v>
      </c>
      <c r="GA39" t="e">
        <f>AND(medidas!BU39,"AAAAAH/t/7Y=")</f>
        <v>#VALUE!</v>
      </c>
      <c r="GB39" t="e">
        <f>AND(medidas!BV39,"AAAAAH/t/7c=")</f>
        <v>#VALUE!</v>
      </c>
      <c r="GC39" t="e">
        <f>AND(medidas!BW39,"AAAAAH/t/7g=")</f>
        <v>#VALUE!</v>
      </c>
      <c r="GD39" t="e">
        <f>AND(medidas!BX39,"AAAAAH/t/7k=")</f>
        <v>#VALUE!</v>
      </c>
      <c r="GE39" t="e">
        <f>AND(medidas!BY39,"AAAAAH/t/7o=")</f>
        <v>#VALUE!</v>
      </c>
      <c r="GF39">
        <f>IF(medidas!40:40,"AAAAAH/t/7s=",0)</f>
        <v>0</v>
      </c>
      <c r="GG39" t="e">
        <f>AND(medidas!B40,"AAAAAH/t/7w=")</f>
        <v>#VALUE!</v>
      </c>
      <c r="GH39" t="e">
        <f>AND(medidas!C40,"AAAAAH/t/70=")</f>
        <v>#VALUE!</v>
      </c>
      <c r="GI39" t="e">
        <f>AND(medidas!D40,"AAAAAH/t/74=")</f>
        <v>#VALUE!</v>
      </c>
      <c r="GJ39" t="e">
        <f>AND(medidas!E40,"AAAAAH/t/78=")</f>
        <v>#VALUE!</v>
      </c>
      <c r="GK39" t="e">
        <f>AND(medidas!F40,"AAAAAH/t/8A=")</f>
        <v>#VALUE!</v>
      </c>
      <c r="GL39" t="e">
        <f>AND(medidas!G40,"AAAAAH/t/8E=")</f>
        <v>#VALUE!</v>
      </c>
      <c r="GM39" t="e">
        <f>AND(medidas!H40,"AAAAAH/t/8I=")</f>
        <v>#VALUE!</v>
      </c>
      <c r="GN39" t="e">
        <f>AND(medidas!I40,"AAAAAH/t/8M=")</f>
        <v>#VALUE!</v>
      </c>
      <c r="GO39" t="e">
        <f>AND(medidas!J40,"AAAAAH/t/8Q=")</f>
        <v>#VALUE!</v>
      </c>
      <c r="GP39" t="e">
        <f>AND(medidas!K40,"AAAAAH/t/8U=")</f>
        <v>#VALUE!</v>
      </c>
      <c r="GQ39" t="e">
        <f>AND(medidas!L40,"AAAAAH/t/8Y=")</f>
        <v>#VALUE!</v>
      </c>
      <c r="GR39" t="e">
        <f>AND(medidas!M40,"AAAAAH/t/8c=")</f>
        <v>#VALUE!</v>
      </c>
      <c r="GS39" t="e">
        <f>AND(medidas!N40,"AAAAAH/t/8g=")</f>
        <v>#VALUE!</v>
      </c>
      <c r="GT39" t="e">
        <f>AND(medidas!O40,"AAAAAH/t/8k=")</f>
        <v>#VALUE!</v>
      </c>
      <c r="GU39" t="e">
        <f>AND(medidas!P40,"AAAAAH/t/8o=")</f>
        <v>#VALUE!</v>
      </c>
      <c r="GV39" t="e">
        <f>AND(medidas!Q40,"AAAAAH/t/8s=")</f>
        <v>#VALUE!</v>
      </c>
      <c r="GW39" t="e">
        <f>AND(medidas!R40,"AAAAAH/t/8w=")</f>
        <v>#VALUE!</v>
      </c>
      <c r="GX39" t="e">
        <f>AND(medidas!S40,"AAAAAH/t/80=")</f>
        <v>#VALUE!</v>
      </c>
      <c r="GY39" t="e">
        <f>AND(medidas!T40,"AAAAAH/t/84=")</f>
        <v>#VALUE!</v>
      </c>
      <c r="GZ39" t="e">
        <f>AND(medidas!U40,"AAAAAH/t/88=")</f>
        <v>#VALUE!</v>
      </c>
      <c r="HA39" t="e">
        <f>AND(medidas!V40,"AAAAAH/t/9A=")</f>
        <v>#VALUE!</v>
      </c>
      <c r="HB39" t="e">
        <f>AND(medidas!W40,"AAAAAH/t/9E=")</f>
        <v>#VALUE!</v>
      </c>
      <c r="HC39" t="e">
        <f>AND(medidas!X40,"AAAAAH/t/9I=")</f>
        <v>#VALUE!</v>
      </c>
      <c r="HD39" t="e">
        <f>AND(medidas!Y40,"AAAAAH/t/9M=")</f>
        <v>#VALUE!</v>
      </c>
      <c r="HE39" t="e">
        <f>AND(medidas!Z40,"AAAAAH/t/9Q=")</f>
        <v>#VALUE!</v>
      </c>
      <c r="HF39" t="e">
        <f>AND(medidas!AA40,"AAAAAH/t/9U=")</f>
        <v>#VALUE!</v>
      </c>
      <c r="HG39" t="e">
        <f>AND(medidas!AB40,"AAAAAH/t/9Y=")</f>
        <v>#VALUE!</v>
      </c>
      <c r="HH39" t="e">
        <f>AND(medidas!AC40,"AAAAAH/t/9c=")</f>
        <v>#VALUE!</v>
      </c>
      <c r="HI39" t="e">
        <f>AND(medidas!AD40,"AAAAAH/t/9g=")</f>
        <v>#VALUE!</v>
      </c>
      <c r="HJ39" t="e">
        <f>AND(medidas!AE40,"AAAAAH/t/9k=")</f>
        <v>#VALUE!</v>
      </c>
      <c r="HK39" t="e">
        <f>AND(medidas!AF40,"AAAAAH/t/9o=")</f>
        <v>#VALUE!</v>
      </c>
      <c r="HL39" t="e">
        <f>AND(medidas!AG40,"AAAAAH/t/9s=")</f>
        <v>#VALUE!</v>
      </c>
      <c r="HM39" t="e">
        <f>AND(medidas!AH40,"AAAAAH/t/9w=")</f>
        <v>#VALUE!</v>
      </c>
      <c r="HN39" t="e">
        <f>AND(medidas!AI40,"AAAAAH/t/90=")</f>
        <v>#VALUE!</v>
      </c>
      <c r="HO39" t="e">
        <f>AND(medidas!AJ40,"AAAAAH/t/94=")</f>
        <v>#VALUE!</v>
      </c>
      <c r="HP39" t="e">
        <f>AND(medidas!AK40,"AAAAAH/t/98=")</f>
        <v>#VALUE!</v>
      </c>
      <c r="HQ39" t="e">
        <f>AND(medidas!AL40,"AAAAAH/t/+A=")</f>
        <v>#VALUE!</v>
      </c>
      <c r="HR39" t="e">
        <f>AND(medidas!AM40,"AAAAAH/t/+E=")</f>
        <v>#VALUE!</v>
      </c>
      <c r="HS39" t="e">
        <f>AND(medidas!AN40,"AAAAAH/t/+I=")</f>
        <v>#VALUE!</v>
      </c>
      <c r="HT39" t="e">
        <f>AND(medidas!AO40,"AAAAAH/t/+M=")</f>
        <v>#VALUE!</v>
      </c>
      <c r="HU39" t="e">
        <f>AND(medidas!AP40,"AAAAAH/t/+Q=")</f>
        <v>#VALUE!</v>
      </c>
      <c r="HV39" t="e">
        <f>AND(medidas!AQ40,"AAAAAH/t/+U=")</f>
        <v>#VALUE!</v>
      </c>
      <c r="HW39" t="e">
        <f>AND(medidas!AR40,"AAAAAH/t/+Y=")</f>
        <v>#VALUE!</v>
      </c>
      <c r="HX39" t="e">
        <f>AND(medidas!AS40,"AAAAAH/t/+c=")</f>
        <v>#VALUE!</v>
      </c>
      <c r="HY39" t="e">
        <f>AND(medidas!AT40,"AAAAAH/t/+g=")</f>
        <v>#VALUE!</v>
      </c>
      <c r="HZ39" t="e">
        <f>AND(medidas!AU40,"AAAAAH/t/+k=")</f>
        <v>#VALUE!</v>
      </c>
      <c r="IA39" t="e">
        <f>AND(medidas!AV40,"AAAAAH/t/+o=")</f>
        <v>#VALUE!</v>
      </c>
      <c r="IB39" t="e">
        <f>AND(medidas!AW40,"AAAAAH/t/+s=")</f>
        <v>#VALUE!</v>
      </c>
      <c r="IC39" t="e">
        <f>AND(medidas!AX40,"AAAAAH/t/+w=")</f>
        <v>#VALUE!</v>
      </c>
      <c r="ID39" t="e">
        <f>AND(medidas!AY40,"AAAAAH/t/+0=")</f>
        <v>#VALUE!</v>
      </c>
      <c r="IE39" t="e">
        <f>AND(medidas!AZ40,"AAAAAH/t/+4=")</f>
        <v>#VALUE!</v>
      </c>
      <c r="IF39" t="e">
        <f>AND(medidas!BA40,"AAAAAH/t/+8=")</f>
        <v>#VALUE!</v>
      </c>
      <c r="IG39" t="e">
        <f>AND(medidas!BB40,"AAAAAH/t//A=")</f>
        <v>#VALUE!</v>
      </c>
      <c r="IH39" t="e">
        <f>AND(medidas!BC40,"AAAAAH/t//E=")</f>
        <v>#VALUE!</v>
      </c>
      <c r="II39" t="e">
        <f>AND(medidas!BD40,"AAAAAH/t//I=")</f>
        <v>#VALUE!</v>
      </c>
      <c r="IJ39" t="e">
        <f>AND(medidas!BE40,"AAAAAH/t//M=")</f>
        <v>#VALUE!</v>
      </c>
      <c r="IK39" t="e">
        <f>AND(medidas!BF40,"AAAAAH/t//Q=")</f>
        <v>#VALUE!</v>
      </c>
      <c r="IL39" t="e">
        <f>AND(medidas!BG40,"AAAAAH/t//U=")</f>
        <v>#VALUE!</v>
      </c>
      <c r="IM39" t="e">
        <f>AND(medidas!BH40,"AAAAAH/t//Y=")</f>
        <v>#VALUE!</v>
      </c>
      <c r="IN39" t="e">
        <f>AND(medidas!BI40,"AAAAAH/t//c=")</f>
        <v>#VALUE!</v>
      </c>
      <c r="IO39" t="e">
        <f>AND(medidas!BJ40,"AAAAAH/t//g=")</f>
        <v>#VALUE!</v>
      </c>
      <c r="IP39" t="e">
        <f>AND(medidas!BK40,"AAAAAH/t//k=")</f>
        <v>#VALUE!</v>
      </c>
      <c r="IQ39" t="e">
        <f>AND(medidas!BL40,"AAAAAH/t//o=")</f>
        <v>#VALUE!</v>
      </c>
      <c r="IR39" t="e">
        <f>AND(medidas!BM40,"AAAAAH/t//s=")</f>
        <v>#VALUE!</v>
      </c>
      <c r="IS39" t="e">
        <f>AND(medidas!BN40,"AAAAAH/t//w=")</f>
        <v>#VALUE!</v>
      </c>
      <c r="IT39" t="e">
        <f>AND(medidas!BO40,"AAAAAH/t//0=")</f>
        <v>#VALUE!</v>
      </c>
      <c r="IU39" t="e">
        <f>AND(medidas!BP40,"AAAAAH/t//4=")</f>
        <v>#VALUE!</v>
      </c>
      <c r="IV39" t="e">
        <f>AND(medidas!BQ40,"AAAAAH/t//8=")</f>
        <v>#VALUE!</v>
      </c>
    </row>
    <row r="40" spans="1:256" x14ac:dyDescent="0.2">
      <c r="A40" t="e">
        <f>AND(medidas!BR40,"AAAAABb76wA=")</f>
        <v>#VALUE!</v>
      </c>
      <c r="B40" t="e">
        <f>AND(medidas!BS40,"AAAAABb76wE=")</f>
        <v>#VALUE!</v>
      </c>
      <c r="C40" t="e">
        <f>AND(medidas!BT40,"AAAAABb76wI=")</f>
        <v>#VALUE!</v>
      </c>
      <c r="D40" t="e">
        <f>AND(medidas!BU40,"AAAAABb76wM=")</f>
        <v>#VALUE!</v>
      </c>
      <c r="E40" t="e">
        <f>AND(medidas!BV40,"AAAAABb76wQ=")</f>
        <v>#VALUE!</v>
      </c>
      <c r="F40" t="e">
        <f>AND(medidas!BW40,"AAAAABb76wU=")</f>
        <v>#VALUE!</v>
      </c>
      <c r="G40" t="e">
        <f>AND(medidas!BX40,"AAAAABb76wY=")</f>
        <v>#VALUE!</v>
      </c>
      <c r="H40" t="e">
        <f>AND(medidas!BY40,"AAAAABb76wc=")</f>
        <v>#VALUE!</v>
      </c>
      <c r="I40">
        <f>IF(medidas!41:41,"AAAAABb76wg=",0)</f>
        <v>0</v>
      </c>
      <c r="J40" t="e">
        <f>AND(medidas!B41,"AAAAABb76wk=")</f>
        <v>#VALUE!</v>
      </c>
      <c r="K40" t="e">
        <f>AND(medidas!C41,"AAAAABb76wo=")</f>
        <v>#VALUE!</v>
      </c>
      <c r="L40" t="e">
        <f>AND(medidas!D41,"AAAAABb76ws=")</f>
        <v>#VALUE!</v>
      </c>
      <c r="M40" t="e">
        <f>AND(medidas!E41,"AAAAABb76ww=")</f>
        <v>#VALUE!</v>
      </c>
      <c r="N40" t="e">
        <f>AND(medidas!F41,"AAAAABb76w0=")</f>
        <v>#VALUE!</v>
      </c>
      <c r="O40" t="e">
        <f>AND(medidas!G41,"AAAAABb76w4=")</f>
        <v>#VALUE!</v>
      </c>
      <c r="P40" t="e">
        <f>AND(medidas!H41,"AAAAABb76w8=")</f>
        <v>#VALUE!</v>
      </c>
      <c r="Q40" t="e">
        <f>AND(medidas!I41,"AAAAABb76xA=")</f>
        <v>#VALUE!</v>
      </c>
      <c r="R40" t="e">
        <f>AND(medidas!J41,"AAAAABb76xE=")</f>
        <v>#VALUE!</v>
      </c>
      <c r="S40" t="e">
        <f>AND(medidas!K41,"AAAAABb76xI=")</f>
        <v>#VALUE!</v>
      </c>
      <c r="T40" t="e">
        <f>AND(medidas!L41,"AAAAABb76xM=")</f>
        <v>#VALUE!</v>
      </c>
      <c r="U40" t="e">
        <f>AND(medidas!M41,"AAAAABb76xQ=")</f>
        <v>#VALUE!</v>
      </c>
      <c r="V40" t="e">
        <f>AND(medidas!N41,"AAAAABb76xU=")</f>
        <v>#VALUE!</v>
      </c>
      <c r="W40" t="e">
        <f>AND(medidas!O41,"AAAAABb76xY=")</f>
        <v>#VALUE!</v>
      </c>
      <c r="X40" t="e">
        <f>AND(medidas!P41,"AAAAABb76xc=")</f>
        <v>#VALUE!</v>
      </c>
      <c r="Y40" t="e">
        <f>AND(medidas!Q41,"AAAAABb76xg=")</f>
        <v>#VALUE!</v>
      </c>
      <c r="Z40" t="e">
        <f>AND(medidas!R41,"AAAAABb76xk=")</f>
        <v>#VALUE!</v>
      </c>
      <c r="AA40" t="e">
        <f>AND(medidas!S41,"AAAAABb76xo=")</f>
        <v>#VALUE!</v>
      </c>
      <c r="AB40" t="e">
        <f>AND(medidas!T41,"AAAAABb76xs=")</f>
        <v>#VALUE!</v>
      </c>
      <c r="AC40" t="e">
        <f>AND(medidas!U41,"AAAAABb76xw=")</f>
        <v>#VALUE!</v>
      </c>
      <c r="AD40" t="e">
        <f>AND(medidas!V41,"AAAAABb76x0=")</f>
        <v>#VALUE!</v>
      </c>
      <c r="AE40" t="e">
        <f>AND(medidas!W41,"AAAAABb76x4=")</f>
        <v>#VALUE!</v>
      </c>
      <c r="AF40" t="e">
        <f>AND(medidas!X41,"AAAAABb76x8=")</f>
        <v>#VALUE!</v>
      </c>
      <c r="AG40" t="e">
        <f>AND(medidas!Y41,"AAAAABb76yA=")</f>
        <v>#VALUE!</v>
      </c>
      <c r="AH40" t="e">
        <f>AND(medidas!Z41,"AAAAABb76yE=")</f>
        <v>#VALUE!</v>
      </c>
      <c r="AI40" t="e">
        <f>AND(medidas!AA41,"AAAAABb76yI=")</f>
        <v>#VALUE!</v>
      </c>
      <c r="AJ40" t="e">
        <f>AND(medidas!AB41,"AAAAABb76yM=")</f>
        <v>#VALUE!</v>
      </c>
      <c r="AK40" t="e">
        <f>AND(medidas!AC41,"AAAAABb76yQ=")</f>
        <v>#VALUE!</v>
      </c>
      <c r="AL40" t="e">
        <f>AND(medidas!AD41,"AAAAABb76yU=")</f>
        <v>#VALUE!</v>
      </c>
      <c r="AM40" t="e">
        <f>AND(medidas!AE41,"AAAAABb76yY=")</f>
        <v>#VALUE!</v>
      </c>
      <c r="AN40" t="e">
        <f>AND(medidas!AF41,"AAAAABb76yc=")</f>
        <v>#VALUE!</v>
      </c>
      <c r="AO40" t="e">
        <f>AND(medidas!AG41,"AAAAABb76yg=")</f>
        <v>#VALUE!</v>
      </c>
      <c r="AP40" t="e">
        <f>AND(medidas!AH41,"AAAAABb76yk=")</f>
        <v>#VALUE!</v>
      </c>
      <c r="AQ40" t="e">
        <f>AND(medidas!AI41,"AAAAABb76yo=")</f>
        <v>#VALUE!</v>
      </c>
      <c r="AR40" t="e">
        <f>AND(medidas!AJ41,"AAAAABb76ys=")</f>
        <v>#VALUE!</v>
      </c>
      <c r="AS40" t="e">
        <f>AND(medidas!AK41,"AAAAABb76yw=")</f>
        <v>#VALUE!</v>
      </c>
      <c r="AT40" t="e">
        <f>AND(medidas!AL41,"AAAAABb76y0=")</f>
        <v>#VALUE!</v>
      </c>
      <c r="AU40" t="e">
        <f>AND(medidas!AM41,"AAAAABb76y4=")</f>
        <v>#VALUE!</v>
      </c>
      <c r="AV40" t="e">
        <f>AND(medidas!AN41,"AAAAABb76y8=")</f>
        <v>#VALUE!</v>
      </c>
      <c r="AW40" t="e">
        <f>AND(medidas!AO41,"AAAAABb76zA=")</f>
        <v>#VALUE!</v>
      </c>
      <c r="AX40" t="e">
        <f>AND(medidas!AP41,"AAAAABb76zE=")</f>
        <v>#VALUE!</v>
      </c>
      <c r="AY40" t="e">
        <f>AND(medidas!AQ41,"AAAAABb76zI=")</f>
        <v>#VALUE!</v>
      </c>
      <c r="AZ40" t="e">
        <f>AND(medidas!AR41,"AAAAABb76zM=")</f>
        <v>#VALUE!</v>
      </c>
      <c r="BA40" t="e">
        <f>AND(medidas!AS41,"AAAAABb76zQ=")</f>
        <v>#VALUE!</v>
      </c>
      <c r="BB40" t="e">
        <f>AND(medidas!AT41,"AAAAABb76zU=")</f>
        <v>#VALUE!</v>
      </c>
      <c r="BC40" t="e">
        <f>AND(medidas!AU41,"AAAAABb76zY=")</f>
        <v>#VALUE!</v>
      </c>
      <c r="BD40" t="e">
        <f>AND(medidas!AV41,"AAAAABb76zc=")</f>
        <v>#VALUE!</v>
      </c>
      <c r="BE40" t="e">
        <f>AND(medidas!AW41,"AAAAABb76zg=")</f>
        <v>#VALUE!</v>
      </c>
      <c r="BF40" t="e">
        <f>AND(medidas!AX41,"AAAAABb76zk=")</f>
        <v>#VALUE!</v>
      </c>
      <c r="BG40" t="e">
        <f>AND(medidas!AY41,"AAAAABb76zo=")</f>
        <v>#VALUE!</v>
      </c>
      <c r="BH40" t="e">
        <f>AND(medidas!AZ41,"AAAAABb76zs=")</f>
        <v>#VALUE!</v>
      </c>
      <c r="BI40" t="e">
        <f>AND(medidas!BA41,"AAAAABb76zw=")</f>
        <v>#VALUE!</v>
      </c>
      <c r="BJ40" t="e">
        <f>AND(medidas!BB41,"AAAAABb76z0=")</f>
        <v>#VALUE!</v>
      </c>
      <c r="BK40" t="e">
        <f>AND(medidas!BC41,"AAAAABb76z4=")</f>
        <v>#VALUE!</v>
      </c>
      <c r="BL40" t="e">
        <f>AND(medidas!BD41,"AAAAABb76z8=")</f>
        <v>#VALUE!</v>
      </c>
      <c r="BM40" t="e">
        <f>AND(medidas!BE41,"AAAAABb760A=")</f>
        <v>#VALUE!</v>
      </c>
      <c r="BN40" t="e">
        <f>AND(medidas!BF41,"AAAAABb760E=")</f>
        <v>#VALUE!</v>
      </c>
      <c r="BO40" t="e">
        <f>AND(medidas!BG41,"AAAAABb760I=")</f>
        <v>#VALUE!</v>
      </c>
      <c r="BP40" t="e">
        <f>AND(medidas!BH41,"AAAAABb760M=")</f>
        <v>#VALUE!</v>
      </c>
      <c r="BQ40" t="e">
        <f>AND(medidas!BI41,"AAAAABb760Q=")</f>
        <v>#VALUE!</v>
      </c>
      <c r="BR40" t="e">
        <f>AND(medidas!BJ41,"AAAAABb760U=")</f>
        <v>#VALUE!</v>
      </c>
      <c r="BS40" t="e">
        <f>AND(medidas!BK41,"AAAAABb760Y=")</f>
        <v>#VALUE!</v>
      </c>
      <c r="BT40" t="e">
        <f>AND(medidas!BL41,"AAAAABb760c=")</f>
        <v>#VALUE!</v>
      </c>
      <c r="BU40" t="e">
        <f>AND(medidas!BM41,"AAAAABb760g=")</f>
        <v>#VALUE!</v>
      </c>
      <c r="BV40" t="e">
        <f>AND(medidas!BN41,"AAAAABb760k=")</f>
        <v>#VALUE!</v>
      </c>
      <c r="BW40" t="e">
        <f>AND(medidas!BO41,"AAAAABb760o=")</f>
        <v>#VALUE!</v>
      </c>
      <c r="BX40" t="e">
        <f>AND(medidas!BP41,"AAAAABb760s=")</f>
        <v>#VALUE!</v>
      </c>
      <c r="BY40" t="e">
        <f>AND(medidas!BQ41,"AAAAABb760w=")</f>
        <v>#VALUE!</v>
      </c>
      <c r="BZ40" t="e">
        <f>AND(medidas!BR41,"AAAAABb7600=")</f>
        <v>#VALUE!</v>
      </c>
      <c r="CA40" t="e">
        <f>AND(medidas!BS41,"AAAAABb7604=")</f>
        <v>#VALUE!</v>
      </c>
      <c r="CB40" t="e">
        <f>AND(medidas!BT41,"AAAAABb7608=")</f>
        <v>#VALUE!</v>
      </c>
      <c r="CC40" t="e">
        <f>AND(medidas!BU41,"AAAAABb761A=")</f>
        <v>#VALUE!</v>
      </c>
      <c r="CD40" t="e">
        <f>AND(medidas!BV41,"AAAAABb761E=")</f>
        <v>#VALUE!</v>
      </c>
      <c r="CE40" t="e">
        <f>AND(medidas!BW41,"AAAAABb761I=")</f>
        <v>#VALUE!</v>
      </c>
      <c r="CF40" t="e">
        <f>AND(medidas!BX41,"AAAAABb761M=")</f>
        <v>#VALUE!</v>
      </c>
      <c r="CG40" t="e">
        <f>AND(medidas!BY41,"AAAAABb761Q=")</f>
        <v>#VALUE!</v>
      </c>
      <c r="CH40">
        <f>IF(medidas!42:42,"AAAAABb761U=",0)</f>
        <v>0</v>
      </c>
      <c r="CI40" t="e">
        <f>AND(medidas!B42,"AAAAABb761Y=")</f>
        <v>#VALUE!</v>
      </c>
      <c r="CJ40" t="e">
        <f>AND(medidas!C42,"AAAAABb761c=")</f>
        <v>#VALUE!</v>
      </c>
      <c r="CK40" t="e">
        <f>AND(medidas!D42,"AAAAABb761g=")</f>
        <v>#VALUE!</v>
      </c>
      <c r="CL40" t="e">
        <f>AND(medidas!E42,"AAAAABb761k=")</f>
        <v>#VALUE!</v>
      </c>
      <c r="CM40" t="e">
        <f>AND(medidas!F42,"AAAAABb761o=")</f>
        <v>#VALUE!</v>
      </c>
      <c r="CN40" t="e">
        <f>AND(medidas!G42,"AAAAABb761s=")</f>
        <v>#VALUE!</v>
      </c>
      <c r="CO40" t="e">
        <f>AND(medidas!H42,"AAAAABb761w=")</f>
        <v>#VALUE!</v>
      </c>
      <c r="CP40" t="e">
        <f>AND(medidas!I42,"AAAAABb7610=")</f>
        <v>#VALUE!</v>
      </c>
      <c r="CQ40" t="e">
        <f>AND(medidas!J42,"AAAAABb7614=")</f>
        <v>#VALUE!</v>
      </c>
      <c r="CR40" t="e">
        <f>AND(medidas!K42,"AAAAABb7618=")</f>
        <v>#VALUE!</v>
      </c>
      <c r="CS40" t="e">
        <f>AND(medidas!L42,"AAAAABb762A=")</f>
        <v>#VALUE!</v>
      </c>
      <c r="CT40" t="e">
        <f>AND(medidas!M42,"AAAAABb762E=")</f>
        <v>#VALUE!</v>
      </c>
      <c r="CU40" t="e">
        <f>AND(medidas!N42,"AAAAABb762I=")</f>
        <v>#VALUE!</v>
      </c>
      <c r="CV40" t="e">
        <f>AND(medidas!O42,"AAAAABb762M=")</f>
        <v>#VALUE!</v>
      </c>
      <c r="CW40" t="e">
        <f>AND(medidas!P42,"AAAAABb762Q=")</f>
        <v>#VALUE!</v>
      </c>
      <c r="CX40" t="e">
        <f>AND(medidas!Q42,"AAAAABb762U=")</f>
        <v>#VALUE!</v>
      </c>
      <c r="CY40" t="e">
        <f>AND(medidas!R42,"AAAAABb762Y=")</f>
        <v>#VALUE!</v>
      </c>
      <c r="CZ40" t="e">
        <f>AND(medidas!S42,"AAAAABb762c=")</f>
        <v>#VALUE!</v>
      </c>
      <c r="DA40" t="e">
        <f>AND(medidas!T42,"AAAAABb762g=")</f>
        <v>#VALUE!</v>
      </c>
      <c r="DB40" t="e">
        <f>AND(medidas!U42,"AAAAABb762k=")</f>
        <v>#VALUE!</v>
      </c>
      <c r="DC40" t="e">
        <f>AND(medidas!V42,"AAAAABb762o=")</f>
        <v>#VALUE!</v>
      </c>
      <c r="DD40" t="e">
        <f>AND(medidas!W42,"AAAAABb762s=")</f>
        <v>#VALUE!</v>
      </c>
      <c r="DE40" t="e">
        <f>AND(medidas!X42,"AAAAABb762w=")</f>
        <v>#VALUE!</v>
      </c>
      <c r="DF40" t="e">
        <f>AND(medidas!Y42,"AAAAABb7620=")</f>
        <v>#VALUE!</v>
      </c>
      <c r="DG40" t="e">
        <f>AND(medidas!Z42,"AAAAABb7624=")</f>
        <v>#VALUE!</v>
      </c>
      <c r="DH40" t="e">
        <f>AND(medidas!AA42,"AAAAABb7628=")</f>
        <v>#VALUE!</v>
      </c>
      <c r="DI40" t="e">
        <f>AND(medidas!AB42,"AAAAABb763A=")</f>
        <v>#VALUE!</v>
      </c>
      <c r="DJ40" t="e">
        <f>AND(medidas!AC42,"AAAAABb763E=")</f>
        <v>#VALUE!</v>
      </c>
      <c r="DK40" t="e">
        <f>AND(medidas!AD42,"AAAAABb763I=")</f>
        <v>#VALUE!</v>
      </c>
      <c r="DL40" t="e">
        <f>AND(medidas!AE42,"AAAAABb763M=")</f>
        <v>#VALUE!</v>
      </c>
      <c r="DM40" t="e">
        <f>AND(medidas!AF42,"AAAAABb763Q=")</f>
        <v>#VALUE!</v>
      </c>
      <c r="DN40" t="e">
        <f>AND(medidas!AG42,"AAAAABb763U=")</f>
        <v>#VALUE!</v>
      </c>
      <c r="DO40" t="e">
        <f>AND(medidas!AH42,"AAAAABb763Y=")</f>
        <v>#VALUE!</v>
      </c>
      <c r="DP40" t="e">
        <f>AND(medidas!AI42,"AAAAABb763c=")</f>
        <v>#VALUE!</v>
      </c>
      <c r="DQ40" t="e">
        <f>AND(medidas!AJ42,"AAAAABb763g=")</f>
        <v>#VALUE!</v>
      </c>
      <c r="DR40" t="e">
        <f>AND(medidas!AK42,"AAAAABb763k=")</f>
        <v>#VALUE!</v>
      </c>
      <c r="DS40" t="e">
        <f>AND(medidas!AL42,"AAAAABb763o=")</f>
        <v>#VALUE!</v>
      </c>
      <c r="DT40" t="e">
        <f>AND(medidas!AM42,"AAAAABb763s=")</f>
        <v>#VALUE!</v>
      </c>
      <c r="DU40" t="e">
        <f>AND(medidas!AN42,"AAAAABb763w=")</f>
        <v>#VALUE!</v>
      </c>
      <c r="DV40" t="e">
        <f>AND(medidas!AO42,"AAAAABb7630=")</f>
        <v>#VALUE!</v>
      </c>
      <c r="DW40" t="e">
        <f>AND(medidas!AP42,"AAAAABb7634=")</f>
        <v>#VALUE!</v>
      </c>
      <c r="DX40" t="e">
        <f>AND(medidas!AQ42,"AAAAABb7638=")</f>
        <v>#VALUE!</v>
      </c>
      <c r="DY40" t="e">
        <f>AND(medidas!AR42,"AAAAABb764A=")</f>
        <v>#VALUE!</v>
      </c>
      <c r="DZ40" t="e">
        <f>AND(medidas!AS42,"AAAAABb764E=")</f>
        <v>#VALUE!</v>
      </c>
      <c r="EA40" t="e">
        <f>AND(medidas!AT42,"AAAAABb764I=")</f>
        <v>#VALUE!</v>
      </c>
      <c r="EB40" t="e">
        <f>AND(medidas!AU42,"AAAAABb764M=")</f>
        <v>#VALUE!</v>
      </c>
      <c r="EC40" t="e">
        <f>AND(medidas!AV42,"AAAAABb764Q=")</f>
        <v>#VALUE!</v>
      </c>
      <c r="ED40" t="e">
        <f>AND(medidas!AW42,"AAAAABb764U=")</f>
        <v>#VALUE!</v>
      </c>
      <c r="EE40" t="e">
        <f>AND(medidas!AX42,"AAAAABb764Y=")</f>
        <v>#VALUE!</v>
      </c>
      <c r="EF40" t="e">
        <f>AND(medidas!AY42,"AAAAABb764c=")</f>
        <v>#VALUE!</v>
      </c>
      <c r="EG40" t="e">
        <f>AND(medidas!AZ42,"AAAAABb764g=")</f>
        <v>#VALUE!</v>
      </c>
      <c r="EH40" t="e">
        <f>AND(medidas!BA42,"AAAAABb764k=")</f>
        <v>#VALUE!</v>
      </c>
      <c r="EI40" t="e">
        <f>AND(medidas!BB42,"AAAAABb764o=")</f>
        <v>#VALUE!</v>
      </c>
      <c r="EJ40" t="e">
        <f>AND(medidas!BC42,"AAAAABb764s=")</f>
        <v>#VALUE!</v>
      </c>
      <c r="EK40" t="e">
        <f>AND(medidas!BD42,"AAAAABb764w=")</f>
        <v>#VALUE!</v>
      </c>
      <c r="EL40" t="e">
        <f>AND(medidas!BE42,"AAAAABb7640=")</f>
        <v>#VALUE!</v>
      </c>
      <c r="EM40" t="e">
        <f>AND(medidas!BF42,"AAAAABb7644=")</f>
        <v>#VALUE!</v>
      </c>
      <c r="EN40" t="e">
        <f>AND(medidas!BG42,"AAAAABb7648=")</f>
        <v>#VALUE!</v>
      </c>
      <c r="EO40" t="e">
        <f>AND(medidas!BH42,"AAAAABb765A=")</f>
        <v>#VALUE!</v>
      </c>
      <c r="EP40" t="e">
        <f>AND(medidas!BI42,"AAAAABb765E=")</f>
        <v>#VALUE!</v>
      </c>
      <c r="EQ40" t="e">
        <f>AND(medidas!BJ42,"AAAAABb765I=")</f>
        <v>#VALUE!</v>
      </c>
      <c r="ER40" t="e">
        <f>AND(medidas!BK42,"AAAAABb765M=")</f>
        <v>#VALUE!</v>
      </c>
      <c r="ES40" t="e">
        <f>AND(medidas!BL42,"AAAAABb765Q=")</f>
        <v>#VALUE!</v>
      </c>
      <c r="ET40" t="e">
        <f>AND(medidas!BM42,"AAAAABb765U=")</f>
        <v>#VALUE!</v>
      </c>
      <c r="EU40" t="e">
        <f>AND(medidas!BN42,"AAAAABb765Y=")</f>
        <v>#VALUE!</v>
      </c>
      <c r="EV40" t="e">
        <f>AND(medidas!BO42,"AAAAABb765c=")</f>
        <v>#VALUE!</v>
      </c>
      <c r="EW40" t="e">
        <f>AND(medidas!BP42,"AAAAABb765g=")</f>
        <v>#VALUE!</v>
      </c>
      <c r="EX40" t="e">
        <f>AND(medidas!BQ42,"AAAAABb765k=")</f>
        <v>#VALUE!</v>
      </c>
      <c r="EY40" t="e">
        <f>AND(medidas!BR42,"AAAAABb765o=")</f>
        <v>#VALUE!</v>
      </c>
      <c r="EZ40" t="e">
        <f>AND(medidas!BS42,"AAAAABb765s=")</f>
        <v>#VALUE!</v>
      </c>
      <c r="FA40" t="e">
        <f>AND(medidas!BT42,"AAAAABb765w=")</f>
        <v>#VALUE!</v>
      </c>
      <c r="FB40" t="e">
        <f>AND(medidas!BU42,"AAAAABb7650=")</f>
        <v>#VALUE!</v>
      </c>
      <c r="FC40" t="e">
        <f>AND(medidas!BV42,"AAAAABb7654=")</f>
        <v>#VALUE!</v>
      </c>
      <c r="FD40" t="e">
        <f>AND(medidas!BW42,"AAAAABb7658=")</f>
        <v>#VALUE!</v>
      </c>
      <c r="FE40" t="e">
        <f>AND(medidas!BX42,"AAAAABb766A=")</f>
        <v>#VALUE!</v>
      </c>
      <c r="FF40" t="e">
        <f>AND(medidas!BY42,"AAAAABb766E=")</f>
        <v>#VALUE!</v>
      </c>
      <c r="FG40">
        <f>IF(medidas!43:43,"AAAAABb766I=",0)</f>
        <v>0</v>
      </c>
      <c r="FH40" t="e">
        <f>AND(medidas!B43,"AAAAABb766M=")</f>
        <v>#VALUE!</v>
      </c>
      <c r="FI40" t="e">
        <f>AND(medidas!C43,"AAAAABb766Q=")</f>
        <v>#VALUE!</v>
      </c>
      <c r="FJ40" t="e">
        <f>AND(medidas!D43,"AAAAABb766U=")</f>
        <v>#VALUE!</v>
      </c>
      <c r="FK40" t="e">
        <f>AND(medidas!E43,"AAAAABb766Y=")</f>
        <v>#VALUE!</v>
      </c>
      <c r="FL40" t="e">
        <f>AND(medidas!F43,"AAAAABb766c=")</f>
        <v>#VALUE!</v>
      </c>
      <c r="FM40" t="e">
        <f>AND(medidas!G43,"AAAAABb766g=")</f>
        <v>#VALUE!</v>
      </c>
      <c r="FN40" t="e">
        <f>AND(medidas!H43,"AAAAABb766k=")</f>
        <v>#VALUE!</v>
      </c>
      <c r="FO40" t="e">
        <f>AND(medidas!I43,"AAAAABb766o=")</f>
        <v>#VALUE!</v>
      </c>
      <c r="FP40" t="e">
        <f>AND(medidas!J43,"AAAAABb766s=")</f>
        <v>#VALUE!</v>
      </c>
      <c r="FQ40" t="e">
        <f>AND(medidas!K43,"AAAAABb766w=")</f>
        <v>#VALUE!</v>
      </c>
      <c r="FR40" t="e">
        <f>AND(medidas!L43,"AAAAABb7660=")</f>
        <v>#VALUE!</v>
      </c>
      <c r="FS40" t="e">
        <f>AND(medidas!M43,"AAAAABb7664=")</f>
        <v>#VALUE!</v>
      </c>
      <c r="FT40" t="e">
        <f>AND(medidas!N43,"AAAAABb7668=")</f>
        <v>#VALUE!</v>
      </c>
      <c r="FU40" t="e">
        <f>AND(medidas!O43,"AAAAABb767A=")</f>
        <v>#VALUE!</v>
      </c>
      <c r="FV40" t="e">
        <f>AND(medidas!P43,"AAAAABb767E=")</f>
        <v>#VALUE!</v>
      </c>
      <c r="FW40" t="e">
        <f>AND(medidas!Q43,"AAAAABb767I=")</f>
        <v>#VALUE!</v>
      </c>
      <c r="FX40" t="e">
        <f>AND(medidas!R43,"AAAAABb767M=")</f>
        <v>#VALUE!</v>
      </c>
      <c r="FY40" t="e">
        <f>AND(medidas!S43,"AAAAABb767Q=")</f>
        <v>#VALUE!</v>
      </c>
      <c r="FZ40" t="e">
        <f>AND(medidas!T43,"AAAAABb767U=")</f>
        <v>#VALUE!</v>
      </c>
      <c r="GA40" t="e">
        <f>AND(medidas!U43,"AAAAABb767Y=")</f>
        <v>#VALUE!</v>
      </c>
      <c r="GB40" t="e">
        <f>AND(medidas!V43,"AAAAABb767c=")</f>
        <v>#VALUE!</v>
      </c>
      <c r="GC40" t="e">
        <f>AND(medidas!W43,"AAAAABb767g=")</f>
        <v>#VALUE!</v>
      </c>
      <c r="GD40" t="e">
        <f>AND(medidas!X43,"AAAAABb767k=")</f>
        <v>#VALUE!</v>
      </c>
      <c r="GE40" t="e">
        <f>AND(medidas!Y43,"AAAAABb767o=")</f>
        <v>#VALUE!</v>
      </c>
      <c r="GF40" t="e">
        <f>AND(medidas!Z43,"AAAAABb767s=")</f>
        <v>#VALUE!</v>
      </c>
      <c r="GG40" t="e">
        <f>AND(medidas!AA43,"AAAAABb767w=")</f>
        <v>#VALUE!</v>
      </c>
      <c r="GH40" t="e">
        <f>AND(medidas!AB43,"AAAAABb7670=")</f>
        <v>#VALUE!</v>
      </c>
      <c r="GI40" t="e">
        <f>AND(medidas!AC43,"AAAAABb7674=")</f>
        <v>#VALUE!</v>
      </c>
      <c r="GJ40" t="e">
        <f>AND(medidas!AD43,"AAAAABb7678=")</f>
        <v>#VALUE!</v>
      </c>
      <c r="GK40" t="e">
        <f>AND(medidas!AE43,"AAAAABb768A=")</f>
        <v>#VALUE!</v>
      </c>
      <c r="GL40" t="e">
        <f>AND(medidas!AF43,"AAAAABb768E=")</f>
        <v>#VALUE!</v>
      </c>
      <c r="GM40" t="e">
        <f>AND(medidas!AG43,"AAAAABb768I=")</f>
        <v>#VALUE!</v>
      </c>
      <c r="GN40" t="e">
        <f>AND(medidas!AH43,"AAAAABb768M=")</f>
        <v>#VALUE!</v>
      </c>
      <c r="GO40" t="e">
        <f>AND(medidas!AI43,"AAAAABb768Q=")</f>
        <v>#VALUE!</v>
      </c>
      <c r="GP40" t="e">
        <f>AND(medidas!AJ43,"AAAAABb768U=")</f>
        <v>#VALUE!</v>
      </c>
      <c r="GQ40" t="e">
        <f>AND(medidas!AK43,"AAAAABb768Y=")</f>
        <v>#VALUE!</v>
      </c>
      <c r="GR40" t="e">
        <f>AND(medidas!AL43,"AAAAABb768c=")</f>
        <v>#VALUE!</v>
      </c>
      <c r="GS40" t="e">
        <f>AND(medidas!AM43,"AAAAABb768g=")</f>
        <v>#VALUE!</v>
      </c>
      <c r="GT40" t="e">
        <f>AND(medidas!AN43,"AAAAABb768k=")</f>
        <v>#VALUE!</v>
      </c>
      <c r="GU40" t="e">
        <f>AND(medidas!AO43,"AAAAABb768o=")</f>
        <v>#VALUE!</v>
      </c>
      <c r="GV40" t="e">
        <f>AND(medidas!AP43,"AAAAABb768s=")</f>
        <v>#VALUE!</v>
      </c>
      <c r="GW40" t="e">
        <f>AND(medidas!AQ43,"AAAAABb768w=")</f>
        <v>#VALUE!</v>
      </c>
      <c r="GX40" t="e">
        <f>AND(medidas!AR43,"AAAAABb7680=")</f>
        <v>#VALUE!</v>
      </c>
      <c r="GY40" t="e">
        <f>AND(medidas!AS43,"AAAAABb7684=")</f>
        <v>#VALUE!</v>
      </c>
      <c r="GZ40" t="e">
        <f>AND(medidas!AT43,"AAAAABb7688=")</f>
        <v>#VALUE!</v>
      </c>
      <c r="HA40" t="e">
        <f>AND(medidas!AU43,"AAAAABb769A=")</f>
        <v>#VALUE!</v>
      </c>
      <c r="HB40" t="e">
        <f>AND(medidas!AV43,"AAAAABb769E=")</f>
        <v>#VALUE!</v>
      </c>
      <c r="HC40" t="e">
        <f>AND(medidas!AW43,"AAAAABb769I=")</f>
        <v>#VALUE!</v>
      </c>
      <c r="HD40" t="e">
        <f>AND(medidas!AX43,"AAAAABb769M=")</f>
        <v>#VALUE!</v>
      </c>
      <c r="HE40" t="e">
        <f>AND(medidas!AY43,"AAAAABb769Q=")</f>
        <v>#VALUE!</v>
      </c>
      <c r="HF40" t="e">
        <f>AND(medidas!AZ43,"AAAAABb769U=")</f>
        <v>#VALUE!</v>
      </c>
      <c r="HG40" t="e">
        <f>AND(medidas!BA43,"AAAAABb769Y=")</f>
        <v>#VALUE!</v>
      </c>
      <c r="HH40" t="e">
        <f>AND(medidas!BB43,"AAAAABb769c=")</f>
        <v>#VALUE!</v>
      </c>
      <c r="HI40" t="e">
        <f>AND(medidas!BC43,"AAAAABb769g=")</f>
        <v>#VALUE!</v>
      </c>
      <c r="HJ40" t="e">
        <f>AND(medidas!BD43,"AAAAABb769k=")</f>
        <v>#VALUE!</v>
      </c>
      <c r="HK40" t="e">
        <f>AND(medidas!BE43,"AAAAABb769o=")</f>
        <v>#VALUE!</v>
      </c>
      <c r="HL40" t="e">
        <f>AND(medidas!BF43,"AAAAABb769s=")</f>
        <v>#VALUE!</v>
      </c>
      <c r="HM40" t="e">
        <f>AND(medidas!BG43,"AAAAABb769w=")</f>
        <v>#VALUE!</v>
      </c>
      <c r="HN40" t="e">
        <f>AND(medidas!BH43,"AAAAABb7690=")</f>
        <v>#VALUE!</v>
      </c>
      <c r="HO40" t="e">
        <f>AND(medidas!BI43,"AAAAABb7694=")</f>
        <v>#VALUE!</v>
      </c>
      <c r="HP40" t="e">
        <f>AND(medidas!BJ43,"AAAAABb7698=")</f>
        <v>#VALUE!</v>
      </c>
      <c r="HQ40" t="e">
        <f>AND(medidas!BK43,"AAAAABb76+A=")</f>
        <v>#VALUE!</v>
      </c>
      <c r="HR40" t="e">
        <f>AND(medidas!BL43,"AAAAABb76+E=")</f>
        <v>#VALUE!</v>
      </c>
      <c r="HS40" t="e">
        <f>AND(medidas!BM43,"AAAAABb76+I=")</f>
        <v>#VALUE!</v>
      </c>
      <c r="HT40" t="e">
        <f>AND(medidas!BN43,"AAAAABb76+M=")</f>
        <v>#VALUE!</v>
      </c>
      <c r="HU40" t="e">
        <f>AND(medidas!BO43,"AAAAABb76+Q=")</f>
        <v>#VALUE!</v>
      </c>
      <c r="HV40" t="e">
        <f>AND(medidas!BP43,"AAAAABb76+U=")</f>
        <v>#VALUE!</v>
      </c>
      <c r="HW40" t="e">
        <f>AND(medidas!BQ43,"AAAAABb76+Y=")</f>
        <v>#VALUE!</v>
      </c>
      <c r="HX40" t="e">
        <f>AND(medidas!BR43,"AAAAABb76+c=")</f>
        <v>#VALUE!</v>
      </c>
      <c r="HY40" t="e">
        <f>AND(medidas!BS43,"AAAAABb76+g=")</f>
        <v>#VALUE!</v>
      </c>
      <c r="HZ40" t="e">
        <f>AND(medidas!BT43,"AAAAABb76+k=")</f>
        <v>#VALUE!</v>
      </c>
      <c r="IA40" t="e">
        <f>AND(medidas!BU43,"AAAAABb76+o=")</f>
        <v>#VALUE!</v>
      </c>
      <c r="IB40" t="e">
        <f>AND(medidas!BV43,"AAAAABb76+s=")</f>
        <v>#VALUE!</v>
      </c>
      <c r="IC40" t="e">
        <f>AND(medidas!BW43,"AAAAABb76+w=")</f>
        <v>#VALUE!</v>
      </c>
      <c r="ID40" t="e">
        <f>AND(medidas!BX43,"AAAAABb76+0=")</f>
        <v>#VALUE!</v>
      </c>
      <c r="IE40" t="e">
        <f>AND(medidas!BY43,"AAAAABb76+4=")</f>
        <v>#VALUE!</v>
      </c>
      <c r="IF40">
        <f>IF(medidas!44:44,"AAAAABb76+8=",0)</f>
        <v>0</v>
      </c>
      <c r="IG40" t="e">
        <f>AND(medidas!B44,"AAAAABb76/A=")</f>
        <v>#VALUE!</v>
      </c>
      <c r="IH40" t="e">
        <f>AND(medidas!C44,"AAAAABb76/E=")</f>
        <v>#VALUE!</v>
      </c>
      <c r="II40" t="e">
        <f>AND(medidas!D44,"AAAAABb76/I=")</f>
        <v>#VALUE!</v>
      </c>
      <c r="IJ40" t="e">
        <f>AND(medidas!E44,"AAAAABb76/M=")</f>
        <v>#VALUE!</v>
      </c>
      <c r="IK40" t="e">
        <f>AND(medidas!F44,"AAAAABb76/Q=")</f>
        <v>#VALUE!</v>
      </c>
      <c r="IL40" t="e">
        <f>AND(medidas!G44,"AAAAABb76/U=")</f>
        <v>#VALUE!</v>
      </c>
      <c r="IM40" t="e">
        <f>AND(medidas!H44,"AAAAABb76/Y=")</f>
        <v>#VALUE!</v>
      </c>
      <c r="IN40" t="e">
        <f>AND(medidas!I44,"AAAAABb76/c=")</f>
        <v>#VALUE!</v>
      </c>
      <c r="IO40" t="e">
        <f>AND(medidas!J44,"AAAAABb76/g=")</f>
        <v>#VALUE!</v>
      </c>
      <c r="IP40" t="e">
        <f>AND(medidas!K44,"AAAAABb76/k=")</f>
        <v>#VALUE!</v>
      </c>
      <c r="IQ40" t="e">
        <f>AND(medidas!L44,"AAAAABb76/o=")</f>
        <v>#VALUE!</v>
      </c>
      <c r="IR40" t="e">
        <f>AND(medidas!M44,"AAAAABb76/s=")</f>
        <v>#VALUE!</v>
      </c>
      <c r="IS40" t="e">
        <f>AND(medidas!N44,"AAAAABb76/w=")</f>
        <v>#VALUE!</v>
      </c>
      <c r="IT40" t="e">
        <f>AND(medidas!O44,"AAAAABb76/0=")</f>
        <v>#VALUE!</v>
      </c>
      <c r="IU40" t="e">
        <f>AND(medidas!P44,"AAAAABb76/4=")</f>
        <v>#VALUE!</v>
      </c>
      <c r="IV40" t="e">
        <f>AND(medidas!Q44,"AAAAABb76/8=")</f>
        <v>#VALUE!</v>
      </c>
    </row>
    <row r="41" spans="1:256" x14ac:dyDescent="0.2">
      <c r="A41" t="e">
        <f>AND(medidas!R44,"AAAAAHah/QA=")</f>
        <v>#VALUE!</v>
      </c>
      <c r="B41" t="e">
        <f>AND(medidas!S44,"AAAAAHah/QE=")</f>
        <v>#VALUE!</v>
      </c>
      <c r="C41" t="e">
        <f>AND(medidas!T44,"AAAAAHah/QI=")</f>
        <v>#VALUE!</v>
      </c>
      <c r="D41" t="e">
        <f>AND(medidas!U44,"AAAAAHah/QM=")</f>
        <v>#VALUE!</v>
      </c>
      <c r="E41" t="e">
        <f>AND(medidas!V44,"AAAAAHah/QQ=")</f>
        <v>#VALUE!</v>
      </c>
      <c r="F41" t="e">
        <f>AND(medidas!W44,"AAAAAHah/QU=")</f>
        <v>#VALUE!</v>
      </c>
      <c r="G41" t="e">
        <f>AND(medidas!X44,"AAAAAHah/QY=")</f>
        <v>#VALUE!</v>
      </c>
      <c r="H41" t="e">
        <f>AND(medidas!Y44,"AAAAAHah/Qc=")</f>
        <v>#VALUE!</v>
      </c>
      <c r="I41" t="e">
        <f>AND(medidas!Z44,"AAAAAHah/Qg=")</f>
        <v>#VALUE!</v>
      </c>
      <c r="J41" t="e">
        <f>AND(medidas!AA44,"AAAAAHah/Qk=")</f>
        <v>#VALUE!</v>
      </c>
      <c r="K41" t="e">
        <f>AND(medidas!AB44,"AAAAAHah/Qo=")</f>
        <v>#VALUE!</v>
      </c>
      <c r="L41" t="e">
        <f>AND(medidas!AC44,"AAAAAHah/Qs=")</f>
        <v>#VALUE!</v>
      </c>
      <c r="M41" t="e">
        <f>AND(medidas!AD44,"AAAAAHah/Qw=")</f>
        <v>#VALUE!</v>
      </c>
      <c r="N41" t="e">
        <f>AND(medidas!AE44,"AAAAAHah/Q0=")</f>
        <v>#VALUE!</v>
      </c>
      <c r="O41" t="e">
        <f>AND(medidas!AF44,"AAAAAHah/Q4=")</f>
        <v>#VALUE!</v>
      </c>
      <c r="P41" t="e">
        <f>AND(medidas!AG44,"AAAAAHah/Q8=")</f>
        <v>#VALUE!</v>
      </c>
      <c r="Q41" t="e">
        <f>AND(medidas!AH44,"AAAAAHah/RA=")</f>
        <v>#VALUE!</v>
      </c>
      <c r="R41" t="e">
        <f>AND(medidas!AI44,"AAAAAHah/RE=")</f>
        <v>#VALUE!</v>
      </c>
      <c r="S41" t="e">
        <f>AND(medidas!AJ44,"AAAAAHah/RI=")</f>
        <v>#VALUE!</v>
      </c>
      <c r="T41" t="e">
        <f>AND(medidas!AK44,"AAAAAHah/RM=")</f>
        <v>#VALUE!</v>
      </c>
      <c r="U41" t="e">
        <f>AND(medidas!AL44,"AAAAAHah/RQ=")</f>
        <v>#VALUE!</v>
      </c>
      <c r="V41" t="e">
        <f>AND(medidas!AM44,"AAAAAHah/RU=")</f>
        <v>#VALUE!</v>
      </c>
      <c r="W41" t="e">
        <f>AND(medidas!AN44,"AAAAAHah/RY=")</f>
        <v>#VALUE!</v>
      </c>
      <c r="X41" t="e">
        <f>AND(medidas!AO44,"AAAAAHah/Rc=")</f>
        <v>#VALUE!</v>
      </c>
      <c r="Y41" t="e">
        <f>AND(medidas!AP44,"AAAAAHah/Rg=")</f>
        <v>#VALUE!</v>
      </c>
      <c r="Z41" t="e">
        <f>AND(medidas!AQ44,"AAAAAHah/Rk=")</f>
        <v>#VALUE!</v>
      </c>
      <c r="AA41" t="e">
        <f>AND(medidas!AR44,"AAAAAHah/Ro=")</f>
        <v>#VALUE!</v>
      </c>
      <c r="AB41" t="e">
        <f>AND(medidas!AS44,"AAAAAHah/Rs=")</f>
        <v>#VALUE!</v>
      </c>
      <c r="AC41" t="e">
        <f>AND(medidas!AT44,"AAAAAHah/Rw=")</f>
        <v>#VALUE!</v>
      </c>
      <c r="AD41" t="e">
        <f>AND(medidas!AU44,"AAAAAHah/R0=")</f>
        <v>#VALUE!</v>
      </c>
      <c r="AE41" t="e">
        <f>AND(medidas!AV44,"AAAAAHah/R4=")</f>
        <v>#VALUE!</v>
      </c>
      <c r="AF41" t="e">
        <f>AND(medidas!AW44,"AAAAAHah/R8=")</f>
        <v>#VALUE!</v>
      </c>
      <c r="AG41" t="e">
        <f>AND(medidas!AX44,"AAAAAHah/SA=")</f>
        <v>#VALUE!</v>
      </c>
      <c r="AH41" t="e">
        <f>AND(medidas!AY44,"AAAAAHah/SE=")</f>
        <v>#VALUE!</v>
      </c>
      <c r="AI41" t="e">
        <f>AND(medidas!AZ44,"AAAAAHah/SI=")</f>
        <v>#VALUE!</v>
      </c>
      <c r="AJ41" t="e">
        <f>AND(medidas!BA44,"AAAAAHah/SM=")</f>
        <v>#VALUE!</v>
      </c>
      <c r="AK41" t="e">
        <f>AND(medidas!BB44,"AAAAAHah/SQ=")</f>
        <v>#VALUE!</v>
      </c>
      <c r="AL41" t="e">
        <f>AND(medidas!BC44,"AAAAAHah/SU=")</f>
        <v>#VALUE!</v>
      </c>
      <c r="AM41" t="e">
        <f>AND(medidas!BD44,"AAAAAHah/SY=")</f>
        <v>#VALUE!</v>
      </c>
      <c r="AN41" t="e">
        <f>AND(medidas!BE44,"AAAAAHah/Sc=")</f>
        <v>#VALUE!</v>
      </c>
      <c r="AO41" t="e">
        <f>AND(medidas!BF44,"AAAAAHah/Sg=")</f>
        <v>#VALUE!</v>
      </c>
      <c r="AP41" t="e">
        <f>AND(medidas!BG44,"AAAAAHah/Sk=")</f>
        <v>#VALUE!</v>
      </c>
      <c r="AQ41" t="e">
        <f>AND(medidas!BH44,"AAAAAHah/So=")</f>
        <v>#VALUE!</v>
      </c>
      <c r="AR41" t="e">
        <f>AND(medidas!BI44,"AAAAAHah/Ss=")</f>
        <v>#VALUE!</v>
      </c>
      <c r="AS41" t="e">
        <f>AND(medidas!BJ44,"AAAAAHah/Sw=")</f>
        <v>#VALUE!</v>
      </c>
      <c r="AT41" t="e">
        <f>AND(medidas!BK44,"AAAAAHah/S0=")</f>
        <v>#VALUE!</v>
      </c>
      <c r="AU41" t="e">
        <f>AND(medidas!BL44,"AAAAAHah/S4=")</f>
        <v>#VALUE!</v>
      </c>
      <c r="AV41" t="e">
        <f>AND(medidas!BM44,"AAAAAHah/S8=")</f>
        <v>#VALUE!</v>
      </c>
      <c r="AW41" t="e">
        <f>AND(medidas!BN44,"AAAAAHah/TA=")</f>
        <v>#VALUE!</v>
      </c>
      <c r="AX41" t="e">
        <f>AND(medidas!BO44,"AAAAAHah/TE=")</f>
        <v>#VALUE!</v>
      </c>
      <c r="AY41" t="e">
        <f>AND(medidas!BP44,"AAAAAHah/TI=")</f>
        <v>#VALUE!</v>
      </c>
      <c r="AZ41" t="e">
        <f>AND(medidas!BQ44,"AAAAAHah/TM=")</f>
        <v>#VALUE!</v>
      </c>
      <c r="BA41" t="e">
        <f>AND(medidas!BR44,"AAAAAHah/TQ=")</f>
        <v>#VALUE!</v>
      </c>
      <c r="BB41" t="e">
        <f>AND(medidas!BS44,"AAAAAHah/TU=")</f>
        <v>#VALUE!</v>
      </c>
      <c r="BC41" t="e">
        <f>AND(medidas!BT44,"AAAAAHah/TY=")</f>
        <v>#VALUE!</v>
      </c>
      <c r="BD41" t="e">
        <f>AND(medidas!BU44,"AAAAAHah/Tc=")</f>
        <v>#VALUE!</v>
      </c>
      <c r="BE41" t="e">
        <f>AND(medidas!BV44,"AAAAAHah/Tg=")</f>
        <v>#VALUE!</v>
      </c>
      <c r="BF41" t="e">
        <f>AND(medidas!BW44,"AAAAAHah/Tk=")</f>
        <v>#VALUE!</v>
      </c>
      <c r="BG41" t="e">
        <f>AND(medidas!BX44,"AAAAAHah/To=")</f>
        <v>#VALUE!</v>
      </c>
      <c r="BH41" t="e">
        <f>AND(medidas!BY44,"AAAAAHah/Ts=")</f>
        <v>#VALUE!</v>
      </c>
      <c r="BI41">
        <f>IF(medidas!45:45,"AAAAAHah/Tw=",0)</f>
        <v>0</v>
      </c>
      <c r="BJ41" t="e">
        <f>AND(medidas!B45,"AAAAAHah/T0=")</f>
        <v>#VALUE!</v>
      </c>
      <c r="BK41" t="e">
        <f>AND(medidas!C45,"AAAAAHah/T4=")</f>
        <v>#VALUE!</v>
      </c>
      <c r="BL41" t="e">
        <f>AND(medidas!D45,"AAAAAHah/T8=")</f>
        <v>#VALUE!</v>
      </c>
      <c r="BM41" t="e">
        <f>AND(medidas!E45,"AAAAAHah/UA=")</f>
        <v>#VALUE!</v>
      </c>
      <c r="BN41" t="e">
        <f>AND(medidas!F45,"AAAAAHah/UE=")</f>
        <v>#VALUE!</v>
      </c>
      <c r="BO41" t="e">
        <f>AND(medidas!G45,"AAAAAHah/UI=")</f>
        <v>#VALUE!</v>
      </c>
      <c r="BP41" t="e">
        <f>AND(medidas!H45,"AAAAAHah/UM=")</f>
        <v>#VALUE!</v>
      </c>
      <c r="BQ41" t="e">
        <f>AND(medidas!I45,"AAAAAHah/UQ=")</f>
        <v>#VALUE!</v>
      </c>
      <c r="BR41" t="e">
        <f>AND(medidas!J45,"AAAAAHah/UU=")</f>
        <v>#VALUE!</v>
      </c>
      <c r="BS41" t="e">
        <f>AND(medidas!K45,"AAAAAHah/UY=")</f>
        <v>#VALUE!</v>
      </c>
      <c r="BT41" t="e">
        <f>AND(medidas!L45,"AAAAAHah/Uc=")</f>
        <v>#VALUE!</v>
      </c>
      <c r="BU41" t="e">
        <f>AND(medidas!M45,"AAAAAHah/Ug=")</f>
        <v>#VALUE!</v>
      </c>
      <c r="BV41" t="e">
        <f>AND(medidas!N45,"AAAAAHah/Uk=")</f>
        <v>#VALUE!</v>
      </c>
      <c r="BW41" t="e">
        <f>AND(medidas!O45,"AAAAAHah/Uo=")</f>
        <v>#VALUE!</v>
      </c>
      <c r="BX41" t="e">
        <f>AND(medidas!P45,"AAAAAHah/Us=")</f>
        <v>#VALUE!</v>
      </c>
      <c r="BY41" t="e">
        <f>AND(medidas!Q45,"AAAAAHah/Uw=")</f>
        <v>#VALUE!</v>
      </c>
      <c r="BZ41" t="e">
        <f>AND(medidas!R45,"AAAAAHah/U0=")</f>
        <v>#VALUE!</v>
      </c>
      <c r="CA41" t="e">
        <f>AND(medidas!S45,"AAAAAHah/U4=")</f>
        <v>#VALUE!</v>
      </c>
      <c r="CB41" t="e">
        <f>AND(medidas!T45,"AAAAAHah/U8=")</f>
        <v>#VALUE!</v>
      </c>
      <c r="CC41" t="e">
        <f>AND(medidas!U45,"AAAAAHah/VA=")</f>
        <v>#VALUE!</v>
      </c>
      <c r="CD41" t="e">
        <f>AND(medidas!V45,"AAAAAHah/VE=")</f>
        <v>#VALUE!</v>
      </c>
      <c r="CE41" t="e">
        <f>AND(medidas!W45,"AAAAAHah/VI=")</f>
        <v>#VALUE!</v>
      </c>
      <c r="CF41" t="e">
        <f>AND(medidas!X45,"AAAAAHah/VM=")</f>
        <v>#VALUE!</v>
      </c>
      <c r="CG41" t="e">
        <f>AND(medidas!Y45,"AAAAAHah/VQ=")</f>
        <v>#VALUE!</v>
      </c>
      <c r="CH41" t="e">
        <f>AND(medidas!Z45,"AAAAAHah/VU=")</f>
        <v>#VALUE!</v>
      </c>
      <c r="CI41" t="e">
        <f>AND(medidas!AA45,"AAAAAHah/VY=")</f>
        <v>#VALUE!</v>
      </c>
      <c r="CJ41" t="e">
        <f>AND(medidas!AB45,"AAAAAHah/Vc=")</f>
        <v>#VALUE!</v>
      </c>
      <c r="CK41" t="e">
        <f>AND(medidas!AC45,"AAAAAHah/Vg=")</f>
        <v>#VALUE!</v>
      </c>
      <c r="CL41" t="e">
        <f>AND(medidas!AD45,"AAAAAHah/Vk=")</f>
        <v>#VALUE!</v>
      </c>
      <c r="CM41" t="e">
        <f>AND(medidas!AE45,"AAAAAHah/Vo=")</f>
        <v>#VALUE!</v>
      </c>
      <c r="CN41" t="e">
        <f>AND(medidas!AF45,"AAAAAHah/Vs=")</f>
        <v>#VALUE!</v>
      </c>
      <c r="CO41" t="e">
        <f>AND(medidas!AG45,"AAAAAHah/Vw=")</f>
        <v>#VALUE!</v>
      </c>
      <c r="CP41" t="e">
        <f>AND(medidas!AH45,"AAAAAHah/V0=")</f>
        <v>#VALUE!</v>
      </c>
      <c r="CQ41" t="e">
        <f>AND(medidas!AI45,"AAAAAHah/V4=")</f>
        <v>#VALUE!</v>
      </c>
      <c r="CR41" t="e">
        <f>AND(medidas!AJ45,"AAAAAHah/V8=")</f>
        <v>#VALUE!</v>
      </c>
      <c r="CS41" t="e">
        <f>AND(medidas!AK45,"AAAAAHah/WA=")</f>
        <v>#VALUE!</v>
      </c>
      <c r="CT41" t="e">
        <f>AND(medidas!AL45,"AAAAAHah/WE=")</f>
        <v>#VALUE!</v>
      </c>
      <c r="CU41" t="e">
        <f>AND(medidas!AM45,"AAAAAHah/WI=")</f>
        <v>#VALUE!</v>
      </c>
      <c r="CV41" t="e">
        <f>AND(medidas!AN45,"AAAAAHah/WM=")</f>
        <v>#VALUE!</v>
      </c>
      <c r="CW41" t="e">
        <f>AND(medidas!AO45,"AAAAAHah/WQ=")</f>
        <v>#VALUE!</v>
      </c>
      <c r="CX41" t="e">
        <f>AND(medidas!AP45,"AAAAAHah/WU=")</f>
        <v>#VALUE!</v>
      </c>
      <c r="CY41" t="e">
        <f>AND(medidas!AQ45,"AAAAAHah/WY=")</f>
        <v>#VALUE!</v>
      </c>
      <c r="CZ41" t="e">
        <f>AND(medidas!AR45,"AAAAAHah/Wc=")</f>
        <v>#VALUE!</v>
      </c>
      <c r="DA41" t="e">
        <f>AND(medidas!AS45,"AAAAAHah/Wg=")</f>
        <v>#VALUE!</v>
      </c>
      <c r="DB41" t="e">
        <f>AND(medidas!AT45,"AAAAAHah/Wk=")</f>
        <v>#VALUE!</v>
      </c>
      <c r="DC41" t="e">
        <f>AND(medidas!AU45,"AAAAAHah/Wo=")</f>
        <v>#VALUE!</v>
      </c>
      <c r="DD41" t="e">
        <f>AND(medidas!AV45,"AAAAAHah/Ws=")</f>
        <v>#VALUE!</v>
      </c>
      <c r="DE41" t="e">
        <f>AND(medidas!AW45,"AAAAAHah/Ww=")</f>
        <v>#VALUE!</v>
      </c>
      <c r="DF41" t="e">
        <f>AND(medidas!AX45,"AAAAAHah/W0=")</f>
        <v>#VALUE!</v>
      </c>
      <c r="DG41" t="e">
        <f>AND(medidas!AY45,"AAAAAHah/W4=")</f>
        <v>#VALUE!</v>
      </c>
      <c r="DH41" t="e">
        <f>AND(medidas!AZ45,"AAAAAHah/W8=")</f>
        <v>#VALUE!</v>
      </c>
      <c r="DI41" t="e">
        <f>AND(medidas!BA45,"AAAAAHah/XA=")</f>
        <v>#VALUE!</v>
      </c>
      <c r="DJ41" t="e">
        <f>AND(medidas!BB45,"AAAAAHah/XE=")</f>
        <v>#VALUE!</v>
      </c>
      <c r="DK41" t="e">
        <f>AND(medidas!BC45,"AAAAAHah/XI=")</f>
        <v>#VALUE!</v>
      </c>
      <c r="DL41" t="e">
        <f>AND(medidas!BD45,"AAAAAHah/XM=")</f>
        <v>#VALUE!</v>
      </c>
      <c r="DM41" t="e">
        <f>AND(medidas!BE45,"AAAAAHah/XQ=")</f>
        <v>#VALUE!</v>
      </c>
      <c r="DN41" t="e">
        <f>AND(medidas!BF45,"AAAAAHah/XU=")</f>
        <v>#VALUE!</v>
      </c>
      <c r="DO41" t="e">
        <f>AND(medidas!BG45,"AAAAAHah/XY=")</f>
        <v>#VALUE!</v>
      </c>
      <c r="DP41" t="e">
        <f>AND(medidas!BH45,"AAAAAHah/Xc=")</f>
        <v>#VALUE!</v>
      </c>
      <c r="DQ41" t="e">
        <f>AND(medidas!BI45,"AAAAAHah/Xg=")</f>
        <v>#VALUE!</v>
      </c>
      <c r="DR41" t="e">
        <f>AND(medidas!BJ45,"AAAAAHah/Xk=")</f>
        <v>#VALUE!</v>
      </c>
      <c r="DS41" t="e">
        <f>AND(medidas!BK45,"AAAAAHah/Xo=")</f>
        <v>#VALUE!</v>
      </c>
      <c r="DT41" t="e">
        <f>AND(medidas!BL45,"AAAAAHah/Xs=")</f>
        <v>#VALUE!</v>
      </c>
      <c r="DU41" t="e">
        <f>AND(medidas!BM45,"AAAAAHah/Xw=")</f>
        <v>#VALUE!</v>
      </c>
      <c r="DV41" t="e">
        <f>AND(medidas!BN45,"AAAAAHah/X0=")</f>
        <v>#VALUE!</v>
      </c>
      <c r="DW41" t="e">
        <f>AND(medidas!BO45,"AAAAAHah/X4=")</f>
        <v>#VALUE!</v>
      </c>
      <c r="DX41" t="e">
        <f>AND(medidas!BP45,"AAAAAHah/X8=")</f>
        <v>#VALUE!</v>
      </c>
      <c r="DY41" t="e">
        <f>AND(medidas!BQ45,"AAAAAHah/YA=")</f>
        <v>#VALUE!</v>
      </c>
      <c r="DZ41" t="e">
        <f>AND(medidas!BR45,"AAAAAHah/YE=")</f>
        <v>#VALUE!</v>
      </c>
      <c r="EA41" t="e">
        <f>AND(medidas!BS45,"AAAAAHah/YI=")</f>
        <v>#VALUE!</v>
      </c>
      <c r="EB41" t="e">
        <f>AND(medidas!BT45,"AAAAAHah/YM=")</f>
        <v>#VALUE!</v>
      </c>
      <c r="EC41" t="e">
        <f>AND(medidas!BU45,"AAAAAHah/YQ=")</f>
        <v>#VALUE!</v>
      </c>
      <c r="ED41" t="e">
        <f>AND(medidas!BV45,"AAAAAHah/YU=")</f>
        <v>#VALUE!</v>
      </c>
      <c r="EE41" t="e">
        <f>AND(medidas!BW45,"AAAAAHah/YY=")</f>
        <v>#VALUE!</v>
      </c>
      <c r="EF41" t="e">
        <f>AND(medidas!BX45,"AAAAAHah/Yc=")</f>
        <v>#VALUE!</v>
      </c>
      <c r="EG41" t="e">
        <f>AND(medidas!BY45,"AAAAAHah/Yg=")</f>
        <v>#VALUE!</v>
      </c>
      <c r="EH41">
        <f>IF(medidas!46:46,"AAAAAHah/Yk=",0)</f>
        <v>0</v>
      </c>
      <c r="EI41" t="e">
        <f>AND(medidas!B46,"AAAAAHah/Yo=")</f>
        <v>#VALUE!</v>
      </c>
      <c r="EJ41" t="e">
        <f>AND(medidas!C46,"AAAAAHah/Ys=")</f>
        <v>#VALUE!</v>
      </c>
      <c r="EK41" t="e">
        <f>AND(medidas!D46,"AAAAAHah/Yw=")</f>
        <v>#VALUE!</v>
      </c>
      <c r="EL41" t="e">
        <f>AND(medidas!E46,"AAAAAHah/Y0=")</f>
        <v>#VALUE!</v>
      </c>
      <c r="EM41" t="e">
        <f>AND(medidas!F46,"AAAAAHah/Y4=")</f>
        <v>#VALUE!</v>
      </c>
      <c r="EN41" t="e">
        <f>AND(medidas!G46,"AAAAAHah/Y8=")</f>
        <v>#VALUE!</v>
      </c>
      <c r="EO41" t="e">
        <f>AND(medidas!H46,"AAAAAHah/ZA=")</f>
        <v>#VALUE!</v>
      </c>
      <c r="EP41" t="e">
        <f>AND(medidas!I46,"AAAAAHah/ZE=")</f>
        <v>#VALUE!</v>
      </c>
      <c r="EQ41" t="e">
        <f>AND(medidas!J46,"AAAAAHah/ZI=")</f>
        <v>#VALUE!</v>
      </c>
      <c r="ER41" t="e">
        <f>AND(medidas!K46,"AAAAAHah/ZM=")</f>
        <v>#VALUE!</v>
      </c>
      <c r="ES41" t="e">
        <f>AND(medidas!L46,"AAAAAHah/ZQ=")</f>
        <v>#VALUE!</v>
      </c>
      <c r="ET41" t="e">
        <f>AND(medidas!M46,"AAAAAHah/ZU=")</f>
        <v>#VALUE!</v>
      </c>
      <c r="EU41" t="e">
        <f>AND(medidas!N46,"AAAAAHah/ZY=")</f>
        <v>#VALUE!</v>
      </c>
      <c r="EV41" t="e">
        <f>AND(medidas!O46,"AAAAAHah/Zc=")</f>
        <v>#VALUE!</v>
      </c>
      <c r="EW41" t="e">
        <f>AND(medidas!P46,"AAAAAHah/Zg=")</f>
        <v>#VALUE!</v>
      </c>
      <c r="EX41" t="e">
        <f>AND(medidas!Q46,"AAAAAHah/Zk=")</f>
        <v>#VALUE!</v>
      </c>
      <c r="EY41" t="e">
        <f>AND(medidas!R46,"AAAAAHah/Zo=")</f>
        <v>#VALUE!</v>
      </c>
      <c r="EZ41" t="e">
        <f>AND(medidas!S46,"AAAAAHah/Zs=")</f>
        <v>#VALUE!</v>
      </c>
      <c r="FA41" t="e">
        <f>AND(medidas!T46,"AAAAAHah/Zw=")</f>
        <v>#VALUE!</v>
      </c>
      <c r="FB41" t="e">
        <f>AND(medidas!U46,"AAAAAHah/Z0=")</f>
        <v>#VALUE!</v>
      </c>
      <c r="FC41" t="e">
        <f>AND(medidas!V46,"AAAAAHah/Z4=")</f>
        <v>#VALUE!</v>
      </c>
      <c r="FD41" t="e">
        <f>AND(medidas!W46,"AAAAAHah/Z8=")</f>
        <v>#VALUE!</v>
      </c>
      <c r="FE41" t="e">
        <f>AND(medidas!X46,"AAAAAHah/aA=")</f>
        <v>#VALUE!</v>
      </c>
      <c r="FF41" t="e">
        <f>AND(medidas!Y46,"AAAAAHah/aE=")</f>
        <v>#VALUE!</v>
      </c>
      <c r="FG41" t="e">
        <f>AND(medidas!Z46,"AAAAAHah/aI=")</f>
        <v>#VALUE!</v>
      </c>
      <c r="FH41" t="e">
        <f>AND(medidas!AA46,"AAAAAHah/aM=")</f>
        <v>#VALUE!</v>
      </c>
      <c r="FI41" t="e">
        <f>AND(medidas!AB46,"AAAAAHah/aQ=")</f>
        <v>#VALUE!</v>
      </c>
      <c r="FJ41" t="e">
        <f>AND(medidas!AC46,"AAAAAHah/aU=")</f>
        <v>#VALUE!</v>
      </c>
      <c r="FK41" t="e">
        <f>AND(medidas!AD46,"AAAAAHah/aY=")</f>
        <v>#VALUE!</v>
      </c>
      <c r="FL41" t="e">
        <f>AND(medidas!AE46,"AAAAAHah/ac=")</f>
        <v>#VALUE!</v>
      </c>
      <c r="FM41" t="e">
        <f>AND(medidas!AF46,"AAAAAHah/ag=")</f>
        <v>#VALUE!</v>
      </c>
      <c r="FN41" t="e">
        <f>AND(medidas!AG46,"AAAAAHah/ak=")</f>
        <v>#VALUE!</v>
      </c>
      <c r="FO41" t="e">
        <f>AND(medidas!AH46,"AAAAAHah/ao=")</f>
        <v>#VALUE!</v>
      </c>
      <c r="FP41" t="e">
        <f>AND(medidas!AI46,"AAAAAHah/as=")</f>
        <v>#VALUE!</v>
      </c>
      <c r="FQ41" t="e">
        <f>AND(medidas!AJ46,"AAAAAHah/aw=")</f>
        <v>#VALUE!</v>
      </c>
      <c r="FR41" t="e">
        <f>AND(medidas!AK46,"AAAAAHah/a0=")</f>
        <v>#VALUE!</v>
      </c>
      <c r="FS41" t="e">
        <f>AND(medidas!AL46,"AAAAAHah/a4=")</f>
        <v>#VALUE!</v>
      </c>
      <c r="FT41" t="e">
        <f>AND(medidas!AM46,"AAAAAHah/a8=")</f>
        <v>#VALUE!</v>
      </c>
      <c r="FU41" t="e">
        <f>AND(medidas!AN46,"AAAAAHah/bA=")</f>
        <v>#VALUE!</v>
      </c>
      <c r="FV41" t="e">
        <f>AND(medidas!AO46,"AAAAAHah/bE=")</f>
        <v>#VALUE!</v>
      </c>
      <c r="FW41" t="e">
        <f>AND(medidas!AP46,"AAAAAHah/bI=")</f>
        <v>#VALUE!</v>
      </c>
      <c r="FX41" t="e">
        <f>AND(medidas!AQ46,"AAAAAHah/bM=")</f>
        <v>#VALUE!</v>
      </c>
      <c r="FY41" t="e">
        <f>AND(medidas!AR46,"AAAAAHah/bQ=")</f>
        <v>#VALUE!</v>
      </c>
      <c r="FZ41" t="e">
        <f>AND(medidas!AS46,"AAAAAHah/bU=")</f>
        <v>#VALUE!</v>
      </c>
      <c r="GA41" t="e">
        <f>AND(medidas!AT46,"AAAAAHah/bY=")</f>
        <v>#VALUE!</v>
      </c>
      <c r="GB41" t="e">
        <f>AND(medidas!AU46,"AAAAAHah/bc=")</f>
        <v>#VALUE!</v>
      </c>
      <c r="GC41" t="e">
        <f>AND(medidas!AV46,"AAAAAHah/bg=")</f>
        <v>#VALUE!</v>
      </c>
      <c r="GD41" t="e">
        <f>AND(medidas!AW46,"AAAAAHah/bk=")</f>
        <v>#VALUE!</v>
      </c>
      <c r="GE41" t="e">
        <f>AND(medidas!AX46,"AAAAAHah/bo=")</f>
        <v>#VALUE!</v>
      </c>
      <c r="GF41" t="e">
        <f>AND(medidas!AY46,"AAAAAHah/bs=")</f>
        <v>#VALUE!</v>
      </c>
      <c r="GG41" t="e">
        <f>AND(medidas!AZ46,"AAAAAHah/bw=")</f>
        <v>#VALUE!</v>
      </c>
      <c r="GH41" t="e">
        <f>AND(medidas!BA46,"AAAAAHah/b0=")</f>
        <v>#VALUE!</v>
      </c>
      <c r="GI41" t="e">
        <f>AND(medidas!BB46,"AAAAAHah/b4=")</f>
        <v>#VALUE!</v>
      </c>
      <c r="GJ41" t="e">
        <f>AND(medidas!BC46,"AAAAAHah/b8=")</f>
        <v>#VALUE!</v>
      </c>
      <c r="GK41" t="e">
        <f>AND(medidas!BD46,"AAAAAHah/cA=")</f>
        <v>#VALUE!</v>
      </c>
      <c r="GL41" t="e">
        <f>AND(medidas!BE46,"AAAAAHah/cE=")</f>
        <v>#VALUE!</v>
      </c>
      <c r="GM41" t="e">
        <f>AND(medidas!BF46,"AAAAAHah/cI=")</f>
        <v>#VALUE!</v>
      </c>
      <c r="GN41" t="e">
        <f>AND(medidas!BG46,"AAAAAHah/cM=")</f>
        <v>#VALUE!</v>
      </c>
      <c r="GO41" t="e">
        <f>AND(medidas!BH46,"AAAAAHah/cQ=")</f>
        <v>#VALUE!</v>
      </c>
      <c r="GP41" t="e">
        <f>AND(medidas!BI46,"AAAAAHah/cU=")</f>
        <v>#VALUE!</v>
      </c>
      <c r="GQ41" t="e">
        <f>AND(medidas!BJ46,"AAAAAHah/cY=")</f>
        <v>#VALUE!</v>
      </c>
      <c r="GR41" t="e">
        <f>AND(medidas!BK46,"AAAAAHah/cc=")</f>
        <v>#VALUE!</v>
      </c>
      <c r="GS41" t="e">
        <f>AND(medidas!BL46,"AAAAAHah/cg=")</f>
        <v>#VALUE!</v>
      </c>
      <c r="GT41" t="e">
        <f>AND(medidas!BM46,"AAAAAHah/ck=")</f>
        <v>#VALUE!</v>
      </c>
      <c r="GU41" t="e">
        <f>AND(medidas!BN46,"AAAAAHah/co=")</f>
        <v>#VALUE!</v>
      </c>
      <c r="GV41" t="e">
        <f>AND(medidas!BO46,"AAAAAHah/cs=")</f>
        <v>#VALUE!</v>
      </c>
      <c r="GW41" t="e">
        <f>AND(medidas!BP46,"AAAAAHah/cw=")</f>
        <v>#VALUE!</v>
      </c>
      <c r="GX41" t="e">
        <f>AND(medidas!BQ46,"AAAAAHah/c0=")</f>
        <v>#VALUE!</v>
      </c>
      <c r="GY41" t="e">
        <f>AND(medidas!BR46,"AAAAAHah/c4=")</f>
        <v>#VALUE!</v>
      </c>
      <c r="GZ41" t="e">
        <f>AND(medidas!BS46,"AAAAAHah/c8=")</f>
        <v>#VALUE!</v>
      </c>
      <c r="HA41" t="e">
        <f>AND(medidas!BT46,"AAAAAHah/dA=")</f>
        <v>#VALUE!</v>
      </c>
      <c r="HB41" t="e">
        <f>AND(medidas!BU46,"AAAAAHah/dE=")</f>
        <v>#VALUE!</v>
      </c>
      <c r="HC41" t="e">
        <f>AND(medidas!BV46,"AAAAAHah/dI=")</f>
        <v>#VALUE!</v>
      </c>
      <c r="HD41" t="e">
        <f>AND(medidas!BW46,"AAAAAHah/dM=")</f>
        <v>#VALUE!</v>
      </c>
      <c r="HE41" t="e">
        <f>AND(medidas!BX46,"AAAAAHah/dQ=")</f>
        <v>#VALUE!</v>
      </c>
      <c r="HF41" t="e">
        <f>AND(medidas!BY46,"AAAAAHah/dU=")</f>
        <v>#VALUE!</v>
      </c>
      <c r="HG41">
        <f>IF(medidas!47:47,"AAAAAHah/dY=",0)</f>
        <v>0</v>
      </c>
      <c r="HH41" t="e">
        <f>AND(medidas!B47,"AAAAAHah/dc=")</f>
        <v>#VALUE!</v>
      </c>
      <c r="HI41" t="e">
        <f>AND(medidas!C47,"AAAAAHah/dg=")</f>
        <v>#VALUE!</v>
      </c>
      <c r="HJ41" t="e">
        <f>AND(medidas!D47,"AAAAAHah/dk=")</f>
        <v>#VALUE!</v>
      </c>
      <c r="HK41" t="e">
        <f>AND(medidas!E47,"AAAAAHah/do=")</f>
        <v>#VALUE!</v>
      </c>
      <c r="HL41" t="e">
        <f>AND(medidas!F47,"AAAAAHah/ds=")</f>
        <v>#VALUE!</v>
      </c>
      <c r="HM41" t="e">
        <f>AND(medidas!G47,"AAAAAHah/dw=")</f>
        <v>#VALUE!</v>
      </c>
      <c r="HN41" t="e">
        <f>AND(medidas!H47,"AAAAAHah/d0=")</f>
        <v>#VALUE!</v>
      </c>
      <c r="HO41" t="e">
        <f>AND(medidas!I47,"AAAAAHah/d4=")</f>
        <v>#VALUE!</v>
      </c>
      <c r="HP41" t="e">
        <f>AND(medidas!J47,"AAAAAHah/d8=")</f>
        <v>#VALUE!</v>
      </c>
      <c r="HQ41" t="e">
        <f>AND(medidas!K47,"AAAAAHah/eA=")</f>
        <v>#VALUE!</v>
      </c>
      <c r="HR41" t="e">
        <f>AND(medidas!L47,"AAAAAHah/eE=")</f>
        <v>#VALUE!</v>
      </c>
      <c r="HS41" t="e">
        <f>AND(medidas!M47,"AAAAAHah/eI=")</f>
        <v>#VALUE!</v>
      </c>
      <c r="HT41" t="e">
        <f>AND(medidas!N47,"AAAAAHah/eM=")</f>
        <v>#VALUE!</v>
      </c>
      <c r="HU41" t="e">
        <f>AND(medidas!O47,"AAAAAHah/eQ=")</f>
        <v>#VALUE!</v>
      </c>
      <c r="HV41" t="e">
        <f>AND(medidas!P47,"AAAAAHah/eU=")</f>
        <v>#VALUE!</v>
      </c>
      <c r="HW41" t="e">
        <f>AND(medidas!Q47,"AAAAAHah/eY=")</f>
        <v>#VALUE!</v>
      </c>
      <c r="HX41" t="e">
        <f>AND(medidas!R47,"AAAAAHah/ec=")</f>
        <v>#VALUE!</v>
      </c>
      <c r="HY41" t="e">
        <f>AND(medidas!S47,"AAAAAHah/eg=")</f>
        <v>#VALUE!</v>
      </c>
      <c r="HZ41" t="e">
        <f>AND(medidas!T47,"AAAAAHah/ek=")</f>
        <v>#VALUE!</v>
      </c>
      <c r="IA41" t="e">
        <f>AND(medidas!U47,"AAAAAHah/eo=")</f>
        <v>#VALUE!</v>
      </c>
      <c r="IB41" t="e">
        <f>AND(medidas!V47,"AAAAAHah/es=")</f>
        <v>#VALUE!</v>
      </c>
      <c r="IC41" t="e">
        <f>AND(medidas!W47,"AAAAAHah/ew=")</f>
        <v>#VALUE!</v>
      </c>
      <c r="ID41" t="e">
        <f>AND(medidas!X47,"AAAAAHah/e0=")</f>
        <v>#VALUE!</v>
      </c>
      <c r="IE41" t="e">
        <f>AND(medidas!Y47,"AAAAAHah/e4=")</f>
        <v>#VALUE!</v>
      </c>
      <c r="IF41" t="e">
        <f>AND(medidas!Z47,"AAAAAHah/e8=")</f>
        <v>#VALUE!</v>
      </c>
      <c r="IG41" t="e">
        <f>AND(medidas!AA47,"AAAAAHah/fA=")</f>
        <v>#VALUE!</v>
      </c>
      <c r="IH41" t="e">
        <f>AND(medidas!AB47,"AAAAAHah/fE=")</f>
        <v>#VALUE!</v>
      </c>
      <c r="II41" t="e">
        <f>AND(medidas!AC47,"AAAAAHah/fI=")</f>
        <v>#VALUE!</v>
      </c>
      <c r="IJ41" t="e">
        <f>AND(medidas!AD47,"AAAAAHah/fM=")</f>
        <v>#VALUE!</v>
      </c>
      <c r="IK41" t="e">
        <f>AND(medidas!AE47,"AAAAAHah/fQ=")</f>
        <v>#VALUE!</v>
      </c>
      <c r="IL41" t="e">
        <f>AND(medidas!AF47,"AAAAAHah/fU=")</f>
        <v>#VALUE!</v>
      </c>
      <c r="IM41" t="e">
        <f>AND(medidas!AG47,"AAAAAHah/fY=")</f>
        <v>#VALUE!</v>
      </c>
      <c r="IN41" t="e">
        <f>AND(medidas!AH47,"AAAAAHah/fc=")</f>
        <v>#VALUE!</v>
      </c>
      <c r="IO41" t="e">
        <f>AND(medidas!AI47,"AAAAAHah/fg=")</f>
        <v>#VALUE!</v>
      </c>
      <c r="IP41" t="e">
        <f>AND(medidas!AJ47,"AAAAAHah/fk=")</f>
        <v>#VALUE!</v>
      </c>
      <c r="IQ41" t="e">
        <f>AND(medidas!AK47,"AAAAAHah/fo=")</f>
        <v>#VALUE!</v>
      </c>
      <c r="IR41" t="e">
        <f>AND(medidas!AL47,"AAAAAHah/fs=")</f>
        <v>#VALUE!</v>
      </c>
      <c r="IS41" t="e">
        <f>AND(medidas!AM47,"AAAAAHah/fw=")</f>
        <v>#VALUE!</v>
      </c>
      <c r="IT41" t="e">
        <f>AND(medidas!AN47,"AAAAAHah/f0=")</f>
        <v>#VALUE!</v>
      </c>
      <c r="IU41" t="e">
        <f>AND(medidas!AO47,"AAAAAHah/f4=")</f>
        <v>#VALUE!</v>
      </c>
      <c r="IV41" t="e">
        <f>AND(medidas!AP47,"AAAAAHah/f8=")</f>
        <v>#VALUE!</v>
      </c>
    </row>
    <row r="42" spans="1:256" x14ac:dyDescent="0.2">
      <c r="A42" t="e">
        <f>AND(medidas!AQ47,"AAAAABYX3QA=")</f>
        <v>#VALUE!</v>
      </c>
      <c r="B42" t="e">
        <f>AND(medidas!AR47,"AAAAABYX3QE=")</f>
        <v>#VALUE!</v>
      </c>
      <c r="C42" t="e">
        <f>AND(medidas!AS47,"AAAAABYX3QI=")</f>
        <v>#VALUE!</v>
      </c>
      <c r="D42" t="e">
        <f>AND(medidas!AT47,"AAAAABYX3QM=")</f>
        <v>#VALUE!</v>
      </c>
      <c r="E42" t="e">
        <f>AND(medidas!AU47,"AAAAABYX3QQ=")</f>
        <v>#VALUE!</v>
      </c>
      <c r="F42" t="e">
        <f>AND(medidas!AV47,"AAAAABYX3QU=")</f>
        <v>#VALUE!</v>
      </c>
      <c r="G42" t="e">
        <f>AND(medidas!AW47,"AAAAABYX3QY=")</f>
        <v>#VALUE!</v>
      </c>
      <c r="H42" t="e">
        <f>AND(medidas!AX47,"AAAAABYX3Qc=")</f>
        <v>#VALUE!</v>
      </c>
      <c r="I42" t="e">
        <f>AND(medidas!AY47,"AAAAABYX3Qg=")</f>
        <v>#VALUE!</v>
      </c>
      <c r="J42" t="e">
        <f>AND(medidas!AZ47,"AAAAABYX3Qk=")</f>
        <v>#VALUE!</v>
      </c>
      <c r="K42" t="e">
        <f>AND(medidas!BA47,"AAAAABYX3Qo=")</f>
        <v>#VALUE!</v>
      </c>
      <c r="L42" t="e">
        <f>AND(medidas!BB47,"AAAAABYX3Qs=")</f>
        <v>#VALUE!</v>
      </c>
      <c r="M42" t="e">
        <f>AND(medidas!BC47,"AAAAABYX3Qw=")</f>
        <v>#VALUE!</v>
      </c>
      <c r="N42" t="e">
        <f>AND(medidas!BD47,"AAAAABYX3Q0=")</f>
        <v>#VALUE!</v>
      </c>
      <c r="O42" t="e">
        <f>AND(medidas!BE47,"AAAAABYX3Q4=")</f>
        <v>#VALUE!</v>
      </c>
      <c r="P42" t="e">
        <f>AND(medidas!BF47,"AAAAABYX3Q8=")</f>
        <v>#VALUE!</v>
      </c>
      <c r="Q42" t="e">
        <f>AND(medidas!BG47,"AAAAABYX3RA=")</f>
        <v>#VALUE!</v>
      </c>
      <c r="R42" t="e">
        <f>AND(medidas!BH47,"AAAAABYX3RE=")</f>
        <v>#VALUE!</v>
      </c>
      <c r="S42" t="e">
        <f>AND(medidas!BI47,"AAAAABYX3RI=")</f>
        <v>#VALUE!</v>
      </c>
      <c r="T42" t="e">
        <f>AND(medidas!BJ47,"AAAAABYX3RM=")</f>
        <v>#VALUE!</v>
      </c>
      <c r="U42" t="e">
        <f>AND(medidas!BK47,"AAAAABYX3RQ=")</f>
        <v>#VALUE!</v>
      </c>
      <c r="V42" t="e">
        <f>AND(medidas!BL47,"AAAAABYX3RU=")</f>
        <v>#VALUE!</v>
      </c>
      <c r="W42" t="e">
        <f>AND(medidas!BM47,"AAAAABYX3RY=")</f>
        <v>#VALUE!</v>
      </c>
      <c r="X42" t="e">
        <f>AND(medidas!BN47,"AAAAABYX3Rc=")</f>
        <v>#VALUE!</v>
      </c>
      <c r="Y42" t="e">
        <f>AND(medidas!BO47,"AAAAABYX3Rg=")</f>
        <v>#VALUE!</v>
      </c>
      <c r="Z42" t="e">
        <f>AND(medidas!BP47,"AAAAABYX3Rk=")</f>
        <v>#VALUE!</v>
      </c>
      <c r="AA42" t="e">
        <f>AND(medidas!BQ47,"AAAAABYX3Ro=")</f>
        <v>#VALUE!</v>
      </c>
      <c r="AB42" t="e">
        <f>AND(medidas!BR47,"AAAAABYX3Rs=")</f>
        <v>#VALUE!</v>
      </c>
      <c r="AC42" t="e">
        <f>AND(medidas!BS47,"AAAAABYX3Rw=")</f>
        <v>#VALUE!</v>
      </c>
      <c r="AD42" t="e">
        <f>AND(medidas!BT47,"AAAAABYX3R0=")</f>
        <v>#VALUE!</v>
      </c>
      <c r="AE42" t="e">
        <f>AND(medidas!BU47,"AAAAABYX3R4=")</f>
        <v>#VALUE!</v>
      </c>
      <c r="AF42" t="e">
        <f>AND(medidas!BV47,"AAAAABYX3R8=")</f>
        <v>#VALUE!</v>
      </c>
      <c r="AG42" t="e">
        <f>AND(medidas!BW47,"AAAAABYX3SA=")</f>
        <v>#VALUE!</v>
      </c>
      <c r="AH42" t="e">
        <f>AND(medidas!BX47,"AAAAABYX3SE=")</f>
        <v>#VALUE!</v>
      </c>
      <c r="AI42" t="e">
        <f>AND(medidas!BY47,"AAAAABYX3SI=")</f>
        <v>#VALUE!</v>
      </c>
      <c r="AJ42">
        <f>IF(medidas!48:48,"AAAAABYX3SM=",0)</f>
        <v>0</v>
      </c>
      <c r="AK42" t="e">
        <f>AND(medidas!B48,"AAAAABYX3SQ=")</f>
        <v>#VALUE!</v>
      </c>
      <c r="AL42" t="e">
        <f>AND(medidas!C48,"AAAAABYX3SU=")</f>
        <v>#VALUE!</v>
      </c>
      <c r="AM42" t="e">
        <f>AND(medidas!D48,"AAAAABYX3SY=")</f>
        <v>#VALUE!</v>
      </c>
      <c r="AN42" t="e">
        <f>AND(medidas!E48,"AAAAABYX3Sc=")</f>
        <v>#VALUE!</v>
      </c>
      <c r="AO42" t="e">
        <f>AND(medidas!F48,"AAAAABYX3Sg=")</f>
        <v>#VALUE!</v>
      </c>
      <c r="AP42" t="e">
        <f>AND(medidas!G48,"AAAAABYX3Sk=")</f>
        <v>#VALUE!</v>
      </c>
      <c r="AQ42" t="e">
        <f>AND(medidas!H48,"AAAAABYX3So=")</f>
        <v>#VALUE!</v>
      </c>
      <c r="AR42" t="e">
        <f>AND(medidas!I48,"AAAAABYX3Ss=")</f>
        <v>#VALUE!</v>
      </c>
      <c r="AS42" t="e">
        <f>AND(medidas!J48,"AAAAABYX3Sw=")</f>
        <v>#VALUE!</v>
      </c>
      <c r="AT42" t="e">
        <f>AND(medidas!K48,"AAAAABYX3S0=")</f>
        <v>#VALUE!</v>
      </c>
      <c r="AU42" t="e">
        <f>AND(medidas!L48,"AAAAABYX3S4=")</f>
        <v>#VALUE!</v>
      </c>
      <c r="AV42" t="e">
        <f>AND(medidas!M48,"AAAAABYX3S8=")</f>
        <v>#VALUE!</v>
      </c>
      <c r="AW42" t="e">
        <f>AND(medidas!N48,"AAAAABYX3TA=")</f>
        <v>#VALUE!</v>
      </c>
      <c r="AX42" t="e">
        <f>AND(medidas!O48,"AAAAABYX3TE=")</f>
        <v>#VALUE!</v>
      </c>
      <c r="AY42" t="e">
        <f>AND(medidas!P48,"AAAAABYX3TI=")</f>
        <v>#VALUE!</v>
      </c>
      <c r="AZ42" t="e">
        <f>AND(medidas!Q48,"AAAAABYX3TM=")</f>
        <v>#VALUE!</v>
      </c>
      <c r="BA42" t="e">
        <f>AND(medidas!R48,"AAAAABYX3TQ=")</f>
        <v>#VALUE!</v>
      </c>
      <c r="BB42" t="e">
        <f>AND(medidas!S48,"AAAAABYX3TU=")</f>
        <v>#VALUE!</v>
      </c>
      <c r="BC42" t="e">
        <f>AND(medidas!T48,"AAAAABYX3TY=")</f>
        <v>#VALUE!</v>
      </c>
      <c r="BD42" t="e">
        <f>AND(medidas!U48,"AAAAABYX3Tc=")</f>
        <v>#VALUE!</v>
      </c>
      <c r="BE42" t="e">
        <f>AND(medidas!V48,"AAAAABYX3Tg=")</f>
        <v>#VALUE!</v>
      </c>
      <c r="BF42" t="e">
        <f>AND(medidas!W48,"AAAAABYX3Tk=")</f>
        <v>#VALUE!</v>
      </c>
      <c r="BG42" t="e">
        <f>AND(medidas!X48,"AAAAABYX3To=")</f>
        <v>#VALUE!</v>
      </c>
      <c r="BH42" t="e">
        <f>AND(medidas!Y48,"AAAAABYX3Ts=")</f>
        <v>#VALUE!</v>
      </c>
      <c r="BI42" t="e">
        <f>AND(medidas!Z48,"AAAAABYX3Tw=")</f>
        <v>#VALUE!</v>
      </c>
      <c r="BJ42" t="e">
        <f>AND(medidas!AA48,"AAAAABYX3T0=")</f>
        <v>#VALUE!</v>
      </c>
      <c r="BK42" t="e">
        <f>AND(medidas!AB48,"AAAAABYX3T4=")</f>
        <v>#VALUE!</v>
      </c>
      <c r="BL42" t="e">
        <f>AND(medidas!AC48,"AAAAABYX3T8=")</f>
        <v>#VALUE!</v>
      </c>
      <c r="BM42" t="e">
        <f>AND(medidas!AD48,"AAAAABYX3UA=")</f>
        <v>#VALUE!</v>
      </c>
      <c r="BN42" t="e">
        <f>AND(medidas!AE48,"AAAAABYX3UE=")</f>
        <v>#VALUE!</v>
      </c>
      <c r="BO42" t="e">
        <f>AND(medidas!AF48,"AAAAABYX3UI=")</f>
        <v>#VALUE!</v>
      </c>
      <c r="BP42" t="e">
        <f>AND(medidas!AG48,"AAAAABYX3UM=")</f>
        <v>#VALUE!</v>
      </c>
      <c r="BQ42" t="e">
        <f>AND(medidas!AH48,"AAAAABYX3UQ=")</f>
        <v>#VALUE!</v>
      </c>
      <c r="BR42" t="e">
        <f>AND(medidas!AI48,"AAAAABYX3UU=")</f>
        <v>#VALUE!</v>
      </c>
      <c r="BS42" t="e">
        <f>AND(medidas!AJ48,"AAAAABYX3UY=")</f>
        <v>#VALUE!</v>
      </c>
      <c r="BT42" t="e">
        <f>AND(medidas!AK48,"AAAAABYX3Uc=")</f>
        <v>#VALUE!</v>
      </c>
      <c r="BU42" t="e">
        <f>AND(medidas!AL48,"AAAAABYX3Ug=")</f>
        <v>#VALUE!</v>
      </c>
      <c r="BV42" t="e">
        <f>AND(medidas!AM48,"AAAAABYX3Uk=")</f>
        <v>#VALUE!</v>
      </c>
      <c r="BW42" t="e">
        <f>AND(medidas!AN48,"AAAAABYX3Uo=")</f>
        <v>#VALUE!</v>
      </c>
      <c r="BX42" t="e">
        <f>AND(medidas!AO48,"AAAAABYX3Us=")</f>
        <v>#VALUE!</v>
      </c>
      <c r="BY42" t="e">
        <f>AND(medidas!AP48,"AAAAABYX3Uw=")</f>
        <v>#VALUE!</v>
      </c>
      <c r="BZ42" t="e">
        <f>AND(medidas!AQ48,"AAAAABYX3U0=")</f>
        <v>#VALUE!</v>
      </c>
      <c r="CA42" t="e">
        <f>AND(medidas!AR48,"AAAAABYX3U4=")</f>
        <v>#VALUE!</v>
      </c>
      <c r="CB42" t="e">
        <f>AND(medidas!AS48,"AAAAABYX3U8=")</f>
        <v>#VALUE!</v>
      </c>
      <c r="CC42" t="e">
        <f>AND(medidas!AT48,"AAAAABYX3VA=")</f>
        <v>#VALUE!</v>
      </c>
      <c r="CD42" t="e">
        <f>AND(medidas!AU48,"AAAAABYX3VE=")</f>
        <v>#VALUE!</v>
      </c>
      <c r="CE42" t="e">
        <f>AND(medidas!AV48,"AAAAABYX3VI=")</f>
        <v>#VALUE!</v>
      </c>
      <c r="CF42" t="e">
        <f>AND(medidas!AW48,"AAAAABYX3VM=")</f>
        <v>#VALUE!</v>
      </c>
      <c r="CG42" t="e">
        <f>AND(medidas!AX48,"AAAAABYX3VQ=")</f>
        <v>#VALUE!</v>
      </c>
      <c r="CH42" t="e">
        <f>AND(medidas!AY48,"AAAAABYX3VU=")</f>
        <v>#VALUE!</v>
      </c>
      <c r="CI42" t="e">
        <f>AND(medidas!AZ48,"AAAAABYX3VY=")</f>
        <v>#VALUE!</v>
      </c>
      <c r="CJ42" t="e">
        <f>AND(medidas!BA48,"AAAAABYX3Vc=")</f>
        <v>#VALUE!</v>
      </c>
      <c r="CK42" t="e">
        <f>AND(medidas!BB48,"AAAAABYX3Vg=")</f>
        <v>#VALUE!</v>
      </c>
      <c r="CL42" t="e">
        <f>AND(medidas!BC48,"AAAAABYX3Vk=")</f>
        <v>#VALUE!</v>
      </c>
      <c r="CM42" t="e">
        <f>AND(medidas!BD48,"AAAAABYX3Vo=")</f>
        <v>#VALUE!</v>
      </c>
      <c r="CN42" t="e">
        <f>AND(medidas!BE48,"AAAAABYX3Vs=")</f>
        <v>#VALUE!</v>
      </c>
      <c r="CO42" t="e">
        <f>AND(medidas!BF48,"AAAAABYX3Vw=")</f>
        <v>#VALUE!</v>
      </c>
      <c r="CP42" t="e">
        <f>AND(medidas!BG48,"AAAAABYX3V0=")</f>
        <v>#VALUE!</v>
      </c>
      <c r="CQ42" t="e">
        <f>AND(medidas!BH48,"AAAAABYX3V4=")</f>
        <v>#VALUE!</v>
      </c>
      <c r="CR42" t="e">
        <f>AND(medidas!BI48,"AAAAABYX3V8=")</f>
        <v>#VALUE!</v>
      </c>
      <c r="CS42" t="e">
        <f>AND(medidas!BJ48,"AAAAABYX3WA=")</f>
        <v>#VALUE!</v>
      </c>
      <c r="CT42" t="e">
        <f>AND(medidas!BK48,"AAAAABYX3WE=")</f>
        <v>#VALUE!</v>
      </c>
      <c r="CU42" t="e">
        <f>AND(medidas!BL48,"AAAAABYX3WI=")</f>
        <v>#VALUE!</v>
      </c>
      <c r="CV42" t="e">
        <f>AND(medidas!BM48,"AAAAABYX3WM=")</f>
        <v>#VALUE!</v>
      </c>
      <c r="CW42" t="e">
        <f>AND(medidas!BN48,"AAAAABYX3WQ=")</f>
        <v>#VALUE!</v>
      </c>
      <c r="CX42" t="e">
        <f>AND(medidas!BO48,"AAAAABYX3WU=")</f>
        <v>#VALUE!</v>
      </c>
      <c r="CY42" t="e">
        <f>AND(medidas!BP48,"AAAAABYX3WY=")</f>
        <v>#VALUE!</v>
      </c>
      <c r="CZ42" t="e">
        <f>AND(medidas!BQ48,"AAAAABYX3Wc=")</f>
        <v>#VALUE!</v>
      </c>
      <c r="DA42" t="e">
        <f>AND(medidas!BR48,"AAAAABYX3Wg=")</f>
        <v>#VALUE!</v>
      </c>
      <c r="DB42" t="e">
        <f>AND(medidas!BS48,"AAAAABYX3Wk=")</f>
        <v>#VALUE!</v>
      </c>
      <c r="DC42" t="e">
        <f>AND(medidas!BT48,"AAAAABYX3Wo=")</f>
        <v>#VALUE!</v>
      </c>
      <c r="DD42" t="e">
        <f>AND(medidas!BU48,"AAAAABYX3Ws=")</f>
        <v>#VALUE!</v>
      </c>
      <c r="DE42" t="e">
        <f>AND(medidas!BV48,"AAAAABYX3Ww=")</f>
        <v>#VALUE!</v>
      </c>
      <c r="DF42" t="e">
        <f>AND(medidas!BW48,"AAAAABYX3W0=")</f>
        <v>#VALUE!</v>
      </c>
      <c r="DG42" t="e">
        <f>AND(medidas!BX48,"AAAAABYX3W4=")</f>
        <v>#VALUE!</v>
      </c>
      <c r="DH42" t="e">
        <f>AND(medidas!BY48,"AAAAABYX3W8=")</f>
        <v>#VALUE!</v>
      </c>
      <c r="DI42">
        <f>IF(medidas!49:49,"AAAAABYX3XA=",0)</f>
        <v>0</v>
      </c>
      <c r="DJ42" t="e">
        <f>AND(medidas!B49,"AAAAABYX3XE=")</f>
        <v>#VALUE!</v>
      </c>
      <c r="DK42" t="e">
        <f>AND(medidas!C49,"AAAAABYX3XI=")</f>
        <v>#VALUE!</v>
      </c>
      <c r="DL42" t="e">
        <f>AND(medidas!D49,"AAAAABYX3XM=")</f>
        <v>#VALUE!</v>
      </c>
      <c r="DM42" t="e">
        <f>AND(medidas!E49,"AAAAABYX3XQ=")</f>
        <v>#VALUE!</v>
      </c>
      <c r="DN42" t="e">
        <f>AND(medidas!F49,"AAAAABYX3XU=")</f>
        <v>#VALUE!</v>
      </c>
      <c r="DO42" t="e">
        <f>AND(medidas!G49,"AAAAABYX3XY=")</f>
        <v>#VALUE!</v>
      </c>
      <c r="DP42" t="e">
        <f>AND(medidas!H49,"AAAAABYX3Xc=")</f>
        <v>#VALUE!</v>
      </c>
      <c r="DQ42" t="e">
        <f>AND(medidas!I49,"AAAAABYX3Xg=")</f>
        <v>#VALUE!</v>
      </c>
      <c r="DR42" t="e">
        <f>AND(medidas!J49,"AAAAABYX3Xk=")</f>
        <v>#VALUE!</v>
      </c>
      <c r="DS42" t="e">
        <f>AND(medidas!K49,"AAAAABYX3Xo=")</f>
        <v>#VALUE!</v>
      </c>
      <c r="DT42" t="e">
        <f>AND(medidas!L49,"AAAAABYX3Xs=")</f>
        <v>#VALUE!</v>
      </c>
      <c r="DU42" t="e">
        <f>AND(medidas!M49,"AAAAABYX3Xw=")</f>
        <v>#VALUE!</v>
      </c>
      <c r="DV42" t="e">
        <f>AND(medidas!N49,"AAAAABYX3X0=")</f>
        <v>#VALUE!</v>
      </c>
      <c r="DW42" t="e">
        <f>AND(medidas!O49,"AAAAABYX3X4=")</f>
        <v>#VALUE!</v>
      </c>
      <c r="DX42" t="e">
        <f>AND(medidas!P49,"AAAAABYX3X8=")</f>
        <v>#VALUE!</v>
      </c>
      <c r="DY42" t="e">
        <f>AND(medidas!Q49,"AAAAABYX3YA=")</f>
        <v>#VALUE!</v>
      </c>
      <c r="DZ42" t="e">
        <f>AND(medidas!R49,"AAAAABYX3YE=")</f>
        <v>#VALUE!</v>
      </c>
      <c r="EA42" t="e">
        <f>AND(medidas!S49,"AAAAABYX3YI=")</f>
        <v>#VALUE!</v>
      </c>
      <c r="EB42" t="e">
        <f>AND(medidas!T49,"AAAAABYX3YM=")</f>
        <v>#VALUE!</v>
      </c>
      <c r="EC42" t="e">
        <f>AND(medidas!U49,"AAAAABYX3YQ=")</f>
        <v>#VALUE!</v>
      </c>
      <c r="ED42" t="e">
        <f>AND(medidas!V49,"AAAAABYX3YU=")</f>
        <v>#VALUE!</v>
      </c>
      <c r="EE42" t="e">
        <f>AND(medidas!W49,"AAAAABYX3YY=")</f>
        <v>#VALUE!</v>
      </c>
      <c r="EF42" t="e">
        <f>AND(medidas!X49,"AAAAABYX3Yc=")</f>
        <v>#VALUE!</v>
      </c>
      <c r="EG42" t="e">
        <f>AND(medidas!Y49,"AAAAABYX3Yg=")</f>
        <v>#VALUE!</v>
      </c>
      <c r="EH42" t="e">
        <f>AND(medidas!Z49,"AAAAABYX3Yk=")</f>
        <v>#VALUE!</v>
      </c>
      <c r="EI42" t="e">
        <f>AND(medidas!AA49,"AAAAABYX3Yo=")</f>
        <v>#VALUE!</v>
      </c>
      <c r="EJ42" t="e">
        <f>AND(medidas!AB49,"AAAAABYX3Ys=")</f>
        <v>#VALUE!</v>
      </c>
      <c r="EK42" t="e">
        <f>AND(medidas!AC49,"AAAAABYX3Yw=")</f>
        <v>#VALUE!</v>
      </c>
      <c r="EL42" t="e">
        <f>AND(medidas!AD49,"AAAAABYX3Y0=")</f>
        <v>#VALUE!</v>
      </c>
      <c r="EM42" t="e">
        <f>AND(medidas!AE49,"AAAAABYX3Y4=")</f>
        <v>#VALUE!</v>
      </c>
      <c r="EN42" t="e">
        <f>AND(medidas!AF49,"AAAAABYX3Y8=")</f>
        <v>#VALUE!</v>
      </c>
      <c r="EO42" t="e">
        <f>AND(medidas!AG49,"AAAAABYX3ZA=")</f>
        <v>#VALUE!</v>
      </c>
      <c r="EP42" t="e">
        <f>AND(medidas!AH49,"AAAAABYX3ZE=")</f>
        <v>#VALUE!</v>
      </c>
      <c r="EQ42" t="e">
        <f>AND(medidas!AI49,"AAAAABYX3ZI=")</f>
        <v>#VALUE!</v>
      </c>
      <c r="ER42" t="e">
        <f>AND(medidas!AJ49,"AAAAABYX3ZM=")</f>
        <v>#VALUE!</v>
      </c>
      <c r="ES42" t="e">
        <f>AND(medidas!AK49,"AAAAABYX3ZQ=")</f>
        <v>#VALUE!</v>
      </c>
      <c r="ET42" t="e">
        <f>AND(medidas!AL49,"AAAAABYX3ZU=")</f>
        <v>#VALUE!</v>
      </c>
      <c r="EU42" t="e">
        <f>AND(medidas!AM49,"AAAAABYX3ZY=")</f>
        <v>#VALUE!</v>
      </c>
      <c r="EV42" t="e">
        <f>AND(medidas!AN49,"AAAAABYX3Zc=")</f>
        <v>#VALUE!</v>
      </c>
      <c r="EW42" t="e">
        <f>AND(medidas!AO49,"AAAAABYX3Zg=")</f>
        <v>#VALUE!</v>
      </c>
      <c r="EX42" t="e">
        <f>AND(medidas!AP49,"AAAAABYX3Zk=")</f>
        <v>#VALUE!</v>
      </c>
      <c r="EY42" t="e">
        <f>AND(medidas!AQ49,"AAAAABYX3Zo=")</f>
        <v>#VALUE!</v>
      </c>
      <c r="EZ42" t="e">
        <f>AND(medidas!AR49,"AAAAABYX3Zs=")</f>
        <v>#VALUE!</v>
      </c>
      <c r="FA42" t="e">
        <f>AND(medidas!AS49,"AAAAABYX3Zw=")</f>
        <v>#VALUE!</v>
      </c>
      <c r="FB42" t="e">
        <f>AND(medidas!AT49,"AAAAABYX3Z0=")</f>
        <v>#VALUE!</v>
      </c>
      <c r="FC42" t="e">
        <f>AND(medidas!AU49,"AAAAABYX3Z4=")</f>
        <v>#VALUE!</v>
      </c>
      <c r="FD42" t="e">
        <f>AND(medidas!AV49,"AAAAABYX3Z8=")</f>
        <v>#VALUE!</v>
      </c>
      <c r="FE42" t="e">
        <f>AND(medidas!AW49,"AAAAABYX3aA=")</f>
        <v>#VALUE!</v>
      </c>
      <c r="FF42" t="e">
        <f>AND(medidas!AX49,"AAAAABYX3aE=")</f>
        <v>#VALUE!</v>
      </c>
      <c r="FG42" t="e">
        <f>AND(medidas!AY49,"AAAAABYX3aI=")</f>
        <v>#VALUE!</v>
      </c>
      <c r="FH42" t="e">
        <f>AND(medidas!AZ49,"AAAAABYX3aM=")</f>
        <v>#VALUE!</v>
      </c>
      <c r="FI42" t="e">
        <f>AND(medidas!BA49,"AAAAABYX3aQ=")</f>
        <v>#VALUE!</v>
      </c>
      <c r="FJ42" t="e">
        <f>AND(medidas!BB49,"AAAAABYX3aU=")</f>
        <v>#VALUE!</v>
      </c>
      <c r="FK42" t="e">
        <f>AND(medidas!BC49,"AAAAABYX3aY=")</f>
        <v>#VALUE!</v>
      </c>
      <c r="FL42" t="e">
        <f>AND(medidas!BD49,"AAAAABYX3ac=")</f>
        <v>#VALUE!</v>
      </c>
      <c r="FM42" t="e">
        <f>AND(medidas!BE49,"AAAAABYX3ag=")</f>
        <v>#VALUE!</v>
      </c>
      <c r="FN42" t="e">
        <f>AND(medidas!BF49,"AAAAABYX3ak=")</f>
        <v>#VALUE!</v>
      </c>
      <c r="FO42" t="e">
        <f>AND(medidas!BG49,"AAAAABYX3ao=")</f>
        <v>#VALUE!</v>
      </c>
      <c r="FP42" t="e">
        <f>AND(medidas!BH49,"AAAAABYX3as=")</f>
        <v>#VALUE!</v>
      </c>
      <c r="FQ42" t="e">
        <f>AND(medidas!BI49,"AAAAABYX3aw=")</f>
        <v>#VALUE!</v>
      </c>
      <c r="FR42" t="e">
        <f>AND(medidas!BJ49,"AAAAABYX3a0=")</f>
        <v>#VALUE!</v>
      </c>
      <c r="FS42" t="e">
        <f>AND(medidas!BK49,"AAAAABYX3a4=")</f>
        <v>#VALUE!</v>
      </c>
      <c r="FT42" t="e">
        <f>AND(medidas!BL49,"AAAAABYX3a8=")</f>
        <v>#VALUE!</v>
      </c>
      <c r="FU42" t="e">
        <f>AND(medidas!BM49,"AAAAABYX3bA=")</f>
        <v>#VALUE!</v>
      </c>
      <c r="FV42" t="e">
        <f>AND(medidas!BN49,"AAAAABYX3bE=")</f>
        <v>#VALUE!</v>
      </c>
      <c r="FW42" t="e">
        <f>AND(medidas!BO49,"AAAAABYX3bI=")</f>
        <v>#VALUE!</v>
      </c>
      <c r="FX42" t="e">
        <f>AND(medidas!BP49,"AAAAABYX3bM=")</f>
        <v>#VALUE!</v>
      </c>
      <c r="FY42" t="e">
        <f>AND(medidas!BQ49,"AAAAABYX3bQ=")</f>
        <v>#VALUE!</v>
      </c>
      <c r="FZ42" t="e">
        <f>AND(medidas!BR49,"AAAAABYX3bU=")</f>
        <v>#VALUE!</v>
      </c>
      <c r="GA42" t="e">
        <f>AND(medidas!BS49,"AAAAABYX3bY=")</f>
        <v>#VALUE!</v>
      </c>
      <c r="GB42" t="e">
        <f>AND(medidas!BT49,"AAAAABYX3bc=")</f>
        <v>#VALUE!</v>
      </c>
      <c r="GC42" t="e">
        <f>AND(medidas!BU49,"AAAAABYX3bg=")</f>
        <v>#VALUE!</v>
      </c>
      <c r="GD42" t="e">
        <f>AND(medidas!BV49,"AAAAABYX3bk=")</f>
        <v>#VALUE!</v>
      </c>
      <c r="GE42" t="e">
        <f>AND(medidas!BW49,"AAAAABYX3bo=")</f>
        <v>#VALUE!</v>
      </c>
      <c r="GF42" t="e">
        <f>AND(medidas!BX49,"AAAAABYX3bs=")</f>
        <v>#VALUE!</v>
      </c>
      <c r="GG42" t="e">
        <f>AND(medidas!BY49,"AAAAABYX3bw=")</f>
        <v>#VALUE!</v>
      </c>
      <c r="GH42">
        <f>IF(medidas!50:50,"AAAAABYX3b0=",0)</f>
        <v>0</v>
      </c>
      <c r="GI42" t="e">
        <f>AND(medidas!B50,"AAAAABYX3b4=")</f>
        <v>#VALUE!</v>
      </c>
      <c r="GJ42" t="e">
        <f>AND(medidas!C50,"AAAAABYX3b8=")</f>
        <v>#VALUE!</v>
      </c>
      <c r="GK42" t="e">
        <f>AND(medidas!D50,"AAAAABYX3cA=")</f>
        <v>#VALUE!</v>
      </c>
      <c r="GL42" t="e">
        <f>AND(medidas!E50,"AAAAABYX3cE=")</f>
        <v>#VALUE!</v>
      </c>
      <c r="GM42" t="e">
        <f>AND(medidas!F50,"AAAAABYX3cI=")</f>
        <v>#VALUE!</v>
      </c>
      <c r="GN42" t="e">
        <f>AND(medidas!G50,"AAAAABYX3cM=")</f>
        <v>#VALUE!</v>
      </c>
      <c r="GO42" t="e">
        <f>AND(medidas!H50,"AAAAABYX3cQ=")</f>
        <v>#VALUE!</v>
      </c>
      <c r="GP42" t="e">
        <f>AND(medidas!I50,"AAAAABYX3cU=")</f>
        <v>#VALUE!</v>
      </c>
      <c r="GQ42" t="e">
        <f>AND(medidas!J50,"AAAAABYX3cY=")</f>
        <v>#VALUE!</v>
      </c>
      <c r="GR42" t="e">
        <f>AND(medidas!K50,"AAAAABYX3cc=")</f>
        <v>#VALUE!</v>
      </c>
      <c r="GS42" t="e">
        <f>AND(medidas!L50,"AAAAABYX3cg=")</f>
        <v>#VALUE!</v>
      </c>
      <c r="GT42" t="e">
        <f>AND(medidas!M50,"AAAAABYX3ck=")</f>
        <v>#VALUE!</v>
      </c>
      <c r="GU42" t="e">
        <f>AND(medidas!N50,"AAAAABYX3co=")</f>
        <v>#VALUE!</v>
      </c>
      <c r="GV42" t="e">
        <f>AND(medidas!O50,"AAAAABYX3cs=")</f>
        <v>#VALUE!</v>
      </c>
      <c r="GW42" t="e">
        <f>AND(medidas!P50,"AAAAABYX3cw=")</f>
        <v>#VALUE!</v>
      </c>
      <c r="GX42" t="e">
        <f>AND(medidas!Q50,"AAAAABYX3c0=")</f>
        <v>#VALUE!</v>
      </c>
      <c r="GY42" t="e">
        <f>AND(medidas!R50,"AAAAABYX3c4=")</f>
        <v>#VALUE!</v>
      </c>
      <c r="GZ42" t="e">
        <f>AND(medidas!S50,"AAAAABYX3c8=")</f>
        <v>#VALUE!</v>
      </c>
      <c r="HA42" t="e">
        <f>AND(medidas!T50,"AAAAABYX3dA=")</f>
        <v>#VALUE!</v>
      </c>
      <c r="HB42" t="e">
        <f>AND(medidas!U50,"AAAAABYX3dE=")</f>
        <v>#VALUE!</v>
      </c>
      <c r="HC42" t="e">
        <f>AND(medidas!V50,"AAAAABYX3dI=")</f>
        <v>#VALUE!</v>
      </c>
      <c r="HD42" t="e">
        <f>AND(medidas!W50,"AAAAABYX3dM=")</f>
        <v>#VALUE!</v>
      </c>
      <c r="HE42" t="e">
        <f>AND(medidas!X50,"AAAAABYX3dQ=")</f>
        <v>#VALUE!</v>
      </c>
      <c r="HF42" t="e">
        <f>AND(medidas!Y50,"AAAAABYX3dU=")</f>
        <v>#VALUE!</v>
      </c>
      <c r="HG42" t="e">
        <f>AND(medidas!Z50,"AAAAABYX3dY=")</f>
        <v>#VALUE!</v>
      </c>
      <c r="HH42" t="e">
        <f>AND(medidas!AA50,"AAAAABYX3dc=")</f>
        <v>#VALUE!</v>
      </c>
      <c r="HI42" t="e">
        <f>AND(medidas!AB50,"AAAAABYX3dg=")</f>
        <v>#VALUE!</v>
      </c>
      <c r="HJ42" t="e">
        <f>AND(medidas!AC50,"AAAAABYX3dk=")</f>
        <v>#VALUE!</v>
      </c>
      <c r="HK42" t="e">
        <f>AND(medidas!AD50,"AAAAABYX3do=")</f>
        <v>#VALUE!</v>
      </c>
      <c r="HL42" t="e">
        <f>AND(medidas!AE50,"AAAAABYX3ds=")</f>
        <v>#VALUE!</v>
      </c>
      <c r="HM42" t="e">
        <f>AND(medidas!AF50,"AAAAABYX3dw=")</f>
        <v>#VALUE!</v>
      </c>
      <c r="HN42" t="e">
        <f>AND(medidas!AG50,"AAAAABYX3d0=")</f>
        <v>#VALUE!</v>
      </c>
      <c r="HO42" t="e">
        <f>AND(medidas!AH50,"AAAAABYX3d4=")</f>
        <v>#VALUE!</v>
      </c>
      <c r="HP42" t="e">
        <f>AND(medidas!AI50,"AAAAABYX3d8=")</f>
        <v>#VALUE!</v>
      </c>
      <c r="HQ42" t="e">
        <f>AND(medidas!AJ50,"AAAAABYX3eA=")</f>
        <v>#VALUE!</v>
      </c>
      <c r="HR42" t="e">
        <f>AND(medidas!AK50,"AAAAABYX3eE=")</f>
        <v>#VALUE!</v>
      </c>
      <c r="HS42" t="e">
        <f>AND(medidas!AL50,"AAAAABYX3eI=")</f>
        <v>#VALUE!</v>
      </c>
      <c r="HT42" t="e">
        <f>AND(medidas!AM50,"AAAAABYX3eM=")</f>
        <v>#VALUE!</v>
      </c>
      <c r="HU42" t="e">
        <f>AND(medidas!AN50,"AAAAABYX3eQ=")</f>
        <v>#VALUE!</v>
      </c>
      <c r="HV42" t="e">
        <f>AND(medidas!AO50,"AAAAABYX3eU=")</f>
        <v>#VALUE!</v>
      </c>
      <c r="HW42" t="e">
        <f>AND(medidas!AP50,"AAAAABYX3eY=")</f>
        <v>#VALUE!</v>
      </c>
      <c r="HX42" t="e">
        <f>AND(medidas!AQ50,"AAAAABYX3ec=")</f>
        <v>#VALUE!</v>
      </c>
      <c r="HY42" t="e">
        <f>AND(medidas!AR50,"AAAAABYX3eg=")</f>
        <v>#VALUE!</v>
      </c>
      <c r="HZ42" t="e">
        <f>AND(medidas!AS50,"AAAAABYX3ek=")</f>
        <v>#VALUE!</v>
      </c>
      <c r="IA42" t="e">
        <f>AND(medidas!AT50,"AAAAABYX3eo=")</f>
        <v>#VALUE!</v>
      </c>
      <c r="IB42" t="e">
        <f>AND(medidas!AU50,"AAAAABYX3es=")</f>
        <v>#VALUE!</v>
      </c>
      <c r="IC42" t="e">
        <f>AND(medidas!AV50,"AAAAABYX3ew=")</f>
        <v>#VALUE!</v>
      </c>
      <c r="ID42" t="e">
        <f>AND(medidas!AW50,"AAAAABYX3e0=")</f>
        <v>#VALUE!</v>
      </c>
      <c r="IE42" t="e">
        <f>AND(medidas!AX50,"AAAAABYX3e4=")</f>
        <v>#VALUE!</v>
      </c>
      <c r="IF42" t="e">
        <f>AND(medidas!AY50,"AAAAABYX3e8=")</f>
        <v>#VALUE!</v>
      </c>
      <c r="IG42" t="e">
        <f>AND(medidas!AZ50,"AAAAABYX3fA=")</f>
        <v>#VALUE!</v>
      </c>
      <c r="IH42" t="e">
        <f>AND(medidas!BA50,"AAAAABYX3fE=")</f>
        <v>#VALUE!</v>
      </c>
      <c r="II42" t="e">
        <f>AND(medidas!BB50,"AAAAABYX3fI=")</f>
        <v>#VALUE!</v>
      </c>
      <c r="IJ42" t="e">
        <f>AND(medidas!BC50,"AAAAABYX3fM=")</f>
        <v>#VALUE!</v>
      </c>
      <c r="IK42" t="e">
        <f>AND(medidas!BD50,"AAAAABYX3fQ=")</f>
        <v>#VALUE!</v>
      </c>
      <c r="IL42" t="e">
        <f>AND(medidas!BE50,"AAAAABYX3fU=")</f>
        <v>#VALUE!</v>
      </c>
      <c r="IM42" t="e">
        <f>AND(medidas!BF50,"AAAAABYX3fY=")</f>
        <v>#VALUE!</v>
      </c>
      <c r="IN42" t="e">
        <f>AND(medidas!BG50,"AAAAABYX3fc=")</f>
        <v>#VALUE!</v>
      </c>
      <c r="IO42" t="e">
        <f>AND(medidas!BH50,"AAAAABYX3fg=")</f>
        <v>#VALUE!</v>
      </c>
      <c r="IP42" t="e">
        <f>AND(medidas!BI50,"AAAAABYX3fk=")</f>
        <v>#VALUE!</v>
      </c>
      <c r="IQ42" t="e">
        <f>AND(medidas!BJ50,"AAAAABYX3fo=")</f>
        <v>#VALUE!</v>
      </c>
      <c r="IR42" t="e">
        <f>AND(medidas!BK50,"AAAAABYX3fs=")</f>
        <v>#VALUE!</v>
      </c>
      <c r="IS42" t="e">
        <f>AND(medidas!BL50,"AAAAABYX3fw=")</f>
        <v>#VALUE!</v>
      </c>
      <c r="IT42" t="e">
        <f>AND(medidas!BM50,"AAAAABYX3f0=")</f>
        <v>#VALUE!</v>
      </c>
      <c r="IU42" t="e">
        <f>AND(medidas!BN50,"AAAAABYX3f4=")</f>
        <v>#VALUE!</v>
      </c>
      <c r="IV42" t="e">
        <f>AND(medidas!BO50,"AAAAABYX3f8=")</f>
        <v>#VALUE!</v>
      </c>
    </row>
    <row r="43" spans="1:256" x14ac:dyDescent="0.2">
      <c r="A43" t="e">
        <f>AND(medidas!BP50,"AAAAAHs/2wA=")</f>
        <v>#VALUE!</v>
      </c>
      <c r="B43" t="e">
        <f>AND(medidas!BQ50,"AAAAAHs/2wE=")</f>
        <v>#VALUE!</v>
      </c>
      <c r="C43" t="e">
        <f>AND(medidas!BR50,"AAAAAHs/2wI=")</f>
        <v>#VALUE!</v>
      </c>
      <c r="D43" t="e">
        <f>AND(medidas!BS50,"AAAAAHs/2wM=")</f>
        <v>#VALUE!</v>
      </c>
      <c r="E43" t="e">
        <f>AND(medidas!BT50,"AAAAAHs/2wQ=")</f>
        <v>#VALUE!</v>
      </c>
      <c r="F43" t="e">
        <f>AND(medidas!BU50,"AAAAAHs/2wU=")</f>
        <v>#VALUE!</v>
      </c>
      <c r="G43" t="e">
        <f>AND(medidas!BV50,"AAAAAHs/2wY=")</f>
        <v>#VALUE!</v>
      </c>
      <c r="H43" t="e">
        <f>AND(medidas!BW50,"AAAAAHs/2wc=")</f>
        <v>#VALUE!</v>
      </c>
      <c r="I43" t="e">
        <f>AND(medidas!BX50,"AAAAAHs/2wg=")</f>
        <v>#VALUE!</v>
      </c>
      <c r="J43" t="e">
        <f>AND(medidas!BY50,"AAAAAHs/2wk=")</f>
        <v>#VALUE!</v>
      </c>
      <c r="K43">
        <f>IF(medidas!51:51,"AAAAAHs/2wo=",0)</f>
        <v>0</v>
      </c>
      <c r="L43" t="e">
        <f>AND(medidas!B51,"AAAAAHs/2ws=")</f>
        <v>#VALUE!</v>
      </c>
      <c r="M43" t="e">
        <f>AND(medidas!C51,"AAAAAHs/2ww=")</f>
        <v>#VALUE!</v>
      </c>
      <c r="N43" t="e">
        <f>AND(medidas!D51,"AAAAAHs/2w0=")</f>
        <v>#VALUE!</v>
      </c>
      <c r="O43" t="e">
        <f>AND(medidas!E51,"AAAAAHs/2w4=")</f>
        <v>#VALUE!</v>
      </c>
      <c r="P43" t="e">
        <f>AND(medidas!F51,"AAAAAHs/2w8=")</f>
        <v>#VALUE!</v>
      </c>
      <c r="Q43" t="e">
        <f>AND(medidas!G51,"AAAAAHs/2xA=")</f>
        <v>#VALUE!</v>
      </c>
      <c r="R43" t="e">
        <f>AND(medidas!H51,"AAAAAHs/2xE=")</f>
        <v>#VALUE!</v>
      </c>
      <c r="S43" t="e">
        <f>AND(medidas!I51,"AAAAAHs/2xI=")</f>
        <v>#VALUE!</v>
      </c>
      <c r="T43" t="e">
        <f>AND(medidas!J51,"AAAAAHs/2xM=")</f>
        <v>#VALUE!</v>
      </c>
      <c r="U43" t="e">
        <f>AND(medidas!K51,"AAAAAHs/2xQ=")</f>
        <v>#VALUE!</v>
      </c>
      <c r="V43" t="e">
        <f>AND(medidas!L51,"AAAAAHs/2xU=")</f>
        <v>#VALUE!</v>
      </c>
      <c r="W43" t="e">
        <f>AND(medidas!M51,"AAAAAHs/2xY=")</f>
        <v>#VALUE!</v>
      </c>
      <c r="X43" t="e">
        <f>AND(medidas!N51,"AAAAAHs/2xc=")</f>
        <v>#VALUE!</v>
      </c>
      <c r="Y43" t="e">
        <f>AND(medidas!O51,"AAAAAHs/2xg=")</f>
        <v>#VALUE!</v>
      </c>
      <c r="Z43" t="e">
        <f>AND(medidas!P51,"AAAAAHs/2xk=")</f>
        <v>#VALUE!</v>
      </c>
      <c r="AA43" t="e">
        <f>AND(medidas!Q51,"AAAAAHs/2xo=")</f>
        <v>#VALUE!</v>
      </c>
      <c r="AB43" t="e">
        <f>AND(medidas!R51,"AAAAAHs/2xs=")</f>
        <v>#VALUE!</v>
      </c>
      <c r="AC43" t="e">
        <f>AND(medidas!S51,"AAAAAHs/2xw=")</f>
        <v>#VALUE!</v>
      </c>
      <c r="AD43" t="e">
        <f>AND(medidas!T51,"AAAAAHs/2x0=")</f>
        <v>#VALUE!</v>
      </c>
      <c r="AE43" t="e">
        <f>AND(medidas!U51,"AAAAAHs/2x4=")</f>
        <v>#VALUE!</v>
      </c>
      <c r="AF43" t="e">
        <f>AND(medidas!V51,"AAAAAHs/2x8=")</f>
        <v>#VALUE!</v>
      </c>
      <c r="AG43" t="e">
        <f>AND(medidas!W51,"AAAAAHs/2yA=")</f>
        <v>#VALUE!</v>
      </c>
      <c r="AH43" t="e">
        <f>AND(medidas!X51,"AAAAAHs/2yE=")</f>
        <v>#VALUE!</v>
      </c>
      <c r="AI43" t="e">
        <f>AND(medidas!Y51,"AAAAAHs/2yI=")</f>
        <v>#VALUE!</v>
      </c>
      <c r="AJ43" t="e">
        <f>AND(medidas!Z51,"AAAAAHs/2yM=")</f>
        <v>#VALUE!</v>
      </c>
      <c r="AK43" t="e">
        <f>AND(medidas!AA51,"AAAAAHs/2yQ=")</f>
        <v>#VALUE!</v>
      </c>
      <c r="AL43" t="e">
        <f>AND(medidas!AB51,"AAAAAHs/2yU=")</f>
        <v>#VALUE!</v>
      </c>
      <c r="AM43" t="e">
        <f>AND(medidas!AC51,"AAAAAHs/2yY=")</f>
        <v>#VALUE!</v>
      </c>
      <c r="AN43" t="e">
        <f>AND(medidas!AD51,"AAAAAHs/2yc=")</f>
        <v>#VALUE!</v>
      </c>
      <c r="AO43" t="e">
        <f>AND(medidas!AE51,"AAAAAHs/2yg=")</f>
        <v>#VALUE!</v>
      </c>
      <c r="AP43" t="e">
        <f>AND(medidas!AF51,"AAAAAHs/2yk=")</f>
        <v>#VALUE!</v>
      </c>
      <c r="AQ43" t="e">
        <f>AND(medidas!AG51,"AAAAAHs/2yo=")</f>
        <v>#VALUE!</v>
      </c>
      <c r="AR43" t="e">
        <f>AND(medidas!AH51,"AAAAAHs/2ys=")</f>
        <v>#VALUE!</v>
      </c>
      <c r="AS43" t="e">
        <f>AND(medidas!AI51,"AAAAAHs/2yw=")</f>
        <v>#VALUE!</v>
      </c>
      <c r="AT43" t="e">
        <f>AND(medidas!AJ51,"AAAAAHs/2y0=")</f>
        <v>#VALUE!</v>
      </c>
      <c r="AU43" t="e">
        <f>AND(medidas!AK51,"AAAAAHs/2y4=")</f>
        <v>#VALUE!</v>
      </c>
      <c r="AV43" t="e">
        <f>AND(medidas!AL51,"AAAAAHs/2y8=")</f>
        <v>#VALUE!</v>
      </c>
      <c r="AW43" t="e">
        <f>AND(medidas!AM51,"AAAAAHs/2zA=")</f>
        <v>#VALUE!</v>
      </c>
      <c r="AX43" t="e">
        <f>AND(medidas!AN51,"AAAAAHs/2zE=")</f>
        <v>#VALUE!</v>
      </c>
      <c r="AY43" t="e">
        <f>AND(medidas!AO51,"AAAAAHs/2zI=")</f>
        <v>#VALUE!</v>
      </c>
      <c r="AZ43" t="e">
        <f>AND(medidas!AP51,"AAAAAHs/2zM=")</f>
        <v>#VALUE!</v>
      </c>
      <c r="BA43" t="e">
        <f>AND(medidas!AQ51,"AAAAAHs/2zQ=")</f>
        <v>#VALUE!</v>
      </c>
      <c r="BB43" t="e">
        <f>AND(medidas!AR51,"AAAAAHs/2zU=")</f>
        <v>#VALUE!</v>
      </c>
      <c r="BC43" t="e">
        <f>AND(medidas!AS51,"AAAAAHs/2zY=")</f>
        <v>#VALUE!</v>
      </c>
      <c r="BD43" t="e">
        <f>AND(medidas!AT51,"AAAAAHs/2zc=")</f>
        <v>#VALUE!</v>
      </c>
      <c r="BE43" t="e">
        <f>AND(medidas!AU51,"AAAAAHs/2zg=")</f>
        <v>#VALUE!</v>
      </c>
      <c r="BF43" t="e">
        <f>AND(medidas!AV51,"AAAAAHs/2zk=")</f>
        <v>#VALUE!</v>
      </c>
      <c r="BG43" t="e">
        <f>AND(medidas!AW51,"AAAAAHs/2zo=")</f>
        <v>#VALUE!</v>
      </c>
      <c r="BH43" t="e">
        <f>AND(medidas!AX51,"AAAAAHs/2zs=")</f>
        <v>#VALUE!</v>
      </c>
      <c r="BI43" t="e">
        <f>AND(medidas!AY51,"AAAAAHs/2zw=")</f>
        <v>#VALUE!</v>
      </c>
      <c r="BJ43" t="e">
        <f>AND(medidas!AZ51,"AAAAAHs/2z0=")</f>
        <v>#VALUE!</v>
      </c>
      <c r="BK43" t="e">
        <f>AND(medidas!BA51,"AAAAAHs/2z4=")</f>
        <v>#VALUE!</v>
      </c>
      <c r="BL43" t="e">
        <f>AND(medidas!BB51,"AAAAAHs/2z8=")</f>
        <v>#VALUE!</v>
      </c>
      <c r="BM43" t="e">
        <f>AND(medidas!BC51,"AAAAAHs/20A=")</f>
        <v>#VALUE!</v>
      </c>
      <c r="BN43" t="e">
        <f>AND(medidas!BD51,"AAAAAHs/20E=")</f>
        <v>#VALUE!</v>
      </c>
      <c r="BO43" t="e">
        <f>AND(medidas!BE51,"AAAAAHs/20I=")</f>
        <v>#VALUE!</v>
      </c>
      <c r="BP43" t="e">
        <f>AND(medidas!BF51,"AAAAAHs/20M=")</f>
        <v>#VALUE!</v>
      </c>
      <c r="BQ43" t="e">
        <f>AND(medidas!BG51,"AAAAAHs/20Q=")</f>
        <v>#VALUE!</v>
      </c>
      <c r="BR43" t="e">
        <f>AND(medidas!BH51,"AAAAAHs/20U=")</f>
        <v>#VALUE!</v>
      </c>
      <c r="BS43" t="e">
        <f>AND(medidas!BI51,"AAAAAHs/20Y=")</f>
        <v>#VALUE!</v>
      </c>
      <c r="BT43" t="e">
        <f>AND(medidas!BJ51,"AAAAAHs/20c=")</f>
        <v>#VALUE!</v>
      </c>
      <c r="BU43" t="e">
        <f>AND(medidas!BK51,"AAAAAHs/20g=")</f>
        <v>#VALUE!</v>
      </c>
      <c r="BV43" t="e">
        <f>AND(medidas!BL51,"AAAAAHs/20k=")</f>
        <v>#VALUE!</v>
      </c>
      <c r="BW43" t="e">
        <f>AND(medidas!BM51,"AAAAAHs/20o=")</f>
        <v>#VALUE!</v>
      </c>
      <c r="BX43" t="e">
        <f>AND(medidas!BN51,"AAAAAHs/20s=")</f>
        <v>#VALUE!</v>
      </c>
      <c r="BY43" t="e">
        <f>AND(medidas!BO51,"AAAAAHs/20w=")</f>
        <v>#VALUE!</v>
      </c>
      <c r="BZ43" t="e">
        <f>AND(medidas!BP51,"AAAAAHs/200=")</f>
        <v>#VALUE!</v>
      </c>
      <c r="CA43" t="e">
        <f>AND(medidas!BQ51,"AAAAAHs/204=")</f>
        <v>#VALUE!</v>
      </c>
      <c r="CB43" t="e">
        <f>AND(medidas!BR51,"AAAAAHs/208=")</f>
        <v>#VALUE!</v>
      </c>
      <c r="CC43" t="e">
        <f>AND(medidas!BS51,"AAAAAHs/21A=")</f>
        <v>#VALUE!</v>
      </c>
      <c r="CD43" t="e">
        <f>AND(medidas!BT51,"AAAAAHs/21E=")</f>
        <v>#VALUE!</v>
      </c>
      <c r="CE43" t="e">
        <f>AND(medidas!BU51,"AAAAAHs/21I=")</f>
        <v>#VALUE!</v>
      </c>
      <c r="CF43" t="e">
        <f>AND(medidas!BV51,"AAAAAHs/21M=")</f>
        <v>#VALUE!</v>
      </c>
      <c r="CG43" t="e">
        <f>AND(medidas!BW51,"AAAAAHs/21Q=")</f>
        <v>#VALUE!</v>
      </c>
      <c r="CH43" t="e">
        <f>AND(medidas!BX51,"AAAAAHs/21U=")</f>
        <v>#VALUE!</v>
      </c>
      <c r="CI43" t="e">
        <f>AND(medidas!BY51,"AAAAAHs/21Y=")</f>
        <v>#VALUE!</v>
      </c>
      <c r="CJ43">
        <f>IF(medidas!52:52,"AAAAAHs/21c=",0)</f>
        <v>0</v>
      </c>
      <c r="CK43" t="e">
        <f>AND(medidas!B52,"AAAAAHs/21g=")</f>
        <v>#VALUE!</v>
      </c>
      <c r="CL43" t="e">
        <f>AND(medidas!C52,"AAAAAHs/21k=")</f>
        <v>#VALUE!</v>
      </c>
      <c r="CM43" t="e">
        <f>AND(medidas!D52,"AAAAAHs/21o=")</f>
        <v>#VALUE!</v>
      </c>
      <c r="CN43" t="e">
        <f>AND(medidas!E52,"AAAAAHs/21s=")</f>
        <v>#VALUE!</v>
      </c>
      <c r="CO43" t="e">
        <f>AND(medidas!F52,"AAAAAHs/21w=")</f>
        <v>#VALUE!</v>
      </c>
      <c r="CP43" t="e">
        <f>AND(medidas!G52,"AAAAAHs/210=")</f>
        <v>#VALUE!</v>
      </c>
      <c r="CQ43" t="e">
        <f>AND(medidas!H52,"AAAAAHs/214=")</f>
        <v>#VALUE!</v>
      </c>
      <c r="CR43" t="e">
        <f>AND(medidas!I52,"AAAAAHs/218=")</f>
        <v>#VALUE!</v>
      </c>
      <c r="CS43" t="e">
        <f>AND(medidas!J52,"AAAAAHs/22A=")</f>
        <v>#VALUE!</v>
      </c>
      <c r="CT43" t="e">
        <f>AND(medidas!K52,"AAAAAHs/22E=")</f>
        <v>#VALUE!</v>
      </c>
      <c r="CU43" t="e">
        <f>AND(medidas!L52,"AAAAAHs/22I=")</f>
        <v>#VALUE!</v>
      </c>
      <c r="CV43" t="e">
        <f>AND(medidas!M52,"AAAAAHs/22M=")</f>
        <v>#VALUE!</v>
      </c>
      <c r="CW43" t="e">
        <f>AND(medidas!N52,"AAAAAHs/22Q=")</f>
        <v>#VALUE!</v>
      </c>
      <c r="CX43" t="e">
        <f>AND(medidas!O52,"AAAAAHs/22U=")</f>
        <v>#VALUE!</v>
      </c>
      <c r="CY43" t="e">
        <f>AND(medidas!P52,"AAAAAHs/22Y=")</f>
        <v>#VALUE!</v>
      </c>
      <c r="CZ43" t="e">
        <f>AND(medidas!Q52,"AAAAAHs/22c=")</f>
        <v>#VALUE!</v>
      </c>
      <c r="DA43" t="e">
        <f>AND(medidas!R52,"AAAAAHs/22g=")</f>
        <v>#VALUE!</v>
      </c>
      <c r="DB43" t="e">
        <f>AND(medidas!S52,"AAAAAHs/22k=")</f>
        <v>#VALUE!</v>
      </c>
      <c r="DC43" t="e">
        <f>AND(medidas!T52,"AAAAAHs/22o=")</f>
        <v>#VALUE!</v>
      </c>
      <c r="DD43" t="e">
        <f>AND(medidas!U52,"AAAAAHs/22s=")</f>
        <v>#VALUE!</v>
      </c>
      <c r="DE43" t="e">
        <f>AND(medidas!V52,"AAAAAHs/22w=")</f>
        <v>#VALUE!</v>
      </c>
      <c r="DF43" t="e">
        <f>AND(medidas!W52,"AAAAAHs/220=")</f>
        <v>#VALUE!</v>
      </c>
      <c r="DG43" t="e">
        <f>AND(medidas!X52,"AAAAAHs/224=")</f>
        <v>#VALUE!</v>
      </c>
      <c r="DH43" t="e">
        <f>AND(medidas!Y52,"AAAAAHs/228=")</f>
        <v>#VALUE!</v>
      </c>
      <c r="DI43" t="e">
        <f>AND(medidas!Z52,"AAAAAHs/23A=")</f>
        <v>#VALUE!</v>
      </c>
      <c r="DJ43" t="e">
        <f>AND(medidas!AA52,"AAAAAHs/23E=")</f>
        <v>#VALUE!</v>
      </c>
      <c r="DK43" t="e">
        <f>AND(medidas!AB52,"AAAAAHs/23I=")</f>
        <v>#VALUE!</v>
      </c>
      <c r="DL43" t="e">
        <f>AND(medidas!AC52,"AAAAAHs/23M=")</f>
        <v>#VALUE!</v>
      </c>
      <c r="DM43" t="e">
        <f>AND(medidas!AD52,"AAAAAHs/23Q=")</f>
        <v>#VALUE!</v>
      </c>
      <c r="DN43" t="e">
        <f>AND(medidas!AE52,"AAAAAHs/23U=")</f>
        <v>#VALUE!</v>
      </c>
      <c r="DO43" t="e">
        <f>AND(medidas!AF52,"AAAAAHs/23Y=")</f>
        <v>#VALUE!</v>
      </c>
      <c r="DP43" t="e">
        <f>AND(medidas!AG52,"AAAAAHs/23c=")</f>
        <v>#VALUE!</v>
      </c>
      <c r="DQ43" t="e">
        <f>AND(medidas!AH52,"AAAAAHs/23g=")</f>
        <v>#VALUE!</v>
      </c>
      <c r="DR43" t="e">
        <f>AND(medidas!AI52,"AAAAAHs/23k=")</f>
        <v>#VALUE!</v>
      </c>
      <c r="DS43" t="e">
        <f>AND(medidas!AJ52,"AAAAAHs/23o=")</f>
        <v>#VALUE!</v>
      </c>
      <c r="DT43" t="e">
        <f>AND(medidas!AK52,"AAAAAHs/23s=")</f>
        <v>#VALUE!</v>
      </c>
      <c r="DU43" t="e">
        <f>AND(medidas!AL52,"AAAAAHs/23w=")</f>
        <v>#VALUE!</v>
      </c>
      <c r="DV43" t="e">
        <f>AND(medidas!AM52,"AAAAAHs/230=")</f>
        <v>#VALUE!</v>
      </c>
      <c r="DW43" t="e">
        <f>AND(medidas!AN52,"AAAAAHs/234=")</f>
        <v>#VALUE!</v>
      </c>
      <c r="DX43" t="e">
        <f>AND(medidas!AO52,"AAAAAHs/238=")</f>
        <v>#VALUE!</v>
      </c>
      <c r="DY43" t="e">
        <f>AND(medidas!AP52,"AAAAAHs/24A=")</f>
        <v>#VALUE!</v>
      </c>
      <c r="DZ43" t="e">
        <f>AND(medidas!AQ52,"AAAAAHs/24E=")</f>
        <v>#VALUE!</v>
      </c>
      <c r="EA43" t="e">
        <f>AND(medidas!AR52,"AAAAAHs/24I=")</f>
        <v>#VALUE!</v>
      </c>
      <c r="EB43" t="e">
        <f>AND(medidas!AS52,"AAAAAHs/24M=")</f>
        <v>#VALUE!</v>
      </c>
      <c r="EC43" t="e">
        <f>AND(medidas!AT52,"AAAAAHs/24Q=")</f>
        <v>#VALUE!</v>
      </c>
      <c r="ED43" t="e">
        <f>AND(medidas!AU52,"AAAAAHs/24U=")</f>
        <v>#VALUE!</v>
      </c>
      <c r="EE43" t="e">
        <f>AND(medidas!AV52,"AAAAAHs/24Y=")</f>
        <v>#VALUE!</v>
      </c>
      <c r="EF43" t="e">
        <f>AND(medidas!AW52,"AAAAAHs/24c=")</f>
        <v>#VALUE!</v>
      </c>
      <c r="EG43" t="e">
        <f>AND(medidas!AX52,"AAAAAHs/24g=")</f>
        <v>#VALUE!</v>
      </c>
      <c r="EH43" t="e">
        <f>AND(medidas!AY52,"AAAAAHs/24k=")</f>
        <v>#VALUE!</v>
      </c>
      <c r="EI43" t="e">
        <f>AND(medidas!AZ52,"AAAAAHs/24o=")</f>
        <v>#VALUE!</v>
      </c>
      <c r="EJ43" t="e">
        <f>AND(medidas!BA52,"AAAAAHs/24s=")</f>
        <v>#VALUE!</v>
      </c>
      <c r="EK43" t="e">
        <f>AND(medidas!BB52,"AAAAAHs/24w=")</f>
        <v>#VALUE!</v>
      </c>
      <c r="EL43" t="e">
        <f>AND(medidas!BC52,"AAAAAHs/240=")</f>
        <v>#VALUE!</v>
      </c>
      <c r="EM43" t="e">
        <f>AND(medidas!BD52,"AAAAAHs/244=")</f>
        <v>#VALUE!</v>
      </c>
      <c r="EN43" t="e">
        <f>AND(medidas!BE52,"AAAAAHs/248=")</f>
        <v>#VALUE!</v>
      </c>
      <c r="EO43" t="e">
        <f>AND(medidas!BF52,"AAAAAHs/25A=")</f>
        <v>#VALUE!</v>
      </c>
      <c r="EP43" t="e">
        <f>AND(medidas!BG52,"AAAAAHs/25E=")</f>
        <v>#VALUE!</v>
      </c>
      <c r="EQ43" t="e">
        <f>AND(medidas!BH52,"AAAAAHs/25I=")</f>
        <v>#VALUE!</v>
      </c>
      <c r="ER43" t="e">
        <f>AND(medidas!BI52,"AAAAAHs/25M=")</f>
        <v>#VALUE!</v>
      </c>
      <c r="ES43" t="e">
        <f>AND(medidas!BJ52,"AAAAAHs/25Q=")</f>
        <v>#VALUE!</v>
      </c>
      <c r="ET43" t="e">
        <f>AND(medidas!BK52,"AAAAAHs/25U=")</f>
        <v>#VALUE!</v>
      </c>
      <c r="EU43" t="e">
        <f>AND(medidas!BL52,"AAAAAHs/25Y=")</f>
        <v>#VALUE!</v>
      </c>
      <c r="EV43" t="e">
        <f>AND(medidas!BM52,"AAAAAHs/25c=")</f>
        <v>#VALUE!</v>
      </c>
      <c r="EW43" t="e">
        <f>AND(medidas!BN52,"AAAAAHs/25g=")</f>
        <v>#VALUE!</v>
      </c>
      <c r="EX43" t="e">
        <f>AND(medidas!BO52,"AAAAAHs/25k=")</f>
        <v>#VALUE!</v>
      </c>
      <c r="EY43" t="e">
        <f>AND(medidas!BP52,"AAAAAHs/25o=")</f>
        <v>#VALUE!</v>
      </c>
      <c r="EZ43" t="e">
        <f>AND(medidas!BQ52,"AAAAAHs/25s=")</f>
        <v>#VALUE!</v>
      </c>
      <c r="FA43" t="e">
        <f>AND(medidas!BR52,"AAAAAHs/25w=")</f>
        <v>#VALUE!</v>
      </c>
      <c r="FB43" t="e">
        <f>AND(medidas!BS52,"AAAAAHs/250=")</f>
        <v>#VALUE!</v>
      </c>
      <c r="FC43" t="e">
        <f>AND(medidas!BT52,"AAAAAHs/254=")</f>
        <v>#VALUE!</v>
      </c>
      <c r="FD43" t="e">
        <f>AND(medidas!BU52,"AAAAAHs/258=")</f>
        <v>#VALUE!</v>
      </c>
      <c r="FE43" t="e">
        <f>AND(medidas!BV52,"AAAAAHs/26A=")</f>
        <v>#VALUE!</v>
      </c>
      <c r="FF43" t="e">
        <f>AND(medidas!BW52,"AAAAAHs/26E=")</f>
        <v>#VALUE!</v>
      </c>
      <c r="FG43" t="e">
        <f>AND(medidas!BX52,"AAAAAHs/26I=")</f>
        <v>#VALUE!</v>
      </c>
      <c r="FH43" t="e">
        <f>AND(medidas!BY52,"AAAAAHs/26M=")</f>
        <v>#VALUE!</v>
      </c>
      <c r="FI43">
        <f>IF(medidas!53:53,"AAAAAHs/26Q=",0)</f>
        <v>0</v>
      </c>
      <c r="FJ43" t="e">
        <f>AND(medidas!B53,"AAAAAHs/26U=")</f>
        <v>#VALUE!</v>
      </c>
      <c r="FK43" t="e">
        <f>AND(medidas!C53,"AAAAAHs/26Y=")</f>
        <v>#VALUE!</v>
      </c>
      <c r="FL43" t="e">
        <f>AND(medidas!D53,"AAAAAHs/26c=")</f>
        <v>#VALUE!</v>
      </c>
      <c r="FM43" t="e">
        <f>AND(medidas!E53,"AAAAAHs/26g=")</f>
        <v>#VALUE!</v>
      </c>
      <c r="FN43" t="e">
        <f>AND(medidas!F53,"AAAAAHs/26k=")</f>
        <v>#VALUE!</v>
      </c>
      <c r="FO43" t="e">
        <f>AND(medidas!G53,"AAAAAHs/26o=")</f>
        <v>#VALUE!</v>
      </c>
      <c r="FP43" t="e">
        <f>AND(medidas!H53,"AAAAAHs/26s=")</f>
        <v>#VALUE!</v>
      </c>
      <c r="FQ43" t="e">
        <f>AND(medidas!I53,"AAAAAHs/26w=")</f>
        <v>#VALUE!</v>
      </c>
      <c r="FR43" t="e">
        <f>AND(medidas!J53,"AAAAAHs/260=")</f>
        <v>#VALUE!</v>
      </c>
      <c r="FS43" t="e">
        <f>AND(medidas!K53,"AAAAAHs/264=")</f>
        <v>#VALUE!</v>
      </c>
      <c r="FT43" t="e">
        <f>AND(medidas!L53,"AAAAAHs/268=")</f>
        <v>#VALUE!</v>
      </c>
      <c r="FU43" t="e">
        <f>AND(medidas!M53,"AAAAAHs/27A=")</f>
        <v>#VALUE!</v>
      </c>
      <c r="FV43" t="e">
        <f>AND(medidas!N53,"AAAAAHs/27E=")</f>
        <v>#VALUE!</v>
      </c>
      <c r="FW43" t="e">
        <f>AND(medidas!O53,"AAAAAHs/27I=")</f>
        <v>#VALUE!</v>
      </c>
      <c r="FX43" t="e">
        <f>AND(medidas!P53,"AAAAAHs/27M=")</f>
        <v>#VALUE!</v>
      </c>
      <c r="FY43" t="e">
        <f>AND(medidas!Q53,"AAAAAHs/27Q=")</f>
        <v>#VALUE!</v>
      </c>
      <c r="FZ43" t="e">
        <f>AND(medidas!R53,"AAAAAHs/27U=")</f>
        <v>#VALUE!</v>
      </c>
      <c r="GA43" t="e">
        <f>AND(medidas!S53,"AAAAAHs/27Y=")</f>
        <v>#VALUE!</v>
      </c>
      <c r="GB43" t="e">
        <f>AND(medidas!T53,"AAAAAHs/27c=")</f>
        <v>#VALUE!</v>
      </c>
      <c r="GC43" t="e">
        <f>AND(medidas!U53,"AAAAAHs/27g=")</f>
        <v>#VALUE!</v>
      </c>
      <c r="GD43" t="e">
        <f>AND(medidas!V53,"AAAAAHs/27k=")</f>
        <v>#VALUE!</v>
      </c>
      <c r="GE43" t="e">
        <f>AND(medidas!W53,"AAAAAHs/27o=")</f>
        <v>#VALUE!</v>
      </c>
      <c r="GF43" t="e">
        <f>AND(medidas!X53,"AAAAAHs/27s=")</f>
        <v>#VALUE!</v>
      </c>
      <c r="GG43" t="e">
        <f>AND(medidas!Y53,"AAAAAHs/27w=")</f>
        <v>#VALUE!</v>
      </c>
      <c r="GH43" t="e">
        <f>AND(medidas!Z53,"AAAAAHs/270=")</f>
        <v>#VALUE!</v>
      </c>
      <c r="GI43" t="e">
        <f>AND(medidas!AA53,"AAAAAHs/274=")</f>
        <v>#VALUE!</v>
      </c>
      <c r="GJ43" t="e">
        <f>AND(medidas!AB53,"AAAAAHs/278=")</f>
        <v>#VALUE!</v>
      </c>
      <c r="GK43" t="e">
        <f>AND(medidas!AC53,"AAAAAHs/28A=")</f>
        <v>#VALUE!</v>
      </c>
      <c r="GL43" t="e">
        <f>AND(medidas!AD53,"AAAAAHs/28E=")</f>
        <v>#VALUE!</v>
      </c>
      <c r="GM43" t="e">
        <f>AND(medidas!AE53,"AAAAAHs/28I=")</f>
        <v>#VALUE!</v>
      </c>
      <c r="GN43" t="e">
        <f>AND(medidas!AF53,"AAAAAHs/28M=")</f>
        <v>#VALUE!</v>
      </c>
      <c r="GO43" t="e">
        <f>AND(medidas!AG53,"AAAAAHs/28Q=")</f>
        <v>#VALUE!</v>
      </c>
      <c r="GP43" t="e">
        <f>AND(medidas!AH53,"AAAAAHs/28U=")</f>
        <v>#VALUE!</v>
      </c>
      <c r="GQ43" t="e">
        <f>AND(medidas!AI53,"AAAAAHs/28Y=")</f>
        <v>#VALUE!</v>
      </c>
      <c r="GR43" t="e">
        <f>AND(medidas!AJ53,"AAAAAHs/28c=")</f>
        <v>#VALUE!</v>
      </c>
      <c r="GS43" t="e">
        <f>AND(medidas!AK53,"AAAAAHs/28g=")</f>
        <v>#VALUE!</v>
      </c>
      <c r="GT43" t="e">
        <f>AND(medidas!AL53,"AAAAAHs/28k=")</f>
        <v>#VALUE!</v>
      </c>
      <c r="GU43" t="e">
        <f>AND(medidas!AM53,"AAAAAHs/28o=")</f>
        <v>#VALUE!</v>
      </c>
      <c r="GV43" t="e">
        <f>AND(medidas!AN53,"AAAAAHs/28s=")</f>
        <v>#VALUE!</v>
      </c>
      <c r="GW43" t="e">
        <f>AND(medidas!AO53,"AAAAAHs/28w=")</f>
        <v>#VALUE!</v>
      </c>
      <c r="GX43" t="e">
        <f>AND(medidas!AP53,"AAAAAHs/280=")</f>
        <v>#VALUE!</v>
      </c>
      <c r="GY43" t="e">
        <f>AND(medidas!AQ53,"AAAAAHs/284=")</f>
        <v>#VALUE!</v>
      </c>
      <c r="GZ43" t="e">
        <f>AND(medidas!AR53,"AAAAAHs/288=")</f>
        <v>#VALUE!</v>
      </c>
      <c r="HA43" t="e">
        <f>AND(medidas!AS53,"AAAAAHs/29A=")</f>
        <v>#VALUE!</v>
      </c>
      <c r="HB43" t="e">
        <f>AND(medidas!AT53,"AAAAAHs/29E=")</f>
        <v>#VALUE!</v>
      </c>
      <c r="HC43" t="e">
        <f>AND(medidas!AU53,"AAAAAHs/29I=")</f>
        <v>#VALUE!</v>
      </c>
      <c r="HD43" t="e">
        <f>AND(medidas!AV53,"AAAAAHs/29M=")</f>
        <v>#VALUE!</v>
      </c>
      <c r="HE43" t="e">
        <f>AND(medidas!AW53,"AAAAAHs/29Q=")</f>
        <v>#VALUE!</v>
      </c>
      <c r="HF43" t="e">
        <f>AND(medidas!AX53,"AAAAAHs/29U=")</f>
        <v>#VALUE!</v>
      </c>
      <c r="HG43" t="e">
        <f>AND(medidas!AY53,"AAAAAHs/29Y=")</f>
        <v>#VALUE!</v>
      </c>
      <c r="HH43" t="e">
        <f>AND(medidas!AZ53,"AAAAAHs/29c=")</f>
        <v>#VALUE!</v>
      </c>
      <c r="HI43" t="e">
        <f>AND(medidas!BA53,"AAAAAHs/29g=")</f>
        <v>#VALUE!</v>
      </c>
      <c r="HJ43" t="e">
        <f>AND(medidas!BB53,"AAAAAHs/29k=")</f>
        <v>#VALUE!</v>
      </c>
      <c r="HK43" t="e">
        <f>AND(medidas!BC53,"AAAAAHs/29o=")</f>
        <v>#VALUE!</v>
      </c>
      <c r="HL43" t="e">
        <f>AND(medidas!BD53,"AAAAAHs/29s=")</f>
        <v>#VALUE!</v>
      </c>
      <c r="HM43" t="e">
        <f>AND(medidas!BE53,"AAAAAHs/29w=")</f>
        <v>#VALUE!</v>
      </c>
      <c r="HN43" t="e">
        <f>AND(medidas!BF53,"AAAAAHs/290=")</f>
        <v>#VALUE!</v>
      </c>
      <c r="HO43" t="e">
        <f>AND(medidas!BG53,"AAAAAHs/294=")</f>
        <v>#VALUE!</v>
      </c>
      <c r="HP43" t="e">
        <f>AND(medidas!BH53,"AAAAAHs/298=")</f>
        <v>#VALUE!</v>
      </c>
      <c r="HQ43" t="e">
        <f>AND(medidas!BI53,"AAAAAHs/2+A=")</f>
        <v>#VALUE!</v>
      </c>
      <c r="HR43" t="e">
        <f>AND(medidas!BJ53,"AAAAAHs/2+E=")</f>
        <v>#VALUE!</v>
      </c>
      <c r="HS43" t="e">
        <f>AND(medidas!BK53,"AAAAAHs/2+I=")</f>
        <v>#VALUE!</v>
      </c>
      <c r="HT43" t="e">
        <f>AND(medidas!BL53,"AAAAAHs/2+M=")</f>
        <v>#VALUE!</v>
      </c>
      <c r="HU43" t="e">
        <f>AND(medidas!BM53,"AAAAAHs/2+Q=")</f>
        <v>#VALUE!</v>
      </c>
      <c r="HV43" t="e">
        <f>AND(medidas!BN53,"AAAAAHs/2+U=")</f>
        <v>#VALUE!</v>
      </c>
      <c r="HW43" t="e">
        <f>AND(medidas!BO53,"AAAAAHs/2+Y=")</f>
        <v>#VALUE!</v>
      </c>
      <c r="HX43" t="e">
        <f>AND(medidas!BP53,"AAAAAHs/2+c=")</f>
        <v>#VALUE!</v>
      </c>
      <c r="HY43" t="e">
        <f>AND(medidas!BQ53,"AAAAAHs/2+g=")</f>
        <v>#VALUE!</v>
      </c>
      <c r="HZ43" t="e">
        <f>AND(medidas!BR53,"AAAAAHs/2+k=")</f>
        <v>#VALUE!</v>
      </c>
      <c r="IA43" t="e">
        <f>AND(medidas!BS53,"AAAAAHs/2+o=")</f>
        <v>#VALUE!</v>
      </c>
      <c r="IB43" t="e">
        <f>AND(medidas!BT53,"AAAAAHs/2+s=")</f>
        <v>#VALUE!</v>
      </c>
      <c r="IC43" t="e">
        <f>AND(medidas!BU53,"AAAAAHs/2+w=")</f>
        <v>#VALUE!</v>
      </c>
      <c r="ID43" t="e">
        <f>AND(medidas!BV53,"AAAAAHs/2+0=")</f>
        <v>#VALUE!</v>
      </c>
      <c r="IE43" t="e">
        <f>AND(medidas!BW53,"AAAAAHs/2+4=")</f>
        <v>#VALUE!</v>
      </c>
      <c r="IF43" t="e">
        <f>AND(medidas!BX53,"AAAAAHs/2+8=")</f>
        <v>#VALUE!</v>
      </c>
      <c r="IG43" t="e">
        <f>AND(medidas!BY53,"AAAAAHs/2/A=")</f>
        <v>#VALUE!</v>
      </c>
      <c r="IH43">
        <f>IF(medidas!54:54,"AAAAAHs/2/E=",0)</f>
        <v>0</v>
      </c>
      <c r="II43" t="e">
        <f>AND(medidas!B54,"AAAAAHs/2/I=")</f>
        <v>#VALUE!</v>
      </c>
      <c r="IJ43" t="e">
        <f>AND(medidas!C54,"AAAAAHs/2/M=")</f>
        <v>#VALUE!</v>
      </c>
      <c r="IK43" t="e">
        <f>AND(medidas!D54,"AAAAAHs/2/Q=")</f>
        <v>#VALUE!</v>
      </c>
      <c r="IL43" t="e">
        <f>AND(medidas!E54,"AAAAAHs/2/U=")</f>
        <v>#VALUE!</v>
      </c>
      <c r="IM43" t="e">
        <f>AND(medidas!F54,"AAAAAHs/2/Y=")</f>
        <v>#VALUE!</v>
      </c>
      <c r="IN43" t="e">
        <f>AND(medidas!G54,"AAAAAHs/2/c=")</f>
        <v>#VALUE!</v>
      </c>
      <c r="IO43" t="e">
        <f>AND(medidas!H54,"AAAAAHs/2/g=")</f>
        <v>#VALUE!</v>
      </c>
      <c r="IP43" t="e">
        <f>AND(medidas!I54,"AAAAAHs/2/k=")</f>
        <v>#VALUE!</v>
      </c>
      <c r="IQ43" t="e">
        <f>AND(medidas!J54,"AAAAAHs/2/o=")</f>
        <v>#VALUE!</v>
      </c>
      <c r="IR43" t="e">
        <f>AND(medidas!K54,"AAAAAHs/2/s=")</f>
        <v>#VALUE!</v>
      </c>
      <c r="IS43" t="e">
        <f>AND(medidas!L54,"AAAAAHs/2/w=")</f>
        <v>#VALUE!</v>
      </c>
      <c r="IT43" t="e">
        <f>AND(medidas!M54,"AAAAAHs/2/0=")</f>
        <v>#VALUE!</v>
      </c>
      <c r="IU43" t="e">
        <f>AND(medidas!N54,"AAAAAHs/2/4=")</f>
        <v>#VALUE!</v>
      </c>
      <c r="IV43" t="e">
        <f>AND(medidas!O54,"AAAAAHs/2/8=")</f>
        <v>#VALUE!</v>
      </c>
    </row>
    <row r="44" spans="1:256" x14ac:dyDescent="0.2">
      <c r="A44" t="e">
        <f>AND(medidas!P54,"AAAAAH/97wA=")</f>
        <v>#VALUE!</v>
      </c>
      <c r="B44" t="e">
        <f>AND(medidas!Q54,"AAAAAH/97wE=")</f>
        <v>#VALUE!</v>
      </c>
      <c r="C44" t="e">
        <f>AND(medidas!R54,"AAAAAH/97wI=")</f>
        <v>#VALUE!</v>
      </c>
      <c r="D44" t="e">
        <f>AND(medidas!S54,"AAAAAH/97wM=")</f>
        <v>#VALUE!</v>
      </c>
      <c r="E44" t="e">
        <f>AND(medidas!T54,"AAAAAH/97wQ=")</f>
        <v>#VALUE!</v>
      </c>
      <c r="F44" t="e">
        <f>AND(medidas!U54,"AAAAAH/97wU=")</f>
        <v>#VALUE!</v>
      </c>
      <c r="G44" t="e">
        <f>AND(medidas!V54,"AAAAAH/97wY=")</f>
        <v>#VALUE!</v>
      </c>
      <c r="H44" t="e">
        <f>AND(medidas!W54,"AAAAAH/97wc=")</f>
        <v>#VALUE!</v>
      </c>
      <c r="I44" t="e">
        <f>AND(medidas!X54,"AAAAAH/97wg=")</f>
        <v>#VALUE!</v>
      </c>
      <c r="J44" t="e">
        <f>AND(medidas!Y54,"AAAAAH/97wk=")</f>
        <v>#VALUE!</v>
      </c>
      <c r="K44" t="e">
        <f>AND(medidas!Z54,"AAAAAH/97wo=")</f>
        <v>#VALUE!</v>
      </c>
      <c r="L44" t="e">
        <f>AND(medidas!AA54,"AAAAAH/97ws=")</f>
        <v>#VALUE!</v>
      </c>
      <c r="M44" t="e">
        <f>AND(medidas!AB54,"AAAAAH/97ww=")</f>
        <v>#VALUE!</v>
      </c>
      <c r="N44" t="e">
        <f>AND(medidas!AC54,"AAAAAH/97w0=")</f>
        <v>#VALUE!</v>
      </c>
      <c r="O44" t="e">
        <f>AND(medidas!AD54,"AAAAAH/97w4=")</f>
        <v>#VALUE!</v>
      </c>
      <c r="P44" t="e">
        <f>AND(medidas!AE54,"AAAAAH/97w8=")</f>
        <v>#VALUE!</v>
      </c>
      <c r="Q44" t="e">
        <f>AND(medidas!AF54,"AAAAAH/97xA=")</f>
        <v>#VALUE!</v>
      </c>
      <c r="R44" t="e">
        <f>AND(medidas!AG54,"AAAAAH/97xE=")</f>
        <v>#VALUE!</v>
      </c>
      <c r="S44" t="e">
        <f>AND(medidas!AH54,"AAAAAH/97xI=")</f>
        <v>#VALUE!</v>
      </c>
      <c r="T44" t="e">
        <f>AND(medidas!AI54,"AAAAAH/97xM=")</f>
        <v>#VALUE!</v>
      </c>
      <c r="U44" t="e">
        <f>AND(medidas!AJ54,"AAAAAH/97xQ=")</f>
        <v>#VALUE!</v>
      </c>
      <c r="V44" t="e">
        <f>AND(medidas!AK54,"AAAAAH/97xU=")</f>
        <v>#VALUE!</v>
      </c>
      <c r="W44" t="e">
        <f>AND(medidas!AL54,"AAAAAH/97xY=")</f>
        <v>#VALUE!</v>
      </c>
      <c r="X44" t="e">
        <f>AND(medidas!AM54,"AAAAAH/97xc=")</f>
        <v>#VALUE!</v>
      </c>
      <c r="Y44" t="e">
        <f>AND(medidas!AN54,"AAAAAH/97xg=")</f>
        <v>#VALUE!</v>
      </c>
      <c r="Z44" t="e">
        <f>AND(medidas!AO54,"AAAAAH/97xk=")</f>
        <v>#VALUE!</v>
      </c>
      <c r="AA44" t="e">
        <f>AND(medidas!AP54,"AAAAAH/97xo=")</f>
        <v>#VALUE!</v>
      </c>
      <c r="AB44" t="e">
        <f>AND(medidas!AQ54,"AAAAAH/97xs=")</f>
        <v>#VALUE!</v>
      </c>
      <c r="AC44" t="e">
        <f>AND(medidas!AR54,"AAAAAH/97xw=")</f>
        <v>#VALUE!</v>
      </c>
      <c r="AD44" t="e">
        <f>AND(medidas!AS54,"AAAAAH/97x0=")</f>
        <v>#VALUE!</v>
      </c>
      <c r="AE44" t="e">
        <f>AND(medidas!AT54,"AAAAAH/97x4=")</f>
        <v>#VALUE!</v>
      </c>
      <c r="AF44" t="e">
        <f>AND(medidas!AU54,"AAAAAH/97x8=")</f>
        <v>#VALUE!</v>
      </c>
      <c r="AG44" t="e">
        <f>AND(medidas!AV54,"AAAAAH/97yA=")</f>
        <v>#VALUE!</v>
      </c>
      <c r="AH44" t="e">
        <f>AND(medidas!AW54,"AAAAAH/97yE=")</f>
        <v>#VALUE!</v>
      </c>
      <c r="AI44" t="e">
        <f>AND(medidas!AX54,"AAAAAH/97yI=")</f>
        <v>#VALUE!</v>
      </c>
      <c r="AJ44" t="e">
        <f>AND(medidas!AY54,"AAAAAH/97yM=")</f>
        <v>#VALUE!</v>
      </c>
      <c r="AK44" t="e">
        <f>AND(medidas!AZ54,"AAAAAH/97yQ=")</f>
        <v>#VALUE!</v>
      </c>
      <c r="AL44" t="e">
        <f>AND(medidas!BA54,"AAAAAH/97yU=")</f>
        <v>#VALUE!</v>
      </c>
      <c r="AM44" t="e">
        <f>AND(medidas!BB54,"AAAAAH/97yY=")</f>
        <v>#VALUE!</v>
      </c>
      <c r="AN44" t="e">
        <f>AND(medidas!BC54,"AAAAAH/97yc=")</f>
        <v>#VALUE!</v>
      </c>
      <c r="AO44" t="e">
        <f>AND(medidas!BD54,"AAAAAH/97yg=")</f>
        <v>#VALUE!</v>
      </c>
      <c r="AP44" t="e">
        <f>AND(medidas!BE54,"AAAAAH/97yk=")</f>
        <v>#VALUE!</v>
      </c>
      <c r="AQ44" t="e">
        <f>AND(medidas!BF54,"AAAAAH/97yo=")</f>
        <v>#VALUE!</v>
      </c>
      <c r="AR44" t="e">
        <f>AND(medidas!BG54,"AAAAAH/97ys=")</f>
        <v>#VALUE!</v>
      </c>
      <c r="AS44" t="e">
        <f>AND(medidas!BH54,"AAAAAH/97yw=")</f>
        <v>#VALUE!</v>
      </c>
      <c r="AT44" t="e">
        <f>AND(medidas!BI54,"AAAAAH/97y0=")</f>
        <v>#VALUE!</v>
      </c>
      <c r="AU44" t="e">
        <f>AND(medidas!BJ54,"AAAAAH/97y4=")</f>
        <v>#VALUE!</v>
      </c>
      <c r="AV44" t="e">
        <f>AND(medidas!BK54,"AAAAAH/97y8=")</f>
        <v>#VALUE!</v>
      </c>
      <c r="AW44" t="e">
        <f>AND(medidas!BL54,"AAAAAH/97zA=")</f>
        <v>#VALUE!</v>
      </c>
      <c r="AX44" t="e">
        <f>AND(medidas!BM54,"AAAAAH/97zE=")</f>
        <v>#VALUE!</v>
      </c>
      <c r="AY44" t="e">
        <f>AND(medidas!BN54,"AAAAAH/97zI=")</f>
        <v>#VALUE!</v>
      </c>
      <c r="AZ44" t="e">
        <f>AND(medidas!BO54,"AAAAAH/97zM=")</f>
        <v>#VALUE!</v>
      </c>
      <c r="BA44" t="e">
        <f>AND(medidas!BP54,"AAAAAH/97zQ=")</f>
        <v>#VALUE!</v>
      </c>
      <c r="BB44" t="e">
        <f>AND(medidas!BQ54,"AAAAAH/97zU=")</f>
        <v>#VALUE!</v>
      </c>
      <c r="BC44" t="e">
        <f>AND(medidas!BR54,"AAAAAH/97zY=")</f>
        <v>#VALUE!</v>
      </c>
      <c r="BD44" t="e">
        <f>AND(medidas!BS54,"AAAAAH/97zc=")</f>
        <v>#VALUE!</v>
      </c>
      <c r="BE44" t="e">
        <f>AND(medidas!BT54,"AAAAAH/97zg=")</f>
        <v>#VALUE!</v>
      </c>
      <c r="BF44" t="e">
        <f>AND(medidas!BU54,"AAAAAH/97zk=")</f>
        <v>#VALUE!</v>
      </c>
      <c r="BG44" t="e">
        <f>AND(medidas!BV54,"AAAAAH/97zo=")</f>
        <v>#VALUE!</v>
      </c>
      <c r="BH44" t="e">
        <f>AND(medidas!BW54,"AAAAAH/97zs=")</f>
        <v>#VALUE!</v>
      </c>
      <c r="BI44" t="e">
        <f>AND(medidas!BX54,"AAAAAH/97zw=")</f>
        <v>#VALUE!</v>
      </c>
      <c r="BJ44" t="e">
        <f>AND(medidas!BY54,"AAAAAH/97z0=")</f>
        <v>#VALUE!</v>
      </c>
      <c r="BK44">
        <f>IF(medidas!55:55,"AAAAAH/97z4=",0)</f>
        <v>0</v>
      </c>
      <c r="BL44" t="e">
        <f>AND(medidas!B55,"AAAAAH/97z8=")</f>
        <v>#VALUE!</v>
      </c>
      <c r="BM44" t="e">
        <f>AND(medidas!C55,"AAAAAH/970A=")</f>
        <v>#VALUE!</v>
      </c>
      <c r="BN44" t="e">
        <f>AND(medidas!D55,"AAAAAH/970E=")</f>
        <v>#VALUE!</v>
      </c>
      <c r="BO44" t="e">
        <f>AND(medidas!E55,"AAAAAH/970I=")</f>
        <v>#VALUE!</v>
      </c>
      <c r="BP44" t="e">
        <f>AND(medidas!F55,"AAAAAH/970M=")</f>
        <v>#VALUE!</v>
      </c>
      <c r="BQ44" t="e">
        <f>AND(medidas!G55,"AAAAAH/970Q=")</f>
        <v>#VALUE!</v>
      </c>
      <c r="BR44" t="e">
        <f>AND(medidas!H55,"AAAAAH/970U=")</f>
        <v>#VALUE!</v>
      </c>
      <c r="BS44" t="e">
        <f>AND(medidas!I55,"AAAAAH/970Y=")</f>
        <v>#VALUE!</v>
      </c>
      <c r="BT44" t="e">
        <f>AND(medidas!J55,"AAAAAH/970c=")</f>
        <v>#VALUE!</v>
      </c>
      <c r="BU44" t="e">
        <f>AND(medidas!K55,"AAAAAH/970g=")</f>
        <v>#VALUE!</v>
      </c>
      <c r="BV44" t="e">
        <f>AND(medidas!L55,"AAAAAH/970k=")</f>
        <v>#VALUE!</v>
      </c>
      <c r="BW44" t="e">
        <f>AND(medidas!M55,"AAAAAH/970o=")</f>
        <v>#VALUE!</v>
      </c>
      <c r="BX44" t="e">
        <f>AND(medidas!N55,"AAAAAH/970s=")</f>
        <v>#VALUE!</v>
      </c>
      <c r="BY44" t="e">
        <f>AND(medidas!O55,"AAAAAH/970w=")</f>
        <v>#VALUE!</v>
      </c>
      <c r="BZ44" t="e">
        <f>AND(medidas!P55,"AAAAAH/9700=")</f>
        <v>#VALUE!</v>
      </c>
      <c r="CA44" t="e">
        <f>AND(medidas!Q55,"AAAAAH/9704=")</f>
        <v>#VALUE!</v>
      </c>
      <c r="CB44" t="e">
        <f>AND(medidas!R55,"AAAAAH/9708=")</f>
        <v>#VALUE!</v>
      </c>
      <c r="CC44" t="e">
        <f>AND(medidas!S55,"AAAAAH/971A=")</f>
        <v>#VALUE!</v>
      </c>
      <c r="CD44" t="e">
        <f>AND(medidas!T55,"AAAAAH/971E=")</f>
        <v>#VALUE!</v>
      </c>
      <c r="CE44" t="e">
        <f>AND(medidas!U55,"AAAAAH/971I=")</f>
        <v>#VALUE!</v>
      </c>
      <c r="CF44" t="e">
        <f>AND(medidas!V55,"AAAAAH/971M=")</f>
        <v>#VALUE!</v>
      </c>
      <c r="CG44" t="e">
        <f>AND(medidas!W55,"AAAAAH/971Q=")</f>
        <v>#VALUE!</v>
      </c>
      <c r="CH44" t="e">
        <f>AND(medidas!X55,"AAAAAH/971U=")</f>
        <v>#VALUE!</v>
      </c>
      <c r="CI44" t="e">
        <f>AND(medidas!Y55,"AAAAAH/971Y=")</f>
        <v>#VALUE!</v>
      </c>
      <c r="CJ44" t="e">
        <f>AND(medidas!Z55,"AAAAAH/971c=")</f>
        <v>#VALUE!</v>
      </c>
      <c r="CK44" t="e">
        <f>AND(medidas!AA55,"AAAAAH/971g=")</f>
        <v>#VALUE!</v>
      </c>
      <c r="CL44" t="e">
        <f>AND(medidas!AB55,"AAAAAH/971k=")</f>
        <v>#VALUE!</v>
      </c>
      <c r="CM44" t="e">
        <f>AND(medidas!AC55,"AAAAAH/971o=")</f>
        <v>#VALUE!</v>
      </c>
      <c r="CN44" t="e">
        <f>AND(medidas!AD55,"AAAAAH/971s=")</f>
        <v>#VALUE!</v>
      </c>
      <c r="CO44" t="e">
        <f>AND(medidas!AE55,"AAAAAH/971w=")</f>
        <v>#VALUE!</v>
      </c>
      <c r="CP44" t="e">
        <f>AND(medidas!AF55,"AAAAAH/9710=")</f>
        <v>#VALUE!</v>
      </c>
      <c r="CQ44" t="e">
        <f>AND(medidas!AG55,"AAAAAH/9714=")</f>
        <v>#VALUE!</v>
      </c>
      <c r="CR44" t="e">
        <f>AND(medidas!AH55,"AAAAAH/9718=")</f>
        <v>#VALUE!</v>
      </c>
      <c r="CS44" t="e">
        <f>AND(medidas!AI55,"AAAAAH/972A=")</f>
        <v>#VALUE!</v>
      </c>
      <c r="CT44" t="e">
        <f>AND(medidas!AJ55,"AAAAAH/972E=")</f>
        <v>#VALUE!</v>
      </c>
      <c r="CU44" t="e">
        <f>AND(medidas!AK55,"AAAAAH/972I=")</f>
        <v>#VALUE!</v>
      </c>
      <c r="CV44" t="e">
        <f>AND(medidas!AL55,"AAAAAH/972M=")</f>
        <v>#VALUE!</v>
      </c>
      <c r="CW44" t="e">
        <f>AND(medidas!AM55,"AAAAAH/972Q=")</f>
        <v>#VALUE!</v>
      </c>
      <c r="CX44" t="e">
        <f>AND(medidas!AN55,"AAAAAH/972U=")</f>
        <v>#VALUE!</v>
      </c>
      <c r="CY44" t="e">
        <f>AND(medidas!AO55,"AAAAAH/972Y=")</f>
        <v>#VALUE!</v>
      </c>
      <c r="CZ44" t="e">
        <f>AND(medidas!AP55,"AAAAAH/972c=")</f>
        <v>#VALUE!</v>
      </c>
      <c r="DA44" t="e">
        <f>AND(medidas!AQ55,"AAAAAH/972g=")</f>
        <v>#VALUE!</v>
      </c>
      <c r="DB44" t="e">
        <f>AND(medidas!AR55,"AAAAAH/972k=")</f>
        <v>#VALUE!</v>
      </c>
      <c r="DC44" t="e">
        <f>AND(medidas!AS55,"AAAAAH/972o=")</f>
        <v>#VALUE!</v>
      </c>
      <c r="DD44" t="e">
        <f>AND(medidas!AT55,"AAAAAH/972s=")</f>
        <v>#VALUE!</v>
      </c>
      <c r="DE44" t="e">
        <f>AND(medidas!AU55,"AAAAAH/972w=")</f>
        <v>#VALUE!</v>
      </c>
      <c r="DF44" t="e">
        <f>AND(medidas!AV55,"AAAAAH/9720=")</f>
        <v>#VALUE!</v>
      </c>
      <c r="DG44" t="e">
        <f>AND(medidas!AW55,"AAAAAH/9724=")</f>
        <v>#VALUE!</v>
      </c>
      <c r="DH44" t="e">
        <f>AND(medidas!AX55,"AAAAAH/9728=")</f>
        <v>#VALUE!</v>
      </c>
      <c r="DI44" t="e">
        <f>AND(medidas!AY55,"AAAAAH/973A=")</f>
        <v>#VALUE!</v>
      </c>
      <c r="DJ44" t="e">
        <f>AND(medidas!AZ55,"AAAAAH/973E=")</f>
        <v>#VALUE!</v>
      </c>
      <c r="DK44" t="e">
        <f>AND(medidas!BA55,"AAAAAH/973I=")</f>
        <v>#VALUE!</v>
      </c>
      <c r="DL44" t="e">
        <f>AND(medidas!BB55,"AAAAAH/973M=")</f>
        <v>#VALUE!</v>
      </c>
      <c r="DM44" t="e">
        <f>AND(medidas!BC55,"AAAAAH/973Q=")</f>
        <v>#VALUE!</v>
      </c>
      <c r="DN44" t="e">
        <f>AND(medidas!BD55,"AAAAAH/973U=")</f>
        <v>#VALUE!</v>
      </c>
      <c r="DO44" t="e">
        <f>AND(medidas!BE55,"AAAAAH/973Y=")</f>
        <v>#VALUE!</v>
      </c>
      <c r="DP44" t="e">
        <f>AND(medidas!BF55,"AAAAAH/973c=")</f>
        <v>#VALUE!</v>
      </c>
      <c r="DQ44" t="e">
        <f>AND(medidas!BG55,"AAAAAH/973g=")</f>
        <v>#VALUE!</v>
      </c>
      <c r="DR44" t="e">
        <f>AND(medidas!BH55,"AAAAAH/973k=")</f>
        <v>#VALUE!</v>
      </c>
      <c r="DS44" t="e">
        <f>AND(medidas!BI55,"AAAAAH/973o=")</f>
        <v>#VALUE!</v>
      </c>
      <c r="DT44" t="e">
        <f>AND(medidas!BJ55,"AAAAAH/973s=")</f>
        <v>#VALUE!</v>
      </c>
      <c r="DU44" t="e">
        <f>AND(medidas!BK55,"AAAAAH/973w=")</f>
        <v>#VALUE!</v>
      </c>
      <c r="DV44" t="e">
        <f>AND(medidas!BL55,"AAAAAH/9730=")</f>
        <v>#VALUE!</v>
      </c>
      <c r="DW44" t="e">
        <f>AND(medidas!BM55,"AAAAAH/9734=")</f>
        <v>#VALUE!</v>
      </c>
      <c r="DX44" t="e">
        <f>AND(medidas!BN55,"AAAAAH/9738=")</f>
        <v>#VALUE!</v>
      </c>
      <c r="DY44" t="e">
        <f>AND(medidas!BO55,"AAAAAH/974A=")</f>
        <v>#VALUE!</v>
      </c>
      <c r="DZ44" t="e">
        <f>AND(medidas!BP55,"AAAAAH/974E=")</f>
        <v>#VALUE!</v>
      </c>
      <c r="EA44" t="e">
        <f>AND(medidas!BQ55,"AAAAAH/974I=")</f>
        <v>#VALUE!</v>
      </c>
      <c r="EB44" t="e">
        <f>AND(medidas!BR55,"AAAAAH/974M=")</f>
        <v>#VALUE!</v>
      </c>
      <c r="EC44" t="e">
        <f>AND(medidas!BS55,"AAAAAH/974Q=")</f>
        <v>#VALUE!</v>
      </c>
      <c r="ED44" t="e">
        <f>AND(medidas!BT55,"AAAAAH/974U=")</f>
        <v>#VALUE!</v>
      </c>
      <c r="EE44" t="e">
        <f>AND(medidas!BU55,"AAAAAH/974Y=")</f>
        <v>#VALUE!</v>
      </c>
      <c r="EF44" t="e">
        <f>AND(medidas!BV55,"AAAAAH/974c=")</f>
        <v>#VALUE!</v>
      </c>
      <c r="EG44" t="e">
        <f>AND(medidas!BW55,"AAAAAH/974g=")</f>
        <v>#VALUE!</v>
      </c>
      <c r="EH44" t="e">
        <f>AND(medidas!BX55,"AAAAAH/974k=")</f>
        <v>#VALUE!</v>
      </c>
      <c r="EI44" t="e">
        <f>AND(medidas!BY55,"AAAAAH/974o=")</f>
        <v>#VALUE!</v>
      </c>
      <c r="EJ44">
        <f>IF(medidas!56:56,"AAAAAH/974s=",0)</f>
        <v>0</v>
      </c>
      <c r="EK44" t="e">
        <f>AND(medidas!B56,"AAAAAH/974w=")</f>
        <v>#VALUE!</v>
      </c>
      <c r="EL44" t="e">
        <f>AND(medidas!C56,"AAAAAH/9740=")</f>
        <v>#VALUE!</v>
      </c>
      <c r="EM44" t="e">
        <f>AND(medidas!D56,"AAAAAH/9744=")</f>
        <v>#VALUE!</v>
      </c>
      <c r="EN44" t="e">
        <f>AND(medidas!E56,"AAAAAH/9748=")</f>
        <v>#VALUE!</v>
      </c>
      <c r="EO44" t="e">
        <f>AND(medidas!F56,"AAAAAH/975A=")</f>
        <v>#VALUE!</v>
      </c>
      <c r="EP44" t="e">
        <f>AND(medidas!G56,"AAAAAH/975E=")</f>
        <v>#VALUE!</v>
      </c>
      <c r="EQ44" t="e">
        <f>AND(medidas!H56,"AAAAAH/975I=")</f>
        <v>#VALUE!</v>
      </c>
      <c r="ER44" t="e">
        <f>AND(medidas!I56,"AAAAAH/975M=")</f>
        <v>#VALUE!</v>
      </c>
      <c r="ES44" t="e">
        <f>AND(medidas!J56,"AAAAAH/975Q=")</f>
        <v>#VALUE!</v>
      </c>
      <c r="ET44" t="e">
        <f>AND(medidas!K56,"AAAAAH/975U=")</f>
        <v>#VALUE!</v>
      </c>
      <c r="EU44" t="e">
        <f>AND(medidas!L56,"AAAAAH/975Y=")</f>
        <v>#VALUE!</v>
      </c>
      <c r="EV44" t="e">
        <f>AND(medidas!M56,"AAAAAH/975c=")</f>
        <v>#VALUE!</v>
      </c>
      <c r="EW44" t="e">
        <f>AND(medidas!N56,"AAAAAH/975g=")</f>
        <v>#VALUE!</v>
      </c>
      <c r="EX44" t="e">
        <f>AND(medidas!O56,"AAAAAH/975k=")</f>
        <v>#VALUE!</v>
      </c>
      <c r="EY44" t="e">
        <f>AND(medidas!P56,"AAAAAH/975o=")</f>
        <v>#VALUE!</v>
      </c>
      <c r="EZ44" t="e">
        <f>AND(medidas!Q56,"AAAAAH/975s=")</f>
        <v>#VALUE!</v>
      </c>
      <c r="FA44" t="e">
        <f>AND(medidas!R56,"AAAAAH/975w=")</f>
        <v>#VALUE!</v>
      </c>
      <c r="FB44" t="e">
        <f>AND(medidas!S56,"AAAAAH/9750=")</f>
        <v>#VALUE!</v>
      </c>
      <c r="FC44" t="e">
        <f>AND(medidas!T56,"AAAAAH/9754=")</f>
        <v>#VALUE!</v>
      </c>
      <c r="FD44" t="e">
        <f>AND(medidas!U56,"AAAAAH/9758=")</f>
        <v>#VALUE!</v>
      </c>
      <c r="FE44" t="e">
        <f>AND(medidas!V56,"AAAAAH/976A=")</f>
        <v>#VALUE!</v>
      </c>
      <c r="FF44" t="e">
        <f>AND(medidas!W56,"AAAAAH/976E=")</f>
        <v>#VALUE!</v>
      </c>
      <c r="FG44" t="e">
        <f>AND(medidas!X56,"AAAAAH/976I=")</f>
        <v>#VALUE!</v>
      </c>
      <c r="FH44" t="e">
        <f>AND(medidas!Y56,"AAAAAH/976M=")</f>
        <v>#VALUE!</v>
      </c>
      <c r="FI44" t="e">
        <f>AND(medidas!Z56,"AAAAAH/976Q=")</f>
        <v>#VALUE!</v>
      </c>
      <c r="FJ44" t="e">
        <f>AND(medidas!AA56,"AAAAAH/976U=")</f>
        <v>#VALUE!</v>
      </c>
      <c r="FK44" t="e">
        <f>AND(medidas!AB56,"AAAAAH/976Y=")</f>
        <v>#VALUE!</v>
      </c>
      <c r="FL44" t="e">
        <f>AND(medidas!AC56,"AAAAAH/976c=")</f>
        <v>#VALUE!</v>
      </c>
      <c r="FM44" t="e">
        <f>AND(medidas!AD56,"AAAAAH/976g=")</f>
        <v>#VALUE!</v>
      </c>
      <c r="FN44" t="e">
        <f>AND(medidas!AE56,"AAAAAH/976k=")</f>
        <v>#VALUE!</v>
      </c>
      <c r="FO44" t="e">
        <f>AND(medidas!AF56,"AAAAAH/976o=")</f>
        <v>#VALUE!</v>
      </c>
      <c r="FP44" t="e">
        <f>AND(medidas!AG56,"AAAAAH/976s=")</f>
        <v>#VALUE!</v>
      </c>
      <c r="FQ44" t="e">
        <f>AND(medidas!AH56,"AAAAAH/976w=")</f>
        <v>#VALUE!</v>
      </c>
      <c r="FR44" t="e">
        <f>AND(medidas!AI56,"AAAAAH/9760=")</f>
        <v>#VALUE!</v>
      </c>
      <c r="FS44" t="e">
        <f>AND(medidas!AJ56,"AAAAAH/9764=")</f>
        <v>#VALUE!</v>
      </c>
      <c r="FT44" t="e">
        <f>AND(medidas!AK56,"AAAAAH/9768=")</f>
        <v>#VALUE!</v>
      </c>
      <c r="FU44" t="e">
        <f>AND(medidas!AL56,"AAAAAH/977A=")</f>
        <v>#VALUE!</v>
      </c>
      <c r="FV44" t="e">
        <f>AND(medidas!AM56,"AAAAAH/977E=")</f>
        <v>#VALUE!</v>
      </c>
      <c r="FW44" t="e">
        <f>AND(medidas!AN56,"AAAAAH/977I=")</f>
        <v>#VALUE!</v>
      </c>
      <c r="FX44" t="e">
        <f>AND(medidas!AO56,"AAAAAH/977M=")</f>
        <v>#VALUE!</v>
      </c>
      <c r="FY44" t="e">
        <f>AND(medidas!AP56,"AAAAAH/977Q=")</f>
        <v>#VALUE!</v>
      </c>
      <c r="FZ44" t="e">
        <f>AND(medidas!AQ56,"AAAAAH/977U=")</f>
        <v>#VALUE!</v>
      </c>
      <c r="GA44" t="e">
        <f>AND(medidas!AR56,"AAAAAH/977Y=")</f>
        <v>#VALUE!</v>
      </c>
      <c r="GB44" t="e">
        <f>AND(medidas!AS56,"AAAAAH/977c=")</f>
        <v>#VALUE!</v>
      </c>
      <c r="GC44" t="e">
        <f>AND(medidas!AT56,"AAAAAH/977g=")</f>
        <v>#VALUE!</v>
      </c>
      <c r="GD44" t="e">
        <f>AND(medidas!AU56,"AAAAAH/977k=")</f>
        <v>#VALUE!</v>
      </c>
      <c r="GE44" t="e">
        <f>AND(medidas!AV56,"AAAAAH/977o=")</f>
        <v>#VALUE!</v>
      </c>
      <c r="GF44" t="e">
        <f>AND(medidas!AW56,"AAAAAH/977s=")</f>
        <v>#VALUE!</v>
      </c>
      <c r="GG44" t="e">
        <f>AND(medidas!AX56,"AAAAAH/977w=")</f>
        <v>#VALUE!</v>
      </c>
      <c r="GH44" t="e">
        <f>AND(medidas!AY56,"AAAAAH/9770=")</f>
        <v>#VALUE!</v>
      </c>
      <c r="GI44" t="e">
        <f>AND(medidas!AZ56,"AAAAAH/9774=")</f>
        <v>#VALUE!</v>
      </c>
      <c r="GJ44" t="e">
        <f>AND(medidas!BA56,"AAAAAH/9778=")</f>
        <v>#VALUE!</v>
      </c>
      <c r="GK44" t="e">
        <f>AND(medidas!BB56,"AAAAAH/978A=")</f>
        <v>#VALUE!</v>
      </c>
      <c r="GL44" t="e">
        <f>AND(medidas!BC56,"AAAAAH/978E=")</f>
        <v>#VALUE!</v>
      </c>
      <c r="GM44" t="e">
        <f>AND(medidas!BD56,"AAAAAH/978I=")</f>
        <v>#VALUE!</v>
      </c>
      <c r="GN44" t="e">
        <f>AND(medidas!BE56,"AAAAAH/978M=")</f>
        <v>#VALUE!</v>
      </c>
      <c r="GO44" t="e">
        <f>AND(medidas!BF56,"AAAAAH/978Q=")</f>
        <v>#VALUE!</v>
      </c>
      <c r="GP44" t="e">
        <f>AND(medidas!BG56,"AAAAAH/978U=")</f>
        <v>#VALUE!</v>
      </c>
      <c r="GQ44" t="e">
        <f>AND(medidas!BH56,"AAAAAH/978Y=")</f>
        <v>#VALUE!</v>
      </c>
      <c r="GR44" t="e">
        <f>AND(medidas!BI56,"AAAAAH/978c=")</f>
        <v>#VALUE!</v>
      </c>
      <c r="GS44" t="e">
        <f>AND(medidas!BJ56,"AAAAAH/978g=")</f>
        <v>#VALUE!</v>
      </c>
      <c r="GT44" t="e">
        <f>AND(medidas!BK56,"AAAAAH/978k=")</f>
        <v>#VALUE!</v>
      </c>
      <c r="GU44" t="e">
        <f>AND(medidas!BL56,"AAAAAH/978o=")</f>
        <v>#VALUE!</v>
      </c>
      <c r="GV44" t="e">
        <f>AND(medidas!BM56,"AAAAAH/978s=")</f>
        <v>#VALUE!</v>
      </c>
      <c r="GW44" t="e">
        <f>AND(medidas!BN56,"AAAAAH/978w=")</f>
        <v>#VALUE!</v>
      </c>
      <c r="GX44" t="e">
        <f>AND(medidas!BO56,"AAAAAH/9780=")</f>
        <v>#VALUE!</v>
      </c>
      <c r="GY44" t="e">
        <f>AND(medidas!BP56,"AAAAAH/9784=")</f>
        <v>#VALUE!</v>
      </c>
      <c r="GZ44" t="e">
        <f>AND(medidas!BQ56,"AAAAAH/9788=")</f>
        <v>#VALUE!</v>
      </c>
      <c r="HA44" t="e">
        <f>AND(medidas!BR56,"AAAAAH/979A=")</f>
        <v>#VALUE!</v>
      </c>
      <c r="HB44" t="e">
        <f>AND(medidas!BS56,"AAAAAH/979E=")</f>
        <v>#VALUE!</v>
      </c>
      <c r="HC44" t="e">
        <f>AND(medidas!BT56,"AAAAAH/979I=")</f>
        <v>#VALUE!</v>
      </c>
      <c r="HD44" t="e">
        <f>AND(medidas!BU56,"AAAAAH/979M=")</f>
        <v>#VALUE!</v>
      </c>
      <c r="HE44" t="e">
        <f>AND(medidas!BV56,"AAAAAH/979Q=")</f>
        <v>#VALUE!</v>
      </c>
      <c r="HF44" t="e">
        <f>AND(medidas!BW56,"AAAAAH/979U=")</f>
        <v>#VALUE!</v>
      </c>
      <c r="HG44" t="e">
        <f>AND(medidas!BX56,"AAAAAH/979Y=")</f>
        <v>#VALUE!</v>
      </c>
      <c r="HH44" t="e">
        <f>AND(medidas!BY56,"AAAAAH/979c=")</f>
        <v>#VALUE!</v>
      </c>
      <c r="HI44">
        <f>IF(medidas!57:57,"AAAAAH/979g=",0)</f>
        <v>0</v>
      </c>
      <c r="HJ44" t="e">
        <f>AND(medidas!B57,"AAAAAH/979k=")</f>
        <v>#VALUE!</v>
      </c>
      <c r="HK44" t="e">
        <f>AND(medidas!C57,"AAAAAH/979o=")</f>
        <v>#VALUE!</v>
      </c>
      <c r="HL44" t="e">
        <f>AND(medidas!D57,"AAAAAH/979s=")</f>
        <v>#VALUE!</v>
      </c>
      <c r="HM44" t="e">
        <f>AND(medidas!E57,"AAAAAH/979w=")</f>
        <v>#VALUE!</v>
      </c>
      <c r="HN44" t="e">
        <f>AND(medidas!F57,"AAAAAH/9790=")</f>
        <v>#VALUE!</v>
      </c>
      <c r="HO44" t="e">
        <f>AND(medidas!G57,"AAAAAH/9794=")</f>
        <v>#VALUE!</v>
      </c>
      <c r="HP44" t="e">
        <f>AND(medidas!H57,"AAAAAH/9798=")</f>
        <v>#VALUE!</v>
      </c>
      <c r="HQ44" t="e">
        <f>AND(medidas!I57,"AAAAAH/97+A=")</f>
        <v>#VALUE!</v>
      </c>
      <c r="HR44" t="e">
        <f>AND(medidas!J57,"AAAAAH/97+E=")</f>
        <v>#VALUE!</v>
      </c>
      <c r="HS44" t="e">
        <f>AND(medidas!K57,"AAAAAH/97+I=")</f>
        <v>#VALUE!</v>
      </c>
      <c r="HT44" t="e">
        <f>AND(medidas!L57,"AAAAAH/97+M=")</f>
        <v>#VALUE!</v>
      </c>
      <c r="HU44" t="e">
        <f>AND(medidas!M57,"AAAAAH/97+Q=")</f>
        <v>#VALUE!</v>
      </c>
      <c r="HV44" t="e">
        <f>AND(medidas!N57,"AAAAAH/97+U=")</f>
        <v>#VALUE!</v>
      </c>
      <c r="HW44" t="e">
        <f>AND(medidas!O57,"AAAAAH/97+Y=")</f>
        <v>#VALUE!</v>
      </c>
      <c r="HX44" t="e">
        <f>AND(medidas!P57,"AAAAAH/97+c=")</f>
        <v>#VALUE!</v>
      </c>
      <c r="HY44" t="e">
        <f>AND(medidas!Q57,"AAAAAH/97+g=")</f>
        <v>#VALUE!</v>
      </c>
      <c r="HZ44" t="e">
        <f>AND(medidas!R57,"AAAAAH/97+k=")</f>
        <v>#VALUE!</v>
      </c>
      <c r="IA44" t="e">
        <f>AND(medidas!S57,"AAAAAH/97+o=")</f>
        <v>#VALUE!</v>
      </c>
      <c r="IB44" t="e">
        <f>AND(medidas!T57,"AAAAAH/97+s=")</f>
        <v>#VALUE!</v>
      </c>
      <c r="IC44" t="e">
        <f>AND(medidas!U57,"AAAAAH/97+w=")</f>
        <v>#VALUE!</v>
      </c>
      <c r="ID44" t="e">
        <f>AND(medidas!V57,"AAAAAH/97+0=")</f>
        <v>#VALUE!</v>
      </c>
      <c r="IE44" t="e">
        <f>AND(medidas!W57,"AAAAAH/97+4=")</f>
        <v>#VALUE!</v>
      </c>
      <c r="IF44" t="e">
        <f>AND(medidas!X57,"AAAAAH/97+8=")</f>
        <v>#VALUE!</v>
      </c>
      <c r="IG44" t="e">
        <f>AND(medidas!Y57,"AAAAAH/97/A=")</f>
        <v>#VALUE!</v>
      </c>
      <c r="IH44" t="e">
        <f>AND(medidas!Z57,"AAAAAH/97/E=")</f>
        <v>#VALUE!</v>
      </c>
      <c r="II44" t="e">
        <f>AND(medidas!AA57,"AAAAAH/97/I=")</f>
        <v>#VALUE!</v>
      </c>
      <c r="IJ44" t="e">
        <f>AND(medidas!AB57,"AAAAAH/97/M=")</f>
        <v>#VALUE!</v>
      </c>
      <c r="IK44" t="e">
        <f>AND(medidas!AC57,"AAAAAH/97/Q=")</f>
        <v>#VALUE!</v>
      </c>
      <c r="IL44" t="e">
        <f>AND(medidas!AD57,"AAAAAH/97/U=")</f>
        <v>#VALUE!</v>
      </c>
      <c r="IM44" t="e">
        <f>AND(medidas!AE57,"AAAAAH/97/Y=")</f>
        <v>#VALUE!</v>
      </c>
      <c r="IN44" t="e">
        <f>AND(medidas!AF57,"AAAAAH/97/c=")</f>
        <v>#VALUE!</v>
      </c>
      <c r="IO44" t="e">
        <f>AND(medidas!AG57,"AAAAAH/97/g=")</f>
        <v>#VALUE!</v>
      </c>
      <c r="IP44" t="e">
        <f>AND(medidas!AH57,"AAAAAH/97/k=")</f>
        <v>#VALUE!</v>
      </c>
      <c r="IQ44" t="e">
        <f>AND(medidas!AI57,"AAAAAH/97/o=")</f>
        <v>#VALUE!</v>
      </c>
      <c r="IR44" t="e">
        <f>AND(medidas!AJ57,"AAAAAH/97/s=")</f>
        <v>#VALUE!</v>
      </c>
      <c r="IS44" t="e">
        <f>AND(medidas!AK57,"AAAAAH/97/w=")</f>
        <v>#VALUE!</v>
      </c>
      <c r="IT44" t="e">
        <f>AND(medidas!AL57,"AAAAAH/97/0=")</f>
        <v>#VALUE!</v>
      </c>
      <c r="IU44" t="e">
        <f>AND(medidas!AM57,"AAAAAH/97/4=")</f>
        <v>#VALUE!</v>
      </c>
      <c r="IV44" t="e">
        <f>AND(medidas!AN57,"AAAAAH/97/8=")</f>
        <v>#VALUE!</v>
      </c>
    </row>
    <row r="45" spans="1:256" x14ac:dyDescent="0.2">
      <c r="A45" t="e">
        <f>AND(medidas!AO57,"AAAAAH/rfwA=")</f>
        <v>#VALUE!</v>
      </c>
      <c r="B45" t="e">
        <f>AND(medidas!AP57,"AAAAAH/rfwE=")</f>
        <v>#VALUE!</v>
      </c>
      <c r="C45" t="e">
        <f>AND(medidas!AQ57,"AAAAAH/rfwI=")</f>
        <v>#VALUE!</v>
      </c>
      <c r="D45" t="e">
        <f>AND(medidas!AR57,"AAAAAH/rfwM=")</f>
        <v>#VALUE!</v>
      </c>
      <c r="E45" t="e">
        <f>AND(medidas!AS57,"AAAAAH/rfwQ=")</f>
        <v>#VALUE!</v>
      </c>
      <c r="F45" t="e">
        <f>AND(medidas!AT57,"AAAAAH/rfwU=")</f>
        <v>#VALUE!</v>
      </c>
      <c r="G45" t="e">
        <f>AND(medidas!AU57,"AAAAAH/rfwY=")</f>
        <v>#VALUE!</v>
      </c>
      <c r="H45" t="e">
        <f>AND(medidas!AV57,"AAAAAH/rfwc=")</f>
        <v>#VALUE!</v>
      </c>
      <c r="I45" t="e">
        <f>AND(medidas!AW57,"AAAAAH/rfwg=")</f>
        <v>#VALUE!</v>
      </c>
      <c r="J45" t="e">
        <f>AND(medidas!AX57,"AAAAAH/rfwk=")</f>
        <v>#VALUE!</v>
      </c>
      <c r="K45" t="e">
        <f>AND(medidas!AY57,"AAAAAH/rfwo=")</f>
        <v>#VALUE!</v>
      </c>
      <c r="L45" t="e">
        <f>AND(medidas!AZ57,"AAAAAH/rfws=")</f>
        <v>#VALUE!</v>
      </c>
      <c r="M45" t="e">
        <f>AND(medidas!BA57,"AAAAAH/rfww=")</f>
        <v>#VALUE!</v>
      </c>
      <c r="N45" t="e">
        <f>AND(medidas!BB57,"AAAAAH/rfw0=")</f>
        <v>#VALUE!</v>
      </c>
      <c r="O45" t="e">
        <f>AND(medidas!BC57,"AAAAAH/rfw4=")</f>
        <v>#VALUE!</v>
      </c>
      <c r="P45" t="e">
        <f>AND(medidas!BD57,"AAAAAH/rfw8=")</f>
        <v>#VALUE!</v>
      </c>
      <c r="Q45" t="e">
        <f>AND(medidas!BE57,"AAAAAH/rfxA=")</f>
        <v>#VALUE!</v>
      </c>
      <c r="R45" t="e">
        <f>AND(medidas!BF57,"AAAAAH/rfxE=")</f>
        <v>#VALUE!</v>
      </c>
      <c r="S45" t="e">
        <f>AND(medidas!BG57,"AAAAAH/rfxI=")</f>
        <v>#VALUE!</v>
      </c>
      <c r="T45" t="e">
        <f>AND(medidas!BH57,"AAAAAH/rfxM=")</f>
        <v>#VALUE!</v>
      </c>
      <c r="U45" t="e">
        <f>AND(medidas!BI57,"AAAAAH/rfxQ=")</f>
        <v>#VALUE!</v>
      </c>
      <c r="V45" t="e">
        <f>AND(medidas!BJ57,"AAAAAH/rfxU=")</f>
        <v>#VALUE!</v>
      </c>
      <c r="W45" t="e">
        <f>AND(medidas!BK57,"AAAAAH/rfxY=")</f>
        <v>#VALUE!</v>
      </c>
      <c r="X45" t="e">
        <f>AND(medidas!BL57,"AAAAAH/rfxc=")</f>
        <v>#VALUE!</v>
      </c>
      <c r="Y45" t="e">
        <f>AND(medidas!BM57,"AAAAAH/rfxg=")</f>
        <v>#VALUE!</v>
      </c>
      <c r="Z45" t="e">
        <f>AND(medidas!BN57,"AAAAAH/rfxk=")</f>
        <v>#VALUE!</v>
      </c>
      <c r="AA45" t="e">
        <f>AND(medidas!BO57,"AAAAAH/rfxo=")</f>
        <v>#VALUE!</v>
      </c>
      <c r="AB45" t="e">
        <f>AND(medidas!BP57,"AAAAAH/rfxs=")</f>
        <v>#VALUE!</v>
      </c>
      <c r="AC45" t="e">
        <f>AND(medidas!BQ57,"AAAAAH/rfxw=")</f>
        <v>#VALUE!</v>
      </c>
      <c r="AD45" t="e">
        <f>AND(medidas!BR57,"AAAAAH/rfx0=")</f>
        <v>#VALUE!</v>
      </c>
      <c r="AE45" t="e">
        <f>AND(medidas!BS57,"AAAAAH/rfx4=")</f>
        <v>#VALUE!</v>
      </c>
      <c r="AF45" t="e">
        <f>AND(medidas!BT57,"AAAAAH/rfx8=")</f>
        <v>#VALUE!</v>
      </c>
      <c r="AG45" t="e">
        <f>AND(medidas!BU57,"AAAAAH/rfyA=")</f>
        <v>#VALUE!</v>
      </c>
      <c r="AH45" t="e">
        <f>AND(medidas!BV57,"AAAAAH/rfyE=")</f>
        <v>#VALUE!</v>
      </c>
      <c r="AI45" t="e">
        <f>AND(medidas!BW57,"AAAAAH/rfyI=")</f>
        <v>#VALUE!</v>
      </c>
      <c r="AJ45" t="e">
        <f>AND(medidas!BX57,"AAAAAH/rfyM=")</f>
        <v>#VALUE!</v>
      </c>
      <c r="AK45" t="e">
        <f>AND(medidas!BY57,"AAAAAH/rfyQ=")</f>
        <v>#VALUE!</v>
      </c>
      <c r="AL45">
        <f>IF(medidas!58:58,"AAAAAH/rfyU=",0)</f>
        <v>0</v>
      </c>
      <c r="AM45" t="e">
        <f>AND(medidas!B58,"AAAAAH/rfyY=")</f>
        <v>#VALUE!</v>
      </c>
      <c r="AN45" t="e">
        <f>AND(medidas!C58,"AAAAAH/rfyc=")</f>
        <v>#VALUE!</v>
      </c>
      <c r="AO45" t="e">
        <f>AND(medidas!D58,"AAAAAH/rfyg=")</f>
        <v>#VALUE!</v>
      </c>
      <c r="AP45" t="e">
        <f>AND(medidas!E58,"AAAAAH/rfyk=")</f>
        <v>#VALUE!</v>
      </c>
      <c r="AQ45" t="e">
        <f>AND(medidas!F58,"AAAAAH/rfyo=")</f>
        <v>#VALUE!</v>
      </c>
      <c r="AR45" t="e">
        <f>AND(medidas!G58,"AAAAAH/rfys=")</f>
        <v>#VALUE!</v>
      </c>
      <c r="AS45" t="e">
        <f>AND(medidas!H58,"AAAAAH/rfyw=")</f>
        <v>#VALUE!</v>
      </c>
      <c r="AT45" t="e">
        <f>AND(medidas!I58,"AAAAAH/rfy0=")</f>
        <v>#VALUE!</v>
      </c>
      <c r="AU45" t="e">
        <f>AND(medidas!J58,"AAAAAH/rfy4=")</f>
        <v>#VALUE!</v>
      </c>
      <c r="AV45" t="e">
        <f>AND(medidas!K58,"AAAAAH/rfy8=")</f>
        <v>#VALUE!</v>
      </c>
      <c r="AW45" t="e">
        <f>AND(medidas!L58,"AAAAAH/rfzA=")</f>
        <v>#VALUE!</v>
      </c>
      <c r="AX45" t="e">
        <f>AND(medidas!M58,"AAAAAH/rfzE=")</f>
        <v>#VALUE!</v>
      </c>
      <c r="AY45" t="e">
        <f>AND(medidas!N58,"AAAAAH/rfzI=")</f>
        <v>#VALUE!</v>
      </c>
      <c r="AZ45" t="e">
        <f>AND(medidas!O58,"AAAAAH/rfzM=")</f>
        <v>#VALUE!</v>
      </c>
      <c r="BA45" t="e">
        <f>AND(medidas!P58,"AAAAAH/rfzQ=")</f>
        <v>#VALUE!</v>
      </c>
      <c r="BB45" t="e">
        <f>AND(medidas!Q58,"AAAAAH/rfzU=")</f>
        <v>#VALUE!</v>
      </c>
      <c r="BC45" t="e">
        <f>AND(medidas!R58,"AAAAAH/rfzY=")</f>
        <v>#VALUE!</v>
      </c>
      <c r="BD45" t="e">
        <f>AND(medidas!S58,"AAAAAH/rfzc=")</f>
        <v>#VALUE!</v>
      </c>
      <c r="BE45" t="e">
        <f>AND(medidas!T58,"AAAAAH/rfzg=")</f>
        <v>#VALUE!</v>
      </c>
      <c r="BF45" t="e">
        <f>AND(medidas!U58,"AAAAAH/rfzk=")</f>
        <v>#VALUE!</v>
      </c>
      <c r="BG45" t="e">
        <f>AND(medidas!V58,"AAAAAH/rfzo=")</f>
        <v>#VALUE!</v>
      </c>
      <c r="BH45" t="e">
        <f>AND(medidas!W58,"AAAAAH/rfzs=")</f>
        <v>#VALUE!</v>
      </c>
      <c r="BI45" t="e">
        <f>AND(medidas!X58,"AAAAAH/rfzw=")</f>
        <v>#VALUE!</v>
      </c>
      <c r="BJ45" t="e">
        <f>AND(medidas!Y58,"AAAAAH/rfz0=")</f>
        <v>#VALUE!</v>
      </c>
      <c r="BK45" t="e">
        <f>AND(medidas!Z58,"AAAAAH/rfz4=")</f>
        <v>#VALUE!</v>
      </c>
      <c r="BL45" t="e">
        <f>AND(medidas!AA58,"AAAAAH/rfz8=")</f>
        <v>#VALUE!</v>
      </c>
      <c r="BM45" t="e">
        <f>AND(medidas!AB58,"AAAAAH/rf0A=")</f>
        <v>#VALUE!</v>
      </c>
      <c r="BN45" t="e">
        <f>AND(medidas!AC58,"AAAAAH/rf0E=")</f>
        <v>#VALUE!</v>
      </c>
      <c r="BO45" t="e">
        <f>AND(medidas!AD58,"AAAAAH/rf0I=")</f>
        <v>#VALUE!</v>
      </c>
      <c r="BP45" t="e">
        <f>AND(medidas!AE58,"AAAAAH/rf0M=")</f>
        <v>#VALUE!</v>
      </c>
      <c r="BQ45" t="e">
        <f>AND(medidas!AF58,"AAAAAH/rf0Q=")</f>
        <v>#VALUE!</v>
      </c>
      <c r="BR45" t="e">
        <f>AND(medidas!AG58,"AAAAAH/rf0U=")</f>
        <v>#VALUE!</v>
      </c>
      <c r="BS45" t="e">
        <f>AND(medidas!AH58,"AAAAAH/rf0Y=")</f>
        <v>#VALUE!</v>
      </c>
      <c r="BT45" t="e">
        <f>AND(medidas!AI58,"AAAAAH/rf0c=")</f>
        <v>#VALUE!</v>
      </c>
      <c r="BU45" t="e">
        <f>AND(medidas!AJ58,"AAAAAH/rf0g=")</f>
        <v>#VALUE!</v>
      </c>
      <c r="BV45" t="e">
        <f>AND(medidas!AK58,"AAAAAH/rf0k=")</f>
        <v>#VALUE!</v>
      </c>
      <c r="BW45" t="e">
        <f>AND(medidas!AL58,"AAAAAH/rf0o=")</f>
        <v>#VALUE!</v>
      </c>
      <c r="BX45" t="e">
        <f>AND(medidas!AM58,"AAAAAH/rf0s=")</f>
        <v>#VALUE!</v>
      </c>
      <c r="BY45" t="e">
        <f>AND(medidas!AN58,"AAAAAH/rf0w=")</f>
        <v>#VALUE!</v>
      </c>
      <c r="BZ45" t="e">
        <f>AND(medidas!AO58,"AAAAAH/rf00=")</f>
        <v>#VALUE!</v>
      </c>
      <c r="CA45" t="e">
        <f>AND(medidas!AP58,"AAAAAH/rf04=")</f>
        <v>#VALUE!</v>
      </c>
      <c r="CB45" t="e">
        <f>AND(medidas!AQ58,"AAAAAH/rf08=")</f>
        <v>#VALUE!</v>
      </c>
      <c r="CC45" t="e">
        <f>AND(medidas!AR58,"AAAAAH/rf1A=")</f>
        <v>#VALUE!</v>
      </c>
      <c r="CD45" t="e">
        <f>AND(medidas!AS58,"AAAAAH/rf1E=")</f>
        <v>#VALUE!</v>
      </c>
      <c r="CE45" t="e">
        <f>AND(medidas!AT58,"AAAAAH/rf1I=")</f>
        <v>#VALUE!</v>
      </c>
      <c r="CF45" t="e">
        <f>AND(medidas!AU58,"AAAAAH/rf1M=")</f>
        <v>#VALUE!</v>
      </c>
      <c r="CG45" t="e">
        <f>AND(medidas!AV58,"AAAAAH/rf1Q=")</f>
        <v>#VALUE!</v>
      </c>
      <c r="CH45" t="e">
        <f>AND(medidas!AW58,"AAAAAH/rf1U=")</f>
        <v>#VALUE!</v>
      </c>
      <c r="CI45" t="e">
        <f>AND(medidas!AX58,"AAAAAH/rf1Y=")</f>
        <v>#VALUE!</v>
      </c>
      <c r="CJ45" t="e">
        <f>AND(medidas!AY58,"AAAAAH/rf1c=")</f>
        <v>#VALUE!</v>
      </c>
      <c r="CK45" t="e">
        <f>AND(medidas!AZ58,"AAAAAH/rf1g=")</f>
        <v>#VALUE!</v>
      </c>
      <c r="CL45" t="e">
        <f>AND(medidas!BA58,"AAAAAH/rf1k=")</f>
        <v>#VALUE!</v>
      </c>
      <c r="CM45" t="e">
        <f>AND(medidas!BB58,"AAAAAH/rf1o=")</f>
        <v>#VALUE!</v>
      </c>
      <c r="CN45" t="e">
        <f>AND(medidas!BC58,"AAAAAH/rf1s=")</f>
        <v>#VALUE!</v>
      </c>
      <c r="CO45" t="e">
        <f>AND(medidas!BD58,"AAAAAH/rf1w=")</f>
        <v>#VALUE!</v>
      </c>
      <c r="CP45" t="e">
        <f>AND(medidas!BE58,"AAAAAH/rf10=")</f>
        <v>#VALUE!</v>
      </c>
      <c r="CQ45" t="e">
        <f>AND(medidas!BF58,"AAAAAH/rf14=")</f>
        <v>#VALUE!</v>
      </c>
      <c r="CR45" t="e">
        <f>AND(medidas!BG58,"AAAAAH/rf18=")</f>
        <v>#VALUE!</v>
      </c>
      <c r="CS45" t="e">
        <f>AND(medidas!BH58,"AAAAAH/rf2A=")</f>
        <v>#VALUE!</v>
      </c>
      <c r="CT45" t="e">
        <f>AND(medidas!BI58,"AAAAAH/rf2E=")</f>
        <v>#VALUE!</v>
      </c>
      <c r="CU45" t="e">
        <f>AND(medidas!BJ58,"AAAAAH/rf2I=")</f>
        <v>#VALUE!</v>
      </c>
      <c r="CV45" t="e">
        <f>AND(medidas!BK58,"AAAAAH/rf2M=")</f>
        <v>#VALUE!</v>
      </c>
      <c r="CW45" t="e">
        <f>AND(medidas!BL58,"AAAAAH/rf2Q=")</f>
        <v>#VALUE!</v>
      </c>
      <c r="CX45" t="e">
        <f>AND(medidas!BM58,"AAAAAH/rf2U=")</f>
        <v>#VALUE!</v>
      </c>
      <c r="CY45" t="e">
        <f>AND(medidas!BN58,"AAAAAH/rf2Y=")</f>
        <v>#VALUE!</v>
      </c>
      <c r="CZ45" t="e">
        <f>AND(medidas!BO58,"AAAAAH/rf2c=")</f>
        <v>#VALUE!</v>
      </c>
      <c r="DA45" t="e">
        <f>AND(medidas!BP58,"AAAAAH/rf2g=")</f>
        <v>#VALUE!</v>
      </c>
      <c r="DB45" t="e">
        <f>AND(medidas!BQ58,"AAAAAH/rf2k=")</f>
        <v>#VALUE!</v>
      </c>
      <c r="DC45" t="e">
        <f>AND(medidas!BR58,"AAAAAH/rf2o=")</f>
        <v>#VALUE!</v>
      </c>
      <c r="DD45" t="e">
        <f>AND(medidas!BS58,"AAAAAH/rf2s=")</f>
        <v>#VALUE!</v>
      </c>
      <c r="DE45" t="e">
        <f>AND(medidas!BT58,"AAAAAH/rf2w=")</f>
        <v>#VALUE!</v>
      </c>
      <c r="DF45" t="e">
        <f>AND(medidas!BU58,"AAAAAH/rf20=")</f>
        <v>#VALUE!</v>
      </c>
      <c r="DG45" t="e">
        <f>AND(medidas!BV58,"AAAAAH/rf24=")</f>
        <v>#VALUE!</v>
      </c>
      <c r="DH45" t="e">
        <f>AND(medidas!BW58,"AAAAAH/rf28=")</f>
        <v>#VALUE!</v>
      </c>
      <c r="DI45" t="e">
        <f>AND(medidas!BX58,"AAAAAH/rf3A=")</f>
        <v>#VALUE!</v>
      </c>
      <c r="DJ45" t="e">
        <f>AND(medidas!BY58,"AAAAAH/rf3E=")</f>
        <v>#VALUE!</v>
      </c>
      <c r="DK45">
        <f>IF(medidas!59:59,"AAAAAH/rf3I=",0)</f>
        <v>0</v>
      </c>
      <c r="DL45" t="e">
        <f>AND(medidas!B59,"AAAAAH/rf3M=")</f>
        <v>#VALUE!</v>
      </c>
      <c r="DM45" t="e">
        <f>AND(medidas!C59,"AAAAAH/rf3Q=")</f>
        <v>#VALUE!</v>
      </c>
      <c r="DN45" t="e">
        <f>AND(medidas!D59,"AAAAAH/rf3U=")</f>
        <v>#VALUE!</v>
      </c>
      <c r="DO45" t="e">
        <f>AND(medidas!E59,"AAAAAH/rf3Y=")</f>
        <v>#VALUE!</v>
      </c>
      <c r="DP45" t="e">
        <f>AND(medidas!F59,"AAAAAH/rf3c=")</f>
        <v>#VALUE!</v>
      </c>
      <c r="DQ45" t="e">
        <f>AND(medidas!G59,"AAAAAH/rf3g=")</f>
        <v>#VALUE!</v>
      </c>
      <c r="DR45" t="e">
        <f>AND(medidas!H59,"AAAAAH/rf3k=")</f>
        <v>#VALUE!</v>
      </c>
      <c r="DS45" t="e">
        <f>AND(medidas!I59,"AAAAAH/rf3o=")</f>
        <v>#VALUE!</v>
      </c>
      <c r="DT45" t="e">
        <f>AND(medidas!J59,"AAAAAH/rf3s=")</f>
        <v>#VALUE!</v>
      </c>
      <c r="DU45" t="e">
        <f>AND(medidas!K59,"AAAAAH/rf3w=")</f>
        <v>#VALUE!</v>
      </c>
      <c r="DV45" t="e">
        <f>AND(medidas!L59,"AAAAAH/rf30=")</f>
        <v>#VALUE!</v>
      </c>
      <c r="DW45" t="e">
        <f>AND(medidas!M59,"AAAAAH/rf34=")</f>
        <v>#VALUE!</v>
      </c>
      <c r="DX45" t="e">
        <f>AND(medidas!N59,"AAAAAH/rf38=")</f>
        <v>#VALUE!</v>
      </c>
      <c r="DY45" t="e">
        <f>AND(medidas!O59,"AAAAAH/rf4A=")</f>
        <v>#VALUE!</v>
      </c>
      <c r="DZ45" t="e">
        <f>AND(medidas!P59,"AAAAAH/rf4E=")</f>
        <v>#VALUE!</v>
      </c>
      <c r="EA45" t="e">
        <f>AND(medidas!Q59,"AAAAAH/rf4I=")</f>
        <v>#VALUE!</v>
      </c>
      <c r="EB45" t="e">
        <f>AND(medidas!R59,"AAAAAH/rf4M=")</f>
        <v>#VALUE!</v>
      </c>
      <c r="EC45" t="e">
        <f>AND(medidas!S59,"AAAAAH/rf4Q=")</f>
        <v>#VALUE!</v>
      </c>
      <c r="ED45" t="e">
        <f>AND(medidas!T59,"AAAAAH/rf4U=")</f>
        <v>#VALUE!</v>
      </c>
      <c r="EE45" t="e">
        <f>AND(medidas!U59,"AAAAAH/rf4Y=")</f>
        <v>#VALUE!</v>
      </c>
      <c r="EF45" t="e">
        <f>AND(medidas!V59,"AAAAAH/rf4c=")</f>
        <v>#VALUE!</v>
      </c>
      <c r="EG45" t="e">
        <f>AND(medidas!W59,"AAAAAH/rf4g=")</f>
        <v>#VALUE!</v>
      </c>
      <c r="EH45" t="e">
        <f>AND(medidas!X59,"AAAAAH/rf4k=")</f>
        <v>#VALUE!</v>
      </c>
      <c r="EI45" t="e">
        <f>AND(medidas!Y59,"AAAAAH/rf4o=")</f>
        <v>#VALUE!</v>
      </c>
      <c r="EJ45" t="e">
        <f>AND(medidas!Z59,"AAAAAH/rf4s=")</f>
        <v>#VALUE!</v>
      </c>
      <c r="EK45" t="e">
        <f>AND(medidas!AA59,"AAAAAH/rf4w=")</f>
        <v>#VALUE!</v>
      </c>
      <c r="EL45" t="e">
        <f>AND(medidas!AB59,"AAAAAH/rf40=")</f>
        <v>#VALUE!</v>
      </c>
      <c r="EM45" t="e">
        <f>AND(medidas!AC59,"AAAAAH/rf44=")</f>
        <v>#VALUE!</v>
      </c>
      <c r="EN45" t="e">
        <f>AND(medidas!AD59,"AAAAAH/rf48=")</f>
        <v>#VALUE!</v>
      </c>
      <c r="EO45" t="e">
        <f>AND(medidas!AE59,"AAAAAH/rf5A=")</f>
        <v>#VALUE!</v>
      </c>
      <c r="EP45" t="e">
        <f>AND(medidas!AF59,"AAAAAH/rf5E=")</f>
        <v>#VALUE!</v>
      </c>
      <c r="EQ45" t="e">
        <f>AND(medidas!AG59,"AAAAAH/rf5I=")</f>
        <v>#VALUE!</v>
      </c>
      <c r="ER45" t="e">
        <f>AND(medidas!AH59,"AAAAAH/rf5M=")</f>
        <v>#VALUE!</v>
      </c>
      <c r="ES45" t="e">
        <f>AND(medidas!AI59,"AAAAAH/rf5Q=")</f>
        <v>#VALUE!</v>
      </c>
      <c r="ET45" t="e">
        <f>AND(medidas!AJ59,"AAAAAH/rf5U=")</f>
        <v>#VALUE!</v>
      </c>
      <c r="EU45" t="e">
        <f>AND(medidas!AK59,"AAAAAH/rf5Y=")</f>
        <v>#VALUE!</v>
      </c>
      <c r="EV45" t="e">
        <f>AND(medidas!AL59,"AAAAAH/rf5c=")</f>
        <v>#VALUE!</v>
      </c>
      <c r="EW45" t="e">
        <f>AND(medidas!AM59,"AAAAAH/rf5g=")</f>
        <v>#VALUE!</v>
      </c>
      <c r="EX45" t="e">
        <f>AND(medidas!AN59,"AAAAAH/rf5k=")</f>
        <v>#VALUE!</v>
      </c>
      <c r="EY45" t="e">
        <f>AND(medidas!AO59,"AAAAAH/rf5o=")</f>
        <v>#VALUE!</v>
      </c>
      <c r="EZ45" t="e">
        <f>AND(medidas!AP59,"AAAAAH/rf5s=")</f>
        <v>#VALUE!</v>
      </c>
      <c r="FA45" t="e">
        <f>AND(medidas!AQ59,"AAAAAH/rf5w=")</f>
        <v>#VALUE!</v>
      </c>
      <c r="FB45" t="e">
        <f>AND(medidas!AR59,"AAAAAH/rf50=")</f>
        <v>#VALUE!</v>
      </c>
      <c r="FC45" t="e">
        <f>AND(medidas!AS59,"AAAAAH/rf54=")</f>
        <v>#VALUE!</v>
      </c>
      <c r="FD45" t="e">
        <f>AND(medidas!AT59,"AAAAAH/rf58=")</f>
        <v>#VALUE!</v>
      </c>
      <c r="FE45" t="e">
        <f>AND(medidas!AU59,"AAAAAH/rf6A=")</f>
        <v>#VALUE!</v>
      </c>
      <c r="FF45" t="e">
        <f>AND(medidas!AV59,"AAAAAH/rf6E=")</f>
        <v>#VALUE!</v>
      </c>
      <c r="FG45" t="e">
        <f>AND(medidas!AW59,"AAAAAH/rf6I=")</f>
        <v>#VALUE!</v>
      </c>
      <c r="FH45" t="e">
        <f>AND(medidas!AX59,"AAAAAH/rf6M=")</f>
        <v>#VALUE!</v>
      </c>
      <c r="FI45" t="e">
        <f>AND(medidas!AY59,"AAAAAH/rf6Q=")</f>
        <v>#VALUE!</v>
      </c>
      <c r="FJ45" t="e">
        <f>AND(medidas!AZ59,"AAAAAH/rf6U=")</f>
        <v>#VALUE!</v>
      </c>
      <c r="FK45" t="e">
        <f>AND(medidas!BA59,"AAAAAH/rf6Y=")</f>
        <v>#VALUE!</v>
      </c>
      <c r="FL45" t="e">
        <f>AND(medidas!BB59,"AAAAAH/rf6c=")</f>
        <v>#VALUE!</v>
      </c>
      <c r="FM45" t="e">
        <f>AND(medidas!BC59,"AAAAAH/rf6g=")</f>
        <v>#VALUE!</v>
      </c>
      <c r="FN45" t="e">
        <f>AND(medidas!BD59,"AAAAAH/rf6k=")</f>
        <v>#VALUE!</v>
      </c>
      <c r="FO45" t="e">
        <f>AND(medidas!BE59,"AAAAAH/rf6o=")</f>
        <v>#VALUE!</v>
      </c>
      <c r="FP45" t="e">
        <f>AND(medidas!BF59,"AAAAAH/rf6s=")</f>
        <v>#VALUE!</v>
      </c>
      <c r="FQ45" t="e">
        <f>AND(medidas!BG59,"AAAAAH/rf6w=")</f>
        <v>#VALUE!</v>
      </c>
      <c r="FR45" t="e">
        <f>AND(medidas!BH59,"AAAAAH/rf60=")</f>
        <v>#VALUE!</v>
      </c>
      <c r="FS45" t="e">
        <f>AND(medidas!BI59,"AAAAAH/rf64=")</f>
        <v>#VALUE!</v>
      </c>
      <c r="FT45" t="e">
        <f>AND(medidas!BJ59,"AAAAAH/rf68=")</f>
        <v>#VALUE!</v>
      </c>
      <c r="FU45" t="e">
        <f>AND(medidas!BK59,"AAAAAH/rf7A=")</f>
        <v>#VALUE!</v>
      </c>
      <c r="FV45" t="e">
        <f>AND(medidas!BL59,"AAAAAH/rf7E=")</f>
        <v>#VALUE!</v>
      </c>
      <c r="FW45" t="e">
        <f>AND(medidas!BM59,"AAAAAH/rf7I=")</f>
        <v>#VALUE!</v>
      </c>
      <c r="FX45" t="e">
        <f>AND(medidas!BN59,"AAAAAH/rf7M=")</f>
        <v>#VALUE!</v>
      </c>
      <c r="FY45" t="e">
        <f>AND(medidas!BO59,"AAAAAH/rf7Q=")</f>
        <v>#VALUE!</v>
      </c>
      <c r="FZ45" t="e">
        <f>AND(medidas!BP59,"AAAAAH/rf7U=")</f>
        <v>#VALUE!</v>
      </c>
      <c r="GA45" t="e">
        <f>AND(medidas!BQ59,"AAAAAH/rf7Y=")</f>
        <v>#VALUE!</v>
      </c>
      <c r="GB45" t="e">
        <f>AND(medidas!BR59,"AAAAAH/rf7c=")</f>
        <v>#VALUE!</v>
      </c>
      <c r="GC45" t="e">
        <f>AND(medidas!BS59,"AAAAAH/rf7g=")</f>
        <v>#VALUE!</v>
      </c>
      <c r="GD45" t="e">
        <f>AND(medidas!BT59,"AAAAAH/rf7k=")</f>
        <v>#VALUE!</v>
      </c>
      <c r="GE45" t="e">
        <f>AND(medidas!BU59,"AAAAAH/rf7o=")</f>
        <v>#VALUE!</v>
      </c>
      <c r="GF45" t="e">
        <f>AND(medidas!BV59,"AAAAAH/rf7s=")</f>
        <v>#VALUE!</v>
      </c>
      <c r="GG45" t="e">
        <f>AND(medidas!BW59,"AAAAAH/rf7w=")</f>
        <v>#VALUE!</v>
      </c>
      <c r="GH45" t="e">
        <f>AND(medidas!BX59,"AAAAAH/rf70=")</f>
        <v>#VALUE!</v>
      </c>
      <c r="GI45" t="e">
        <f>AND(medidas!BY59,"AAAAAH/rf74=")</f>
        <v>#VALUE!</v>
      </c>
      <c r="GJ45">
        <f>IF(medidas!60:60,"AAAAAH/rf78=",0)</f>
        <v>0</v>
      </c>
      <c r="GK45" t="e">
        <f>AND(medidas!B60,"AAAAAH/rf8A=")</f>
        <v>#VALUE!</v>
      </c>
      <c r="GL45" t="e">
        <f>AND(medidas!C60,"AAAAAH/rf8E=")</f>
        <v>#VALUE!</v>
      </c>
      <c r="GM45" t="e">
        <f>AND(medidas!D60,"AAAAAH/rf8I=")</f>
        <v>#VALUE!</v>
      </c>
      <c r="GN45" t="e">
        <f>AND(medidas!E60,"AAAAAH/rf8M=")</f>
        <v>#VALUE!</v>
      </c>
      <c r="GO45" t="e">
        <f>AND(medidas!F60,"AAAAAH/rf8Q=")</f>
        <v>#VALUE!</v>
      </c>
      <c r="GP45" t="e">
        <f>AND(medidas!G60,"AAAAAH/rf8U=")</f>
        <v>#VALUE!</v>
      </c>
      <c r="GQ45" t="e">
        <f>AND(medidas!H60,"AAAAAH/rf8Y=")</f>
        <v>#VALUE!</v>
      </c>
      <c r="GR45" t="e">
        <f>AND(medidas!I60,"AAAAAH/rf8c=")</f>
        <v>#VALUE!</v>
      </c>
      <c r="GS45" t="e">
        <f>AND(medidas!J60,"AAAAAH/rf8g=")</f>
        <v>#VALUE!</v>
      </c>
      <c r="GT45" t="e">
        <f>AND(medidas!K60,"AAAAAH/rf8k=")</f>
        <v>#VALUE!</v>
      </c>
      <c r="GU45" t="e">
        <f>AND(medidas!L60,"AAAAAH/rf8o=")</f>
        <v>#VALUE!</v>
      </c>
      <c r="GV45" t="e">
        <f>AND(medidas!M60,"AAAAAH/rf8s=")</f>
        <v>#VALUE!</v>
      </c>
      <c r="GW45" t="e">
        <f>AND(medidas!N60,"AAAAAH/rf8w=")</f>
        <v>#VALUE!</v>
      </c>
      <c r="GX45" t="e">
        <f>AND(medidas!O60,"AAAAAH/rf80=")</f>
        <v>#VALUE!</v>
      </c>
      <c r="GY45" t="e">
        <f>AND(medidas!P60,"AAAAAH/rf84=")</f>
        <v>#VALUE!</v>
      </c>
      <c r="GZ45" t="e">
        <f>AND(medidas!Q60,"AAAAAH/rf88=")</f>
        <v>#VALUE!</v>
      </c>
      <c r="HA45" t="e">
        <f>AND(medidas!R60,"AAAAAH/rf9A=")</f>
        <v>#VALUE!</v>
      </c>
      <c r="HB45" t="e">
        <f>AND(medidas!S60,"AAAAAH/rf9E=")</f>
        <v>#VALUE!</v>
      </c>
      <c r="HC45" t="e">
        <f>AND(medidas!T60,"AAAAAH/rf9I=")</f>
        <v>#VALUE!</v>
      </c>
      <c r="HD45" t="e">
        <f>AND(medidas!U60,"AAAAAH/rf9M=")</f>
        <v>#VALUE!</v>
      </c>
      <c r="HE45" t="e">
        <f>AND(medidas!V60,"AAAAAH/rf9Q=")</f>
        <v>#VALUE!</v>
      </c>
      <c r="HF45" t="e">
        <f>AND(medidas!W60,"AAAAAH/rf9U=")</f>
        <v>#VALUE!</v>
      </c>
      <c r="HG45" t="e">
        <f>AND(medidas!X60,"AAAAAH/rf9Y=")</f>
        <v>#VALUE!</v>
      </c>
      <c r="HH45" t="e">
        <f>AND(medidas!Y60,"AAAAAH/rf9c=")</f>
        <v>#VALUE!</v>
      </c>
      <c r="HI45" t="e">
        <f>AND(medidas!Z60,"AAAAAH/rf9g=")</f>
        <v>#VALUE!</v>
      </c>
      <c r="HJ45" t="e">
        <f>AND(medidas!AA60,"AAAAAH/rf9k=")</f>
        <v>#VALUE!</v>
      </c>
      <c r="HK45" t="e">
        <f>AND(medidas!AB60,"AAAAAH/rf9o=")</f>
        <v>#VALUE!</v>
      </c>
      <c r="HL45" t="e">
        <f>AND(medidas!AC60,"AAAAAH/rf9s=")</f>
        <v>#VALUE!</v>
      </c>
      <c r="HM45" t="e">
        <f>AND(medidas!AD60,"AAAAAH/rf9w=")</f>
        <v>#VALUE!</v>
      </c>
      <c r="HN45" t="e">
        <f>AND(medidas!AE60,"AAAAAH/rf90=")</f>
        <v>#VALUE!</v>
      </c>
      <c r="HO45" t="e">
        <f>AND(medidas!AF60,"AAAAAH/rf94=")</f>
        <v>#VALUE!</v>
      </c>
      <c r="HP45" t="e">
        <f>AND(medidas!AG60,"AAAAAH/rf98=")</f>
        <v>#VALUE!</v>
      </c>
      <c r="HQ45" t="e">
        <f>AND(medidas!AH60,"AAAAAH/rf+A=")</f>
        <v>#VALUE!</v>
      </c>
      <c r="HR45" t="e">
        <f>AND(medidas!AI60,"AAAAAH/rf+E=")</f>
        <v>#VALUE!</v>
      </c>
      <c r="HS45" t="e">
        <f>AND(medidas!AJ60,"AAAAAH/rf+I=")</f>
        <v>#VALUE!</v>
      </c>
      <c r="HT45" t="e">
        <f>AND(medidas!AK60,"AAAAAH/rf+M=")</f>
        <v>#VALUE!</v>
      </c>
      <c r="HU45" t="e">
        <f>AND(medidas!AL60,"AAAAAH/rf+Q=")</f>
        <v>#VALUE!</v>
      </c>
      <c r="HV45" t="e">
        <f>AND(medidas!AM60,"AAAAAH/rf+U=")</f>
        <v>#VALUE!</v>
      </c>
      <c r="HW45" t="e">
        <f>AND(medidas!AN60,"AAAAAH/rf+Y=")</f>
        <v>#VALUE!</v>
      </c>
      <c r="HX45" t="e">
        <f>AND(medidas!AO60,"AAAAAH/rf+c=")</f>
        <v>#VALUE!</v>
      </c>
      <c r="HY45" t="e">
        <f>AND(medidas!AP60,"AAAAAH/rf+g=")</f>
        <v>#VALUE!</v>
      </c>
      <c r="HZ45" t="e">
        <f>AND(medidas!AQ60,"AAAAAH/rf+k=")</f>
        <v>#VALUE!</v>
      </c>
      <c r="IA45" t="e">
        <f>AND(medidas!AR60,"AAAAAH/rf+o=")</f>
        <v>#VALUE!</v>
      </c>
      <c r="IB45" t="e">
        <f>AND(medidas!AS60,"AAAAAH/rf+s=")</f>
        <v>#VALUE!</v>
      </c>
      <c r="IC45" t="e">
        <f>AND(medidas!AT60,"AAAAAH/rf+w=")</f>
        <v>#VALUE!</v>
      </c>
      <c r="ID45" t="e">
        <f>AND(medidas!AU60,"AAAAAH/rf+0=")</f>
        <v>#VALUE!</v>
      </c>
      <c r="IE45" t="e">
        <f>AND(medidas!AV60,"AAAAAH/rf+4=")</f>
        <v>#VALUE!</v>
      </c>
      <c r="IF45" t="e">
        <f>AND(medidas!AW60,"AAAAAH/rf+8=")</f>
        <v>#VALUE!</v>
      </c>
      <c r="IG45" t="e">
        <f>AND(medidas!AX60,"AAAAAH/rf/A=")</f>
        <v>#VALUE!</v>
      </c>
      <c r="IH45" t="e">
        <f>AND(medidas!AY60,"AAAAAH/rf/E=")</f>
        <v>#VALUE!</v>
      </c>
      <c r="II45" t="e">
        <f>AND(medidas!AZ60,"AAAAAH/rf/I=")</f>
        <v>#VALUE!</v>
      </c>
      <c r="IJ45" t="e">
        <f>AND(medidas!BA60,"AAAAAH/rf/M=")</f>
        <v>#VALUE!</v>
      </c>
      <c r="IK45" t="e">
        <f>AND(medidas!BB60,"AAAAAH/rf/Q=")</f>
        <v>#VALUE!</v>
      </c>
      <c r="IL45" t="e">
        <f>AND(medidas!BC60,"AAAAAH/rf/U=")</f>
        <v>#VALUE!</v>
      </c>
      <c r="IM45" t="e">
        <f>AND(medidas!BD60,"AAAAAH/rf/Y=")</f>
        <v>#VALUE!</v>
      </c>
      <c r="IN45" t="e">
        <f>AND(medidas!BE60,"AAAAAH/rf/c=")</f>
        <v>#VALUE!</v>
      </c>
      <c r="IO45" t="e">
        <f>AND(medidas!BF60,"AAAAAH/rf/g=")</f>
        <v>#VALUE!</v>
      </c>
      <c r="IP45" t="e">
        <f>AND(medidas!BG60,"AAAAAH/rf/k=")</f>
        <v>#VALUE!</v>
      </c>
      <c r="IQ45" t="e">
        <f>AND(medidas!BH60,"AAAAAH/rf/o=")</f>
        <v>#VALUE!</v>
      </c>
      <c r="IR45" t="e">
        <f>AND(medidas!BI60,"AAAAAH/rf/s=")</f>
        <v>#VALUE!</v>
      </c>
      <c r="IS45" t="e">
        <f>AND(medidas!BJ60,"AAAAAH/rf/w=")</f>
        <v>#VALUE!</v>
      </c>
      <c r="IT45" t="e">
        <f>AND(medidas!BK60,"AAAAAH/rf/0=")</f>
        <v>#VALUE!</v>
      </c>
      <c r="IU45" t="e">
        <f>AND(medidas!BL60,"AAAAAH/rf/4=")</f>
        <v>#VALUE!</v>
      </c>
      <c r="IV45" t="e">
        <f>AND(medidas!BM60,"AAAAAH/rf/8=")</f>
        <v>#VALUE!</v>
      </c>
    </row>
    <row r="46" spans="1:256" x14ac:dyDescent="0.2">
      <c r="A46" t="e">
        <f>AND(medidas!BN60,"AAAAAC9N9wA=")</f>
        <v>#VALUE!</v>
      </c>
      <c r="B46" t="e">
        <f>AND(medidas!BO60,"AAAAAC9N9wE=")</f>
        <v>#VALUE!</v>
      </c>
      <c r="C46" t="e">
        <f>AND(medidas!BP60,"AAAAAC9N9wI=")</f>
        <v>#VALUE!</v>
      </c>
      <c r="D46" t="e">
        <f>AND(medidas!BQ60,"AAAAAC9N9wM=")</f>
        <v>#VALUE!</v>
      </c>
      <c r="E46" t="e">
        <f>AND(medidas!BR60,"AAAAAC9N9wQ=")</f>
        <v>#VALUE!</v>
      </c>
      <c r="F46" t="e">
        <f>AND(medidas!BS60,"AAAAAC9N9wU=")</f>
        <v>#VALUE!</v>
      </c>
      <c r="G46" t="e">
        <f>AND(medidas!BT60,"AAAAAC9N9wY=")</f>
        <v>#VALUE!</v>
      </c>
      <c r="H46" t="e">
        <f>AND(medidas!BU60,"AAAAAC9N9wc=")</f>
        <v>#VALUE!</v>
      </c>
      <c r="I46" t="e">
        <f>AND(medidas!BV60,"AAAAAC9N9wg=")</f>
        <v>#VALUE!</v>
      </c>
      <c r="J46" t="e">
        <f>AND(medidas!BW60,"AAAAAC9N9wk=")</f>
        <v>#VALUE!</v>
      </c>
      <c r="K46" t="e">
        <f>AND(medidas!BX60,"AAAAAC9N9wo=")</f>
        <v>#VALUE!</v>
      </c>
      <c r="L46" t="e">
        <f>AND(medidas!BY60,"AAAAAC9N9ws=")</f>
        <v>#VALUE!</v>
      </c>
      <c r="M46" t="e">
        <f>IF(medidas!61:61,"AAAAAC9N9ww=",0)</f>
        <v>#VALUE!</v>
      </c>
      <c r="N46" t="e">
        <f>AND(medidas!B61,"AAAAAC9N9w0=")</f>
        <v>#VALUE!</v>
      </c>
      <c r="O46" t="e">
        <f>AND(medidas!C61,"AAAAAC9N9w4=")</f>
        <v>#VALUE!</v>
      </c>
      <c r="P46" t="e">
        <f>AND(medidas!D61,"AAAAAC9N9w8=")</f>
        <v>#VALUE!</v>
      </c>
      <c r="Q46" t="e">
        <f>AND(medidas!E61,"AAAAAC9N9xA=")</f>
        <v>#VALUE!</v>
      </c>
      <c r="R46" t="e">
        <f>AND(medidas!F61,"AAAAAC9N9xE=")</f>
        <v>#VALUE!</v>
      </c>
      <c r="S46" t="e">
        <f>AND(medidas!G61,"AAAAAC9N9xI=")</f>
        <v>#VALUE!</v>
      </c>
      <c r="T46" t="e">
        <f>AND(medidas!H61,"AAAAAC9N9xM=")</f>
        <v>#VALUE!</v>
      </c>
      <c r="U46" t="e">
        <f>AND(medidas!I61,"AAAAAC9N9xQ=")</f>
        <v>#VALUE!</v>
      </c>
      <c r="V46" t="e">
        <f>AND(medidas!J61,"AAAAAC9N9xU=")</f>
        <v>#VALUE!</v>
      </c>
      <c r="W46" t="e">
        <f>AND(medidas!K61,"AAAAAC9N9xY=")</f>
        <v>#VALUE!</v>
      </c>
      <c r="X46" t="e">
        <f>AND(medidas!L61,"AAAAAC9N9xc=")</f>
        <v>#VALUE!</v>
      </c>
      <c r="Y46" t="e">
        <f>AND(medidas!M61,"AAAAAC9N9xg=")</f>
        <v>#VALUE!</v>
      </c>
      <c r="Z46" t="e">
        <f>AND(medidas!N61,"AAAAAC9N9xk=")</f>
        <v>#VALUE!</v>
      </c>
      <c r="AA46" t="e">
        <f>AND(medidas!O61,"AAAAAC9N9xo=")</f>
        <v>#VALUE!</v>
      </c>
      <c r="AB46" t="e">
        <f>AND(medidas!P61,"AAAAAC9N9xs=")</f>
        <v>#VALUE!</v>
      </c>
      <c r="AC46" t="e">
        <f>AND(medidas!Q61,"AAAAAC9N9xw=")</f>
        <v>#VALUE!</v>
      </c>
      <c r="AD46" t="e">
        <f>AND(medidas!R61,"AAAAAC9N9x0=")</f>
        <v>#VALUE!</v>
      </c>
      <c r="AE46" t="e">
        <f>AND(medidas!S61,"AAAAAC9N9x4=")</f>
        <v>#VALUE!</v>
      </c>
      <c r="AF46" t="e">
        <f>AND(medidas!T61,"AAAAAC9N9x8=")</f>
        <v>#VALUE!</v>
      </c>
      <c r="AG46" t="e">
        <f>AND(medidas!U61,"AAAAAC9N9yA=")</f>
        <v>#VALUE!</v>
      </c>
      <c r="AH46" t="e">
        <f>AND(medidas!V61,"AAAAAC9N9yE=")</f>
        <v>#VALUE!</v>
      </c>
      <c r="AI46" t="e">
        <f>AND(medidas!W61,"AAAAAC9N9yI=")</f>
        <v>#VALUE!</v>
      </c>
      <c r="AJ46" t="e">
        <f>AND(medidas!X61,"AAAAAC9N9yM=")</f>
        <v>#VALUE!</v>
      </c>
      <c r="AK46" t="e">
        <f>AND(medidas!Y61,"AAAAAC9N9yQ=")</f>
        <v>#VALUE!</v>
      </c>
      <c r="AL46" t="e">
        <f>AND(medidas!Z61,"AAAAAC9N9yU=")</f>
        <v>#VALUE!</v>
      </c>
      <c r="AM46" t="e">
        <f>AND(medidas!AA61,"AAAAAC9N9yY=")</f>
        <v>#VALUE!</v>
      </c>
      <c r="AN46" t="e">
        <f>AND(medidas!AB61,"AAAAAC9N9yc=")</f>
        <v>#VALUE!</v>
      </c>
      <c r="AO46" t="e">
        <f>AND(medidas!AC61,"AAAAAC9N9yg=")</f>
        <v>#VALUE!</v>
      </c>
      <c r="AP46" t="e">
        <f>AND(medidas!AD61,"AAAAAC9N9yk=")</f>
        <v>#VALUE!</v>
      </c>
      <c r="AQ46" t="e">
        <f>AND(medidas!AE61,"AAAAAC9N9yo=")</f>
        <v>#VALUE!</v>
      </c>
      <c r="AR46" t="e">
        <f>AND(medidas!AF61,"AAAAAC9N9ys=")</f>
        <v>#VALUE!</v>
      </c>
      <c r="AS46" t="e">
        <f>AND(medidas!AG61,"AAAAAC9N9yw=")</f>
        <v>#VALUE!</v>
      </c>
      <c r="AT46" t="e">
        <f>AND(medidas!AH61,"AAAAAC9N9y0=")</f>
        <v>#VALUE!</v>
      </c>
      <c r="AU46" t="e">
        <f>AND(medidas!AI61,"AAAAAC9N9y4=")</f>
        <v>#VALUE!</v>
      </c>
      <c r="AV46" t="e">
        <f>AND(medidas!AJ61,"AAAAAC9N9y8=")</f>
        <v>#VALUE!</v>
      </c>
      <c r="AW46" t="e">
        <f>AND(medidas!AK61,"AAAAAC9N9zA=")</f>
        <v>#VALUE!</v>
      </c>
      <c r="AX46" t="e">
        <f>AND(medidas!AL61,"AAAAAC9N9zE=")</f>
        <v>#VALUE!</v>
      </c>
      <c r="AY46" t="e">
        <f>AND(medidas!AM61,"AAAAAC9N9zI=")</f>
        <v>#VALUE!</v>
      </c>
      <c r="AZ46" t="e">
        <f>AND(medidas!AN61,"AAAAAC9N9zM=")</f>
        <v>#VALUE!</v>
      </c>
      <c r="BA46" t="e">
        <f>AND(medidas!AO61,"AAAAAC9N9zQ=")</f>
        <v>#VALUE!</v>
      </c>
      <c r="BB46" t="e">
        <f>AND(medidas!AP61,"AAAAAC9N9zU=")</f>
        <v>#VALUE!</v>
      </c>
      <c r="BC46" t="e">
        <f>AND(medidas!AQ61,"AAAAAC9N9zY=")</f>
        <v>#VALUE!</v>
      </c>
      <c r="BD46" t="e">
        <f>AND(medidas!AR61,"AAAAAC9N9zc=")</f>
        <v>#VALUE!</v>
      </c>
      <c r="BE46" t="e">
        <f>AND(medidas!AS61,"AAAAAC9N9zg=")</f>
        <v>#VALUE!</v>
      </c>
      <c r="BF46" t="e">
        <f>AND(medidas!AT61,"AAAAAC9N9zk=")</f>
        <v>#VALUE!</v>
      </c>
      <c r="BG46" t="e">
        <f>AND(medidas!AU61,"AAAAAC9N9zo=")</f>
        <v>#VALUE!</v>
      </c>
      <c r="BH46" t="e">
        <f>AND(medidas!AV61,"AAAAAC9N9zs=")</f>
        <v>#VALUE!</v>
      </c>
      <c r="BI46" t="e">
        <f>AND(medidas!AW61,"AAAAAC9N9zw=")</f>
        <v>#VALUE!</v>
      </c>
      <c r="BJ46" t="e">
        <f>AND(medidas!AX61,"AAAAAC9N9z0=")</f>
        <v>#VALUE!</v>
      </c>
      <c r="BK46" t="e">
        <f>AND(medidas!AY61,"AAAAAC9N9z4=")</f>
        <v>#VALUE!</v>
      </c>
      <c r="BL46" t="e">
        <f>AND(medidas!AZ61,"AAAAAC9N9z8=")</f>
        <v>#VALUE!</v>
      </c>
      <c r="BM46" t="e">
        <f>AND(medidas!BA61,"AAAAAC9N90A=")</f>
        <v>#VALUE!</v>
      </c>
      <c r="BN46" t="e">
        <f>AND(medidas!BB61,"AAAAAC9N90E=")</f>
        <v>#VALUE!</v>
      </c>
      <c r="BO46" t="e">
        <f>AND(medidas!BC61,"AAAAAC9N90I=")</f>
        <v>#VALUE!</v>
      </c>
      <c r="BP46" t="e">
        <f>AND(medidas!BD61,"AAAAAC9N90M=")</f>
        <v>#VALUE!</v>
      </c>
      <c r="BQ46" t="e">
        <f>AND(medidas!BE61,"AAAAAC9N90Q=")</f>
        <v>#VALUE!</v>
      </c>
      <c r="BR46" t="e">
        <f>AND(medidas!BF61,"AAAAAC9N90U=")</f>
        <v>#VALUE!</v>
      </c>
      <c r="BS46" t="e">
        <f>AND(medidas!BG61,"AAAAAC9N90Y=")</f>
        <v>#VALUE!</v>
      </c>
      <c r="BT46" t="e">
        <f>AND(medidas!BH61,"AAAAAC9N90c=")</f>
        <v>#VALUE!</v>
      </c>
      <c r="BU46" t="e">
        <f>AND(medidas!BI61,"AAAAAC9N90g=")</f>
        <v>#VALUE!</v>
      </c>
      <c r="BV46" t="e">
        <f>AND(medidas!BJ61,"AAAAAC9N90k=")</f>
        <v>#VALUE!</v>
      </c>
      <c r="BW46" t="e">
        <f>AND(medidas!BK61,"AAAAAC9N90o=")</f>
        <v>#VALUE!</v>
      </c>
      <c r="BX46" t="e">
        <f>AND(medidas!BL61,"AAAAAC9N90s=")</f>
        <v>#VALUE!</v>
      </c>
      <c r="BY46" t="e">
        <f>AND(medidas!BM61,"AAAAAC9N90w=")</f>
        <v>#VALUE!</v>
      </c>
      <c r="BZ46" t="e">
        <f>AND(medidas!BN61,"AAAAAC9N900=")</f>
        <v>#VALUE!</v>
      </c>
      <c r="CA46" t="e">
        <f>AND(medidas!BO61,"AAAAAC9N904=")</f>
        <v>#VALUE!</v>
      </c>
      <c r="CB46" t="e">
        <f>AND(medidas!BP61,"AAAAAC9N908=")</f>
        <v>#VALUE!</v>
      </c>
      <c r="CC46" t="e">
        <f>AND(medidas!BQ61,"AAAAAC9N91A=")</f>
        <v>#VALUE!</v>
      </c>
      <c r="CD46" t="e">
        <f>AND(medidas!BR61,"AAAAAC9N91E=")</f>
        <v>#VALUE!</v>
      </c>
      <c r="CE46" t="e">
        <f>AND(medidas!BS61,"AAAAAC9N91I=")</f>
        <v>#VALUE!</v>
      </c>
      <c r="CF46" t="e">
        <f>AND(medidas!BT61,"AAAAAC9N91M=")</f>
        <v>#VALUE!</v>
      </c>
      <c r="CG46" t="e">
        <f>AND(medidas!BU61,"AAAAAC9N91Q=")</f>
        <v>#VALUE!</v>
      </c>
      <c r="CH46" t="e">
        <f>AND(medidas!BV61,"AAAAAC9N91U=")</f>
        <v>#VALUE!</v>
      </c>
      <c r="CI46" t="e">
        <f>AND(medidas!BW61,"AAAAAC9N91Y=")</f>
        <v>#VALUE!</v>
      </c>
      <c r="CJ46" t="e">
        <f>AND(medidas!BX61,"AAAAAC9N91c=")</f>
        <v>#VALUE!</v>
      </c>
      <c r="CK46" t="e">
        <f>AND(medidas!BY61,"AAAAAC9N91g=")</f>
        <v>#VALUE!</v>
      </c>
      <c r="CL46">
        <f>IF(medidas!62:62,"AAAAAC9N91k=",0)</f>
        <v>0</v>
      </c>
      <c r="CM46" t="e">
        <f>AND(medidas!B62,"AAAAAC9N91o=")</f>
        <v>#VALUE!</v>
      </c>
      <c r="CN46" t="e">
        <f>AND(medidas!C62,"AAAAAC9N91s=")</f>
        <v>#VALUE!</v>
      </c>
      <c r="CO46" t="e">
        <f>AND(medidas!D62,"AAAAAC9N91w=")</f>
        <v>#VALUE!</v>
      </c>
      <c r="CP46" t="e">
        <f>AND(medidas!E62,"AAAAAC9N910=")</f>
        <v>#VALUE!</v>
      </c>
      <c r="CQ46" t="e">
        <f>AND(medidas!F62,"AAAAAC9N914=")</f>
        <v>#VALUE!</v>
      </c>
      <c r="CR46" t="e">
        <f>AND(medidas!G62,"AAAAAC9N918=")</f>
        <v>#VALUE!</v>
      </c>
      <c r="CS46" t="e">
        <f>AND(medidas!H62,"AAAAAC9N92A=")</f>
        <v>#VALUE!</v>
      </c>
      <c r="CT46" t="e">
        <f>AND(medidas!I62,"AAAAAC9N92E=")</f>
        <v>#VALUE!</v>
      </c>
      <c r="CU46" t="e">
        <f>AND(medidas!J62,"AAAAAC9N92I=")</f>
        <v>#VALUE!</v>
      </c>
      <c r="CV46" t="e">
        <f>AND(medidas!K62,"AAAAAC9N92M=")</f>
        <v>#VALUE!</v>
      </c>
      <c r="CW46" t="e">
        <f>AND(medidas!L62,"AAAAAC9N92Q=")</f>
        <v>#VALUE!</v>
      </c>
      <c r="CX46" t="e">
        <f>AND(medidas!M62,"AAAAAC9N92U=")</f>
        <v>#VALUE!</v>
      </c>
      <c r="CY46" t="e">
        <f>AND(medidas!N62,"AAAAAC9N92Y=")</f>
        <v>#VALUE!</v>
      </c>
      <c r="CZ46" t="e">
        <f>AND(medidas!O62,"AAAAAC9N92c=")</f>
        <v>#VALUE!</v>
      </c>
      <c r="DA46" t="e">
        <f>AND(medidas!P62,"AAAAAC9N92g=")</f>
        <v>#VALUE!</v>
      </c>
      <c r="DB46" t="e">
        <f>AND(medidas!Q62,"AAAAAC9N92k=")</f>
        <v>#VALUE!</v>
      </c>
      <c r="DC46" t="e">
        <f>AND(medidas!R62,"AAAAAC9N92o=")</f>
        <v>#VALUE!</v>
      </c>
      <c r="DD46" t="e">
        <f>AND(medidas!S62,"AAAAAC9N92s=")</f>
        <v>#VALUE!</v>
      </c>
      <c r="DE46" t="e">
        <f>AND(medidas!T62,"AAAAAC9N92w=")</f>
        <v>#VALUE!</v>
      </c>
      <c r="DF46" t="e">
        <f>AND(medidas!U62,"AAAAAC9N920=")</f>
        <v>#VALUE!</v>
      </c>
      <c r="DG46" t="e">
        <f>AND(medidas!V62,"AAAAAC9N924=")</f>
        <v>#VALUE!</v>
      </c>
      <c r="DH46" t="e">
        <f>AND(medidas!W62,"AAAAAC9N928=")</f>
        <v>#VALUE!</v>
      </c>
      <c r="DI46" t="e">
        <f>AND(medidas!X62,"AAAAAC9N93A=")</f>
        <v>#VALUE!</v>
      </c>
      <c r="DJ46" t="e">
        <f>AND(medidas!Y62,"AAAAAC9N93E=")</f>
        <v>#VALUE!</v>
      </c>
      <c r="DK46" t="e">
        <f>AND(medidas!Z62,"AAAAAC9N93I=")</f>
        <v>#VALUE!</v>
      </c>
      <c r="DL46" t="e">
        <f>AND(medidas!AA62,"AAAAAC9N93M=")</f>
        <v>#VALUE!</v>
      </c>
      <c r="DM46" t="e">
        <f>AND(medidas!AB62,"AAAAAC9N93Q=")</f>
        <v>#VALUE!</v>
      </c>
      <c r="DN46" t="e">
        <f>AND(medidas!AC62,"AAAAAC9N93U=")</f>
        <v>#VALUE!</v>
      </c>
      <c r="DO46" t="e">
        <f>AND(medidas!AD62,"AAAAAC9N93Y=")</f>
        <v>#VALUE!</v>
      </c>
      <c r="DP46" t="e">
        <f>AND(medidas!AE62,"AAAAAC9N93c=")</f>
        <v>#VALUE!</v>
      </c>
      <c r="DQ46" t="e">
        <f>AND(medidas!AF62,"AAAAAC9N93g=")</f>
        <v>#VALUE!</v>
      </c>
      <c r="DR46" t="e">
        <f>AND(medidas!AG62,"AAAAAC9N93k=")</f>
        <v>#VALUE!</v>
      </c>
      <c r="DS46" t="e">
        <f>AND(medidas!AH62,"AAAAAC9N93o=")</f>
        <v>#VALUE!</v>
      </c>
      <c r="DT46" t="e">
        <f>AND(medidas!AI62,"AAAAAC9N93s=")</f>
        <v>#VALUE!</v>
      </c>
      <c r="DU46" t="e">
        <f>AND(medidas!AJ62,"AAAAAC9N93w=")</f>
        <v>#VALUE!</v>
      </c>
      <c r="DV46" t="e">
        <f>AND(medidas!AK62,"AAAAAC9N930=")</f>
        <v>#VALUE!</v>
      </c>
      <c r="DW46" t="e">
        <f>AND(medidas!AL62,"AAAAAC9N934=")</f>
        <v>#VALUE!</v>
      </c>
      <c r="DX46" t="e">
        <f>AND(medidas!AM62,"AAAAAC9N938=")</f>
        <v>#VALUE!</v>
      </c>
      <c r="DY46" t="e">
        <f>AND(medidas!AN62,"AAAAAC9N94A=")</f>
        <v>#VALUE!</v>
      </c>
      <c r="DZ46" t="e">
        <f>AND(medidas!AO62,"AAAAAC9N94E=")</f>
        <v>#VALUE!</v>
      </c>
      <c r="EA46" t="e">
        <f>AND(medidas!AP62,"AAAAAC9N94I=")</f>
        <v>#VALUE!</v>
      </c>
      <c r="EB46" t="e">
        <f>AND(medidas!AQ62,"AAAAAC9N94M=")</f>
        <v>#VALUE!</v>
      </c>
      <c r="EC46" t="e">
        <f>AND(medidas!AR62,"AAAAAC9N94Q=")</f>
        <v>#VALUE!</v>
      </c>
      <c r="ED46" t="e">
        <f>AND(medidas!AS62,"AAAAAC9N94U=")</f>
        <v>#VALUE!</v>
      </c>
      <c r="EE46" t="e">
        <f>AND(medidas!AT62,"AAAAAC9N94Y=")</f>
        <v>#VALUE!</v>
      </c>
      <c r="EF46" t="e">
        <f>AND(medidas!AU62,"AAAAAC9N94c=")</f>
        <v>#VALUE!</v>
      </c>
      <c r="EG46" t="e">
        <f>AND(medidas!AV62,"AAAAAC9N94g=")</f>
        <v>#VALUE!</v>
      </c>
      <c r="EH46" t="e">
        <f>AND(medidas!AW62,"AAAAAC9N94k=")</f>
        <v>#VALUE!</v>
      </c>
      <c r="EI46" t="e">
        <f>AND(medidas!AX62,"AAAAAC9N94o=")</f>
        <v>#VALUE!</v>
      </c>
      <c r="EJ46" t="e">
        <f>AND(medidas!AY62,"AAAAAC9N94s=")</f>
        <v>#VALUE!</v>
      </c>
      <c r="EK46" t="e">
        <f>AND(medidas!AZ62,"AAAAAC9N94w=")</f>
        <v>#VALUE!</v>
      </c>
      <c r="EL46" t="e">
        <f>AND(medidas!BA62,"AAAAAC9N940=")</f>
        <v>#VALUE!</v>
      </c>
      <c r="EM46" t="e">
        <f>AND(medidas!BB62,"AAAAAC9N944=")</f>
        <v>#VALUE!</v>
      </c>
      <c r="EN46" t="e">
        <f>AND(medidas!BC62,"AAAAAC9N948=")</f>
        <v>#VALUE!</v>
      </c>
      <c r="EO46" t="e">
        <f>AND(medidas!BD62,"AAAAAC9N95A=")</f>
        <v>#VALUE!</v>
      </c>
      <c r="EP46" t="e">
        <f>AND(medidas!BE62,"AAAAAC9N95E=")</f>
        <v>#VALUE!</v>
      </c>
      <c r="EQ46" t="e">
        <f>AND(medidas!BF62,"AAAAAC9N95I=")</f>
        <v>#VALUE!</v>
      </c>
      <c r="ER46" t="e">
        <f>AND(medidas!BG62,"AAAAAC9N95M=")</f>
        <v>#VALUE!</v>
      </c>
      <c r="ES46" t="e">
        <f>AND(medidas!BH62,"AAAAAC9N95Q=")</f>
        <v>#VALUE!</v>
      </c>
      <c r="ET46" t="e">
        <f>AND(medidas!BI62,"AAAAAC9N95U=")</f>
        <v>#VALUE!</v>
      </c>
      <c r="EU46" t="e">
        <f>AND(medidas!BJ62,"AAAAAC9N95Y=")</f>
        <v>#VALUE!</v>
      </c>
      <c r="EV46" t="e">
        <f>AND(medidas!BK62,"AAAAAC9N95c=")</f>
        <v>#VALUE!</v>
      </c>
      <c r="EW46" t="e">
        <f>AND(medidas!BL62,"AAAAAC9N95g=")</f>
        <v>#VALUE!</v>
      </c>
      <c r="EX46" t="e">
        <f>AND(medidas!BM62,"AAAAAC9N95k=")</f>
        <v>#VALUE!</v>
      </c>
      <c r="EY46" t="e">
        <f>AND(medidas!BN62,"AAAAAC9N95o=")</f>
        <v>#VALUE!</v>
      </c>
      <c r="EZ46" t="e">
        <f>AND(medidas!BO62,"AAAAAC9N95s=")</f>
        <v>#VALUE!</v>
      </c>
      <c r="FA46" t="e">
        <f>AND(medidas!BP62,"AAAAAC9N95w=")</f>
        <v>#VALUE!</v>
      </c>
      <c r="FB46" t="e">
        <f>AND(medidas!BQ62,"AAAAAC9N950=")</f>
        <v>#VALUE!</v>
      </c>
      <c r="FC46" t="e">
        <f>AND(medidas!BR62,"AAAAAC9N954=")</f>
        <v>#VALUE!</v>
      </c>
      <c r="FD46" t="e">
        <f>AND(medidas!BS62,"AAAAAC9N958=")</f>
        <v>#VALUE!</v>
      </c>
      <c r="FE46" t="e">
        <f>AND(medidas!BT62,"AAAAAC9N96A=")</f>
        <v>#VALUE!</v>
      </c>
      <c r="FF46" t="e">
        <f>AND(medidas!BU62,"AAAAAC9N96E=")</f>
        <v>#VALUE!</v>
      </c>
      <c r="FG46" t="e">
        <f>AND(medidas!BV62,"AAAAAC9N96I=")</f>
        <v>#VALUE!</v>
      </c>
      <c r="FH46" t="e">
        <f>AND(medidas!BW62,"AAAAAC9N96M=")</f>
        <v>#VALUE!</v>
      </c>
      <c r="FI46" t="e">
        <f>AND(medidas!BX62,"AAAAAC9N96Q=")</f>
        <v>#VALUE!</v>
      </c>
      <c r="FJ46" t="e">
        <f>AND(medidas!BY62,"AAAAAC9N96U=")</f>
        <v>#VALUE!</v>
      </c>
      <c r="FK46">
        <f>IF(medidas!63:63,"AAAAAC9N96Y=",0)</f>
        <v>0</v>
      </c>
      <c r="FL46" t="e">
        <f>AND(medidas!B63,"AAAAAC9N96c=")</f>
        <v>#VALUE!</v>
      </c>
      <c r="FM46" t="e">
        <f>AND(medidas!C63,"AAAAAC9N96g=")</f>
        <v>#VALUE!</v>
      </c>
      <c r="FN46" t="e">
        <f>AND(medidas!D63,"AAAAAC9N96k=")</f>
        <v>#VALUE!</v>
      </c>
      <c r="FO46" t="e">
        <f>AND(medidas!E63,"AAAAAC9N96o=")</f>
        <v>#VALUE!</v>
      </c>
      <c r="FP46" t="e">
        <f>AND(medidas!F63,"AAAAAC9N96s=")</f>
        <v>#VALUE!</v>
      </c>
      <c r="FQ46" t="e">
        <f>AND(medidas!G63,"AAAAAC9N96w=")</f>
        <v>#VALUE!</v>
      </c>
      <c r="FR46" t="e">
        <f>AND(medidas!H63,"AAAAAC9N960=")</f>
        <v>#VALUE!</v>
      </c>
      <c r="FS46" t="e">
        <f>AND(medidas!I63,"AAAAAC9N964=")</f>
        <v>#VALUE!</v>
      </c>
      <c r="FT46" t="e">
        <f>AND(medidas!J63,"AAAAAC9N968=")</f>
        <v>#VALUE!</v>
      </c>
      <c r="FU46" t="e">
        <f>AND(medidas!K63,"AAAAAC9N97A=")</f>
        <v>#VALUE!</v>
      </c>
      <c r="FV46" t="e">
        <f>AND(medidas!L63,"AAAAAC9N97E=")</f>
        <v>#VALUE!</v>
      </c>
      <c r="FW46" t="e">
        <f>AND(medidas!M63,"AAAAAC9N97I=")</f>
        <v>#VALUE!</v>
      </c>
      <c r="FX46" t="e">
        <f>AND(medidas!N63,"AAAAAC9N97M=")</f>
        <v>#VALUE!</v>
      </c>
      <c r="FY46" t="e">
        <f>AND(medidas!O63,"AAAAAC9N97Q=")</f>
        <v>#VALUE!</v>
      </c>
      <c r="FZ46" t="e">
        <f>AND(medidas!P63,"AAAAAC9N97U=")</f>
        <v>#VALUE!</v>
      </c>
      <c r="GA46" t="e">
        <f>AND(medidas!Q63,"AAAAAC9N97Y=")</f>
        <v>#VALUE!</v>
      </c>
      <c r="GB46" t="e">
        <f>AND(medidas!R63,"AAAAAC9N97c=")</f>
        <v>#VALUE!</v>
      </c>
      <c r="GC46" t="e">
        <f>AND(medidas!S63,"AAAAAC9N97g=")</f>
        <v>#VALUE!</v>
      </c>
      <c r="GD46" t="e">
        <f>AND(medidas!T63,"AAAAAC9N97k=")</f>
        <v>#VALUE!</v>
      </c>
      <c r="GE46" t="e">
        <f>AND(medidas!U63,"AAAAAC9N97o=")</f>
        <v>#VALUE!</v>
      </c>
      <c r="GF46" t="e">
        <f>AND(medidas!V63,"AAAAAC9N97s=")</f>
        <v>#VALUE!</v>
      </c>
      <c r="GG46" t="e">
        <f>AND(medidas!W63,"AAAAAC9N97w=")</f>
        <v>#VALUE!</v>
      </c>
      <c r="GH46" t="e">
        <f>AND(medidas!X63,"AAAAAC9N970=")</f>
        <v>#VALUE!</v>
      </c>
      <c r="GI46" t="e">
        <f>AND(medidas!Y63,"AAAAAC9N974=")</f>
        <v>#VALUE!</v>
      </c>
      <c r="GJ46" t="e">
        <f>AND(medidas!Z63,"AAAAAC9N978=")</f>
        <v>#VALUE!</v>
      </c>
      <c r="GK46" t="e">
        <f>AND(medidas!AA63,"AAAAAC9N98A=")</f>
        <v>#VALUE!</v>
      </c>
      <c r="GL46" t="e">
        <f>AND(medidas!AB63,"AAAAAC9N98E=")</f>
        <v>#VALUE!</v>
      </c>
      <c r="GM46" t="e">
        <f>AND(medidas!AC63,"AAAAAC9N98I=")</f>
        <v>#VALUE!</v>
      </c>
      <c r="GN46" t="e">
        <f>AND(medidas!AD63,"AAAAAC9N98M=")</f>
        <v>#VALUE!</v>
      </c>
      <c r="GO46" t="e">
        <f>AND(medidas!AE63,"AAAAAC9N98Q=")</f>
        <v>#VALUE!</v>
      </c>
      <c r="GP46" t="e">
        <f>AND(medidas!AF63,"AAAAAC9N98U=")</f>
        <v>#VALUE!</v>
      </c>
      <c r="GQ46" t="e">
        <f>AND(medidas!AG63,"AAAAAC9N98Y=")</f>
        <v>#VALUE!</v>
      </c>
      <c r="GR46" t="e">
        <f>AND(medidas!AH63,"AAAAAC9N98c=")</f>
        <v>#VALUE!</v>
      </c>
      <c r="GS46" t="e">
        <f>AND(medidas!AI63,"AAAAAC9N98g=")</f>
        <v>#VALUE!</v>
      </c>
      <c r="GT46" t="e">
        <f>AND(medidas!AJ63,"AAAAAC9N98k=")</f>
        <v>#VALUE!</v>
      </c>
      <c r="GU46" t="e">
        <f>AND(medidas!AK63,"AAAAAC9N98o=")</f>
        <v>#VALUE!</v>
      </c>
      <c r="GV46" t="e">
        <f>AND(medidas!AL63,"AAAAAC9N98s=")</f>
        <v>#VALUE!</v>
      </c>
      <c r="GW46" t="e">
        <f>AND(medidas!AM63,"AAAAAC9N98w=")</f>
        <v>#VALUE!</v>
      </c>
      <c r="GX46" t="e">
        <f>AND(medidas!AN63,"AAAAAC9N980=")</f>
        <v>#VALUE!</v>
      </c>
      <c r="GY46" t="e">
        <f>AND(medidas!AO63,"AAAAAC9N984=")</f>
        <v>#VALUE!</v>
      </c>
      <c r="GZ46" t="e">
        <f>AND(medidas!AP63,"AAAAAC9N988=")</f>
        <v>#VALUE!</v>
      </c>
      <c r="HA46" t="e">
        <f>AND(medidas!AQ63,"AAAAAC9N99A=")</f>
        <v>#VALUE!</v>
      </c>
      <c r="HB46" t="e">
        <f>AND(medidas!AR63,"AAAAAC9N99E=")</f>
        <v>#VALUE!</v>
      </c>
      <c r="HC46" t="e">
        <f>AND(medidas!AS63,"AAAAAC9N99I=")</f>
        <v>#VALUE!</v>
      </c>
      <c r="HD46" t="e">
        <f>AND(medidas!AT63,"AAAAAC9N99M=")</f>
        <v>#VALUE!</v>
      </c>
      <c r="HE46" t="e">
        <f>AND(medidas!AU63,"AAAAAC9N99Q=")</f>
        <v>#VALUE!</v>
      </c>
      <c r="HF46" t="e">
        <f>AND(medidas!AV63,"AAAAAC9N99U=")</f>
        <v>#VALUE!</v>
      </c>
      <c r="HG46" t="e">
        <f>AND(medidas!AW63,"AAAAAC9N99Y=")</f>
        <v>#VALUE!</v>
      </c>
      <c r="HH46" t="e">
        <f>AND(medidas!AX63,"AAAAAC9N99c=")</f>
        <v>#VALUE!</v>
      </c>
      <c r="HI46" t="e">
        <f>AND(medidas!AY63,"AAAAAC9N99g=")</f>
        <v>#VALUE!</v>
      </c>
      <c r="HJ46" t="e">
        <f>AND(medidas!AZ63,"AAAAAC9N99k=")</f>
        <v>#VALUE!</v>
      </c>
      <c r="HK46" t="e">
        <f>AND(medidas!BA63,"AAAAAC9N99o=")</f>
        <v>#VALUE!</v>
      </c>
      <c r="HL46" t="e">
        <f>AND(medidas!BB63,"AAAAAC9N99s=")</f>
        <v>#VALUE!</v>
      </c>
      <c r="HM46" t="e">
        <f>AND(medidas!BC63,"AAAAAC9N99w=")</f>
        <v>#VALUE!</v>
      </c>
      <c r="HN46" t="e">
        <f>AND(medidas!BD63,"AAAAAC9N990=")</f>
        <v>#VALUE!</v>
      </c>
      <c r="HO46" t="e">
        <f>AND(medidas!BE63,"AAAAAC9N994=")</f>
        <v>#VALUE!</v>
      </c>
      <c r="HP46" t="e">
        <f>AND(medidas!BF63,"AAAAAC9N998=")</f>
        <v>#VALUE!</v>
      </c>
      <c r="HQ46" t="e">
        <f>AND(medidas!BG63,"AAAAAC9N9+A=")</f>
        <v>#VALUE!</v>
      </c>
      <c r="HR46" t="e">
        <f>AND(medidas!BH63,"AAAAAC9N9+E=")</f>
        <v>#VALUE!</v>
      </c>
      <c r="HS46" t="e">
        <f>AND(medidas!BI63,"AAAAAC9N9+I=")</f>
        <v>#VALUE!</v>
      </c>
      <c r="HT46" t="e">
        <f>AND(medidas!BJ63,"AAAAAC9N9+M=")</f>
        <v>#VALUE!</v>
      </c>
      <c r="HU46" t="e">
        <f>AND(medidas!BK63,"AAAAAC9N9+Q=")</f>
        <v>#VALUE!</v>
      </c>
      <c r="HV46" t="e">
        <f>AND(medidas!BL63,"AAAAAC9N9+U=")</f>
        <v>#VALUE!</v>
      </c>
      <c r="HW46" t="e">
        <f>AND(medidas!BM63,"AAAAAC9N9+Y=")</f>
        <v>#VALUE!</v>
      </c>
      <c r="HX46" t="e">
        <f>AND(medidas!BN63,"AAAAAC9N9+c=")</f>
        <v>#VALUE!</v>
      </c>
      <c r="HY46" t="e">
        <f>AND(medidas!BO63,"AAAAAC9N9+g=")</f>
        <v>#VALUE!</v>
      </c>
      <c r="HZ46" t="e">
        <f>AND(medidas!BP63,"AAAAAC9N9+k=")</f>
        <v>#VALUE!</v>
      </c>
      <c r="IA46" t="e">
        <f>AND(medidas!BQ63,"AAAAAC9N9+o=")</f>
        <v>#VALUE!</v>
      </c>
      <c r="IB46" t="e">
        <f>AND(medidas!BR63,"AAAAAC9N9+s=")</f>
        <v>#VALUE!</v>
      </c>
      <c r="IC46" t="e">
        <f>AND(medidas!BS63,"AAAAAC9N9+w=")</f>
        <v>#VALUE!</v>
      </c>
      <c r="ID46" t="e">
        <f>AND(medidas!BT63,"AAAAAC9N9+0=")</f>
        <v>#VALUE!</v>
      </c>
      <c r="IE46" t="e">
        <f>AND(medidas!BU63,"AAAAAC9N9+4=")</f>
        <v>#VALUE!</v>
      </c>
      <c r="IF46" t="e">
        <f>AND(medidas!BV63,"AAAAAC9N9+8=")</f>
        <v>#VALUE!</v>
      </c>
      <c r="IG46" t="e">
        <f>AND(medidas!BW63,"AAAAAC9N9/A=")</f>
        <v>#VALUE!</v>
      </c>
      <c r="IH46" t="e">
        <f>AND(medidas!BX63,"AAAAAC9N9/E=")</f>
        <v>#VALUE!</v>
      </c>
      <c r="II46" t="e">
        <f>AND(medidas!BY63,"AAAAAC9N9/I=")</f>
        <v>#VALUE!</v>
      </c>
      <c r="IJ46">
        <f>IF(medidas!64:64,"AAAAAC9N9/M=",0)</f>
        <v>0</v>
      </c>
      <c r="IK46" t="e">
        <f>AND(medidas!B64,"AAAAAC9N9/Q=")</f>
        <v>#VALUE!</v>
      </c>
      <c r="IL46" t="e">
        <f>AND(medidas!C64,"AAAAAC9N9/U=")</f>
        <v>#VALUE!</v>
      </c>
      <c r="IM46" t="e">
        <f>AND(medidas!D64,"AAAAAC9N9/Y=")</f>
        <v>#VALUE!</v>
      </c>
      <c r="IN46" t="e">
        <f>AND(medidas!E64,"AAAAAC9N9/c=")</f>
        <v>#VALUE!</v>
      </c>
      <c r="IO46" t="e">
        <f>AND(medidas!F64,"AAAAAC9N9/g=")</f>
        <v>#VALUE!</v>
      </c>
      <c r="IP46" t="e">
        <f>AND(medidas!G64,"AAAAAC9N9/k=")</f>
        <v>#VALUE!</v>
      </c>
      <c r="IQ46" t="e">
        <f>AND(medidas!H64,"AAAAAC9N9/o=")</f>
        <v>#VALUE!</v>
      </c>
      <c r="IR46" t="e">
        <f>AND(medidas!I64,"AAAAAC9N9/s=")</f>
        <v>#VALUE!</v>
      </c>
      <c r="IS46" t="e">
        <f>AND(medidas!J64,"AAAAAC9N9/w=")</f>
        <v>#VALUE!</v>
      </c>
      <c r="IT46" t="e">
        <f>AND(medidas!K64,"AAAAAC9N9/0=")</f>
        <v>#VALUE!</v>
      </c>
      <c r="IU46" t="e">
        <f>AND(medidas!L64,"AAAAAC9N9/4=")</f>
        <v>#VALUE!</v>
      </c>
      <c r="IV46" t="e">
        <f>AND(medidas!M64,"AAAAAC9N9/8=")</f>
        <v>#VALUE!</v>
      </c>
    </row>
    <row r="47" spans="1:256" x14ac:dyDescent="0.2">
      <c r="A47" t="e">
        <f>AND(medidas!N64,"AAAAAHf95QA=")</f>
        <v>#VALUE!</v>
      </c>
      <c r="B47" t="e">
        <f>AND(medidas!O64,"AAAAAHf95QE=")</f>
        <v>#VALUE!</v>
      </c>
      <c r="C47" t="e">
        <f>AND(medidas!P64,"AAAAAHf95QI=")</f>
        <v>#VALUE!</v>
      </c>
      <c r="D47" t="e">
        <f>AND(medidas!Q64,"AAAAAHf95QM=")</f>
        <v>#VALUE!</v>
      </c>
      <c r="E47" t="e">
        <f>AND(medidas!R64,"AAAAAHf95QQ=")</f>
        <v>#VALUE!</v>
      </c>
      <c r="F47" t="e">
        <f>AND(medidas!S64,"AAAAAHf95QU=")</f>
        <v>#VALUE!</v>
      </c>
      <c r="G47" t="e">
        <f>AND(medidas!T64,"AAAAAHf95QY=")</f>
        <v>#VALUE!</v>
      </c>
      <c r="H47" t="e">
        <f>AND(medidas!U64,"AAAAAHf95Qc=")</f>
        <v>#VALUE!</v>
      </c>
      <c r="I47" t="e">
        <f>AND(medidas!V64,"AAAAAHf95Qg=")</f>
        <v>#VALUE!</v>
      </c>
      <c r="J47" t="e">
        <f>AND(medidas!W64,"AAAAAHf95Qk=")</f>
        <v>#VALUE!</v>
      </c>
      <c r="K47" t="e">
        <f>AND(medidas!X64,"AAAAAHf95Qo=")</f>
        <v>#VALUE!</v>
      </c>
      <c r="L47" t="e">
        <f>AND(medidas!Y64,"AAAAAHf95Qs=")</f>
        <v>#VALUE!</v>
      </c>
      <c r="M47" t="e">
        <f>AND(medidas!Z64,"AAAAAHf95Qw=")</f>
        <v>#VALUE!</v>
      </c>
      <c r="N47" t="e">
        <f>AND(medidas!AA64,"AAAAAHf95Q0=")</f>
        <v>#VALUE!</v>
      </c>
      <c r="O47" t="e">
        <f>AND(medidas!AB64,"AAAAAHf95Q4=")</f>
        <v>#VALUE!</v>
      </c>
      <c r="P47" t="e">
        <f>AND(medidas!AC64,"AAAAAHf95Q8=")</f>
        <v>#VALUE!</v>
      </c>
      <c r="Q47" t="e">
        <f>AND(medidas!AD64,"AAAAAHf95RA=")</f>
        <v>#VALUE!</v>
      </c>
      <c r="R47" t="e">
        <f>AND(medidas!AE64,"AAAAAHf95RE=")</f>
        <v>#VALUE!</v>
      </c>
      <c r="S47" t="e">
        <f>AND(medidas!AF64,"AAAAAHf95RI=")</f>
        <v>#VALUE!</v>
      </c>
      <c r="T47" t="e">
        <f>AND(medidas!AG64,"AAAAAHf95RM=")</f>
        <v>#VALUE!</v>
      </c>
      <c r="U47" t="e">
        <f>AND(medidas!AH64,"AAAAAHf95RQ=")</f>
        <v>#VALUE!</v>
      </c>
      <c r="V47" t="e">
        <f>AND(medidas!AI64,"AAAAAHf95RU=")</f>
        <v>#VALUE!</v>
      </c>
      <c r="W47" t="e">
        <f>AND(medidas!AJ64,"AAAAAHf95RY=")</f>
        <v>#VALUE!</v>
      </c>
      <c r="X47" t="e">
        <f>AND(medidas!AK64,"AAAAAHf95Rc=")</f>
        <v>#VALUE!</v>
      </c>
      <c r="Y47" t="e">
        <f>AND(medidas!AL64,"AAAAAHf95Rg=")</f>
        <v>#VALUE!</v>
      </c>
      <c r="Z47" t="e">
        <f>AND(medidas!AM64,"AAAAAHf95Rk=")</f>
        <v>#VALUE!</v>
      </c>
      <c r="AA47" t="e">
        <f>AND(medidas!AN64,"AAAAAHf95Ro=")</f>
        <v>#VALUE!</v>
      </c>
      <c r="AB47" t="e">
        <f>AND(medidas!AO64,"AAAAAHf95Rs=")</f>
        <v>#VALUE!</v>
      </c>
      <c r="AC47" t="e">
        <f>AND(medidas!AP64,"AAAAAHf95Rw=")</f>
        <v>#VALUE!</v>
      </c>
      <c r="AD47" t="e">
        <f>AND(medidas!AQ64,"AAAAAHf95R0=")</f>
        <v>#VALUE!</v>
      </c>
      <c r="AE47" t="e">
        <f>AND(medidas!AR64,"AAAAAHf95R4=")</f>
        <v>#VALUE!</v>
      </c>
      <c r="AF47" t="e">
        <f>AND(medidas!AS64,"AAAAAHf95R8=")</f>
        <v>#VALUE!</v>
      </c>
      <c r="AG47" t="e">
        <f>AND(medidas!AT64,"AAAAAHf95SA=")</f>
        <v>#VALUE!</v>
      </c>
      <c r="AH47" t="e">
        <f>AND(medidas!AU64,"AAAAAHf95SE=")</f>
        <v>#VALUE!</v>
      </c>
      <c r="AI47" t="e">
        <f>AND(medidas!AV64,"AAAAAHf95SI=")</f>
        <v>#VALUE!</v>
      </c>
      <c r="AJ47" t="e">
        <f>AND(medidas!AW64,"AAAAAHf95SM=")</f>
        <v>#VALUE!</v>
      </c>
      <c r="AK47" t="e">
        <f>AND(medidas!AX64,"AAAAAHf95SQ=")</f>
        <v>#VALUE!</v>
      </c>
      <c r="AL47" t="e">
        <f>AND(medidas!AY64,"AAAAAHf95SU=")</f>
        <v>#VALUE!</v>
      </c>
      <c r="AM47" t="e">
        <f>AND(medidas!AZ64,"AAAAAHf95SY=")</f>
        <v>#VALUE!</v>
      </c>
      <c r="AN47" t="e">
        <f>AND(medidas!BA64,"AAAAAHf95Sc=")</f>
        <v>#VALUE!</v>
      </c>
      <c r="AO47" t="e">
        <f>AND(medidas!BB64,"AAAAAHf95Sg=")</f>
        <v>#VALUE!</v>
      </c>
      <c r="AP47" t="e">
        <f>AND(medidas!BC64,"AAAAAHf95Sk=")</f>
        <v>#VALUE!</v>
      </c>
      <c r="AQ47" t="e">
        <f>AND(medidas!BD64,"AAAAAHf95So=")</f>
        <v>#VALUE!</v>
      </c>
      <c r="AR47" t="e">
        <f>AND(medidas!BE64,"AAAAAHf95Ss=")</f>
        <v>#VALUE!</v>
      </c>
      <c r="AS47" t="e">
        <f>AND(medidas!BF64,"AAAAAHf95Sw=")</f>
        <v>#VALUE!</v>
      </c>
      <c r="AT47" t="e">
        <f>AND(medidas!BG64,"AAAAAHf95S0=")</f>
        <v>#VALUE!</v>
      </c>
      <c r="AU47" t="e">
        <f>AND(medidas!BH64,"AAAAAHf95S4=")</f>
        <v>#VALUE!</v>
      </c>
      <c r="AV47" t="e">
        <f>AND(medidas!BI64,"AAAAAHf95S8=")</f>
        <v>#VALUE!</v>
      </c>
      <c r="AW47" t="e">
        <f>AND(medidas!BJ64,"AAAAAHf95TA=")</f>
        <v>#VALUE!</v>
      </c>
      <c r="AX47" t="e">
        <f>AND(medidas!BK64,"AAAAAHf95TE=")</f>
        <v>#VALUE!</v>
      </c>
      <c r="AY47" t="e">
        <f>AND(medidas!BL64,"AAAAAHf95TI=")</f>
        <v>#VALUE!</v>
      </c>
      <c r="AZ47" t="e">
        <f>AND(medidas!BM64,"AAAAAHf95TM=")</f>
        <v>#VALUE!</v>
      </c>
      <c r="BA47" t="e">
        <f>AND(medidas!BN64,"AAAAAHf95TQ=")</f>
        <v>#VALUE!</v>
      </c>
      <c r="BB47" t="e">
        <f>AND(medidas!BO64,"AAAAAHf95TU=")</f>
        <v>#VALUE!</v>
      </c>
      <c r="BC47" t="e">
        <f>AND(medidas!BP64,"AAAAAHf95TY=")</f>
        <v>#VALUE!</v>
      </c>
      <c r="BD47" t="e">
        <f>AND(medidas!BQ64,"AAAAAHf95Tc=")</f>
        <v>#VALUE!</v>
      </c>
      <c r="BE47" t="e">
        <f>AND(medidas!BR64,"AAAAAHf95Tg=")</f>
        <v>#VALUE!</v>
      </c>
      <c r="BF47" t="e">
        <f>AND(medidas!BS64,"AAAAAHf95Tk=")</f>
        <v>#VALUE!</v>
      </c>
      <c r="BG47" t="e">
        <f>AND(medidas!BT64,"AAAAAHf95To=")</f>
        <v>#VALUE!</v>
      </c>
      <c r="BH47" t="e">
        <f>AND(medidas!BU64,"AAAAAHf95Ts=")</f>
        <v>#VALUE!</v>
      </c>
      <c r="BI47" t="e">
        <f>AND(medidas!BV64,"AAAAAHf95Tw=")</f>
        <v>#VALUE!</v>
      </c>
      <c r="BJ47" t="e">
        <f>AND(medidas!BW64,"AAAAAHf95T0=")</f>
        <v>#VALUE!</v>
      </c>
      <c r="BK47" t="e">
        <f>AND(medidas!BX64,"AAAAAHf95T4=")</f>
        <v>#VALUE!</v>
      </c>
      <c r="BL47" t="e">
        <f>AND(medidas!BY64,"AAAAAHf95T8=")</f>
        <v>#VALUE!</v>
      </c>
      <c r="BM47">
        <f>IF(medidas!65:65,"AAAAAHf95UA=",0)</f>
        <v>0</v>
      </c>
      <c r="BN47" t="e">
        <f>AND(medidas!B65,"AAAAAHf95UE=")</f>
        <v>#VALUE!</v>
      </c>
      <c r="BO47" t="e">
        <f>AND(medidas!C65,"AAAAAHf95UI=")</f>
        <v>#VALUE!</v>
      </c>
      <c r="BP47" t="e">
        <f>AND(medidas!D65,"AAAAAHf95UM=")</f>
        <v>#VALUE!</v>
      </c>
      <c r="BQ47" t="e">
        <f>AND(medidas!E65,"AAAAAHf95UQ=")</f>
        <v>#VALUE!</v>
      </c>
      <c r="BR47" t="e">
        <f>AND(medidas!F65,"AAAAAHf95UU=")</f>
        <v>#VALUE!</v>
      </c>
      <c r="BS47" t="e">
        <f>AND(medidas!G65,"AAAAAHf95UY=")</f>
        <v>#VALUE!</v>
      </c>
      <c r="BT47" t="e">
        <f>AND(medidas!H65,"AAAAAHf95Uc=")</f>
        <v>#VALUE!</v>
      </c>
      <c r="BU47" t="e">
        <f>AND(medidas!I65,"AAAAAHf95Ug=")</f>
        <v>#VALUE!</v>
      </c>
      <c r="BV47" t="e">
        <f>AND(medidas!J65,"AAAAAHf95Uk=")</f>
        <v>#VALUE!</v>
      </c>
      <c r="BW47" t="e">
        <f>AND(medidas!K65,"AAAAAHf95Uo=")</f>
        <v>#VALUE!</v>
      </c>
      <c r="BX47" t="e">
        <f>AND(medidas!L65,"AAAAAHf95Us=")</f>
        <v>#VALUE!</v>
      </c>
      <c r="BY47" t="e">
        <f>AND(medidas!M65,"AAAAAHf95Uw=")</f>
        <v>#VALUE!</v>
      </c>
      <c r="BZ47" t="e">
        <f>AND(medidas!N65,"AAAAAHf95U0=")</f>
        <v>#VALUE!</v>
      </c>
      <c r="CA47" t="e">
        <f>AND(medidas!O65,"AAAAAHf95U4=")</f>
        <v>#VALUE!</v>
      </c>
      <c r="CB47" t="e">
        <f>AND(medidas!P65,"AAAAAHf95U8=")</f>
        <v>#VALUE!</v>
      </c>
      <c r="CC47" t="e">
        <f>AND(medidas!Q65,"AAAAAHf95VA=")</f>
        <v>#VALUE!</v>
      </c>
      <c r="CD47" t="e">
        <f>AND(medidas!R65,"AAAAAHf95VE=")</f>
        <v>#VALUE!</v>
      </c>
      <c r="CE47" t="e">
        <f>AND(medidas!S65,"AAAAAHf95VI=")</f>
        <v>#VALUE!</v>
      </c>
      <c r="CF47" t="e">
        <f>AND(medidas!T65,"AAAAAHf95VM=")</f>
        <v>#VALUE!</v>
      </c>
      <c r="CG47" t="e">
        <f>AND(medidas!U65,"AAAAAHf95VQ=")</f>
        <v>#VALUE!</v>
      </c>
      <c r="CH47" t="e">
        <f>AND(medidas!V65,"AAAAAHf95VU=")</f>
        <v>#VALUE!</v>
      </c>
      <c r="CI47" t="e">
        <f>AND(medidas!W65,"AAAAAHf95VY=")</f>
        <v>#VALUE!</v>
      </c>
      <c r="CJ47" t="e">
        <f>AND(medidas!X65,"AAAAAHf95Vc=")</f>
        <v>#VALUE!</v>
      </c>
      <c r="CK47" t="e">
        <f>AND(medidas!Y65,"AAAAAHf95Vg=")</f>
        <v>#VALUE!</v>
      </c>
      <c r="CL47" t="e">
        <f>AND(medidas!Z65,"AAAAAHf95Vk=")</f>
        <v>#VALUE!</v>
      </c>
      <c r="CM47" t="e">
        <f>AND(medidas!AA65,"AAAAAHf95Vo=")</f>
        <v>#VALUE!</v>
      </c>
      <c r="CN47" t="e">
        <f>AND(medidas!AB65,"AAAAAHf95Vs=")</f>
        <v>#VALUE!</v>
      </c>
      <c r="CO47" t="e">
        <f>AND(medidas!AC65,"AAAAAHf95Vw=")</f>
        <v>#VALUE!</v>
      </c>
      <c r="CP47" t="e">
        <f>AND(medidas!AD65,"AAAAAHf95V0=")</f>
        <v>#VALUE!</v>
      </c>
      <c r="CQ47" t="e">
        <f>AND(medidas!AE65,"AAAAAHf95V4=")</f>
        <v>#VALUE!</v>
      </c>
      <c r="CR47" t="e">
        <f>AND(medidas!AF65,"AAAAAHf95V8=")</f>
        <v>#VALUE!</v>
      </c>
      <c r="CS47" t="e">
        <f>AND(medidas!AG65,"AAAAAHf95WA=")</f>
        <v>#VALUE!</v>
      </c>
      <c r="CT47" t="e">
        <f>AND(medidas!AH65,"AAAAAHf95WE=")</f>
        <v>#VALUE!</v>
      </c>
      <c r="CU47" t="e">
        <f>AND(medidas!AI65,"AAAAAHf95WI=")</f>
        <v>#VALUE!</v>
      </c>
      <c r="CV47" t="e">
        <f>AND(medidas!AJ65,"AAAAAHf95WM=")</f>
        <v>#VALUE!</v>
      </c>
      <c r="CW47" t="e">
        <f>AND(medidas!AK65,"AAAAAHf95WQ=")</f>
        <v>#VALUE!</v>
      </c>
      <c r="CX47" t="e">
        <f>AND(medidas!AL65,"AAAAAHf95WU=")</f>
        <v>#VALUE!</v>
      </c>
      <c r="CY47" t="e">
        <f>AND(medidas!AM65,"AAAAAHf95WY=")</f>
        <v>#VALUE!</v>
      </c>
      <c r="CZ47" t="e">
        <f>AND(medidas!AN65,"AAAAAHf95Wc=")</f>
        <v>#VALUE!</v>
      </c>
      <c r="DA47" t="e">
        <f>AND(medidas!AO65,"AAAAAHf95Wg=")</f>
        <v>#VALUE!</v>
      </c>
      <c r="DB47" t="e">
        <f>AND(medidas!AP65,"AAAAAHf95Wk=")</f>
        <v>#VALUE!</v>
      </c>
      <c r="DC47" t="e">
        <f>AND(medidas!AQ65,"AAAAAHf95Wo=")</f>
        <v>#VALUE!</v>
      </c>
      <c r="DD47" t="e">
        <f>AND(medidas!AR65,"AAAAAHf95Ws=")</f>
        <v>#VALUE!</v>
      </c>
      <c r="DE47" t="e">
        <f>AND(medidas!AS65,"AAAAAHf95Ww=")</f>
        <v>#VALUE!</v>
      </c>
      <c r="DF47" t="e">
        <f>AND(medidas!AT65,"AAAAAHf95W0=")</f>
        <v>#VALUE!</v>
      </c>
      <c r="DG47" t="e">
        <f>AND(medidas!AU65,"AAAAAHf95W4=")</f>
        <v>#VALUE!</v>
      </c>
      <c r="DH47" t="e">
        <f>AND(medidas!AV65,"AAAAAHf95W8=")</f>
        <v>#VALUE!</v>
      </c>
      <c r="DI47" t="e">
        <f>AND(medidas!AW65,"AAAAAHf95XA=")</f>
        <v>#VALUE!</v>
      </c>
      <c r="DJ47" t="e">
        <f>AND(medidas!AX65,"AAAAAHf95XE=")</f>
        <v>#VALUE!</v>
      </c>
      <c r="DK47" t="e">
        <f>AND(medidas!AY65,"AAAAAHf95XI=")</f>
        <v>#VALUE!</v>
      </c>
      <c r="DL47" t="e">
        <f>AND(medidas!AZ65,"AAAAAHf95XM=")</f>
        <v>#VALUE!</v>
      </c>
      <c r="DM47" t="e">
        <f>AND(medidas!BA65,"AAAAAHf95XQ=")</f>
        <v>#VALUE!</v>
      </c>
      <c r="DN47" t="e">
        <f>AND(medidas!BB65,"AAAAAHf95XU=")</f>
        <v>#VALUE!</v>
      </c>
      <c r="DO47" t="e">
        <f>AND(medidas!BC65,"AAAAAHf95XY=")</f>
        <v>#VALUE!</v>
      </c>
      <c r="DP47" t="e">
        <f>AND(medidas!BD65,"AAAAAHf95Xc=")</f>
        <v>#VALUE!</v>
      </c>
      <c r="DQ47" t="e">
        <f>AND(medidas!BE65,"AAAAAHf95Xg=")</f>
        <v>#VALUE!</v>
      </c>
      <c r="DR47" t="e">
        <f>AND(medidas!BF65,"AAAAAHf95Xk=")</f>
        <v>#VALUE!</v>
      </c>
      <c r="DS47" t="e">
        <f>AND(medidas!BG65,"AAAAAHf95Xo=")</f>
        <v>#VALUE!</v>
      </c>
      <c r="DT47" t="e">
        <f>AND(medidas!BH65,"AAAAAHf95Xs=")</f>
        <v>#VALUE!</v>
      </c>
      <c r="DU47" t="e">
        <f>AND(medidas!BI65,"AAAAAHf95Xw=")</f>
        <v>#VALUE!</v>
      </c>
      <c r="DV47" t="e">
        <f>AND(medidas!BJ65,"AAAAAHf95X0=")</f>
        <v>#VALUE!</v>
      </c>
      <c r="DW47" t="e">
        <f>AND(medidas!BK65,"AAAAAHf95X4=")</f>
        <v>#VALUE!</v>
      </c>
      <c r="DX47" t="e">
        <f>AND(medidas!BL65,"AAAAAHf95X8=")</f>
        <v>#VALUE!</v>
      </c>
      <c r="DY47" t="e">
        <f>AND(medidas!BM65,"AAAAAHf95YA=")</f>
        <v>#VALUE!</v>
      </c>
      <c r="DZ47" t="e">
        <f>AND(medidas!BN65,"AAAAAHf95YE=")</f>
        <v>#VALUE!</v>
      </c>
      <c r="EA47" t="e">
        <f>AND(medidas!BO65,"AAAAAHf95YI=")</f>
        <v>#VALUE!</v>
      </c>
      <c r="EB47" t="e">
        <f>AND(medidas!BP65,"AAAAAHf95YM=")</f>
        <v>#VALUE!</v>
      </c>
      <c r="EC47" t="e">
        <f>AND(medidas!BQ65,"AAAAAHf95YQ=")</f>
        <v>#VALUE!</v>
      </c>
      <c r="ED47" t="e">
        <f>AND(medidas!BR65,"AAAAAHf95YU=")</f>
        <v>#VALUE!</v>
      </c>
      <c r="EE47" t="e">
        <f>AND(medidas!BS65,"AAAAAHf95YY=")</f>
        <v>#VALUE!</v>
      </c>
      <c r="EF47" t="e">
        <f>AND(medidas!BT65,"AAAAAHf95Yc=")</f>
        <v>#VALUE!</v>
      </c>
      <c r="EG47" t="e">
        <f>AND(medidas!BU65,"AAAAAHf95Yg=")</f>
        <v>#VALUE!</v>
      </c>
      <c r="EH47" t="e">
        <f>AND(medidas!BV65,"AAAAAHf95Yk=")</f>
        <v>#VALUE!</v>
      </c>
      <c r="EI47" t="e">
        <f>AND(medidas!BW65,"AAAAAHf95Yo=")</f>
        <v>#VALUE!</v>
      </c>
      <c r="EJ47" t="e">
        <f>AND(medidas!BX65,"AAAAAHf95Ys=")</f>
        <v>#VALUE!</v>
      </c>
      <c r="EK47" t="e">
        <f>AND(medidas!BY65,"AAAAAHf95Yw=")</f>
        <v>#VALUE!</v>
      </c>
      <c r="EL47">
        <f>IF(medidas!66:66,"AAAAAHf95Y0=",0)</f>
        <v>0</v>
      </c>
      <c r="EM47" t="e">
        <f>AND(medidas!B66,"AAAAAHf95Y4=")</f>
        <v>#VALUE!</v>
      </c>
      <c r="EN47" t="e">
        <f>AND(medidas!C66,"AAAAAHf95Y8=")</f>
        <v>#VALUE!</v>
      </c>
      <c r="EO47" t="e">
        <f>AND(medidas!D66,"AAAAAHf95ZA=")</f>
        <v>#VALUE!</v>
      </c>
      <c r="EP47" t="e">
        <f>AND(medidas!E66,"AAAAAHf95ZE=")</f>
        <v>#VALUE!</v>
      </c>
      <c r="EQ47" t="e">
        <f>AND(medidas!F66,"AAAAAHf95ZI=")</f>
        <v>#VALUE!</v>
      </c>
      <c r="ER47" t="e">
        <f>AND(medidas!G66,"AAAAAHf95ZM=")</f>
        <v>#VALUE!</v>
      </c>
      <c r="ES47" t="e">
        <f>AND(medidas!H66,"AAAAAHf95ZQ=")</f>
        <v>#VALUE!</v>
      </c>
      <c r="ET47" t="e">
        <f>AND(medidas!I66,"AAAAAHf95ZU=")</f>
        <v>#VALUE!</v>
      </c>
      <c r="EU47" t="e">
        <f>AND(medidas!J66,"AAAAAHf95ZY=")</f>
        <v>#VALUE!</v>
      </c>
      <c r="EV47" t="e">
        <f>AND(medidas!K66,"AAAAAHf95Zc=")</f>
        <v>#VALUE!</v>
      </c>
      <c r="EW47" t="e">
        <f>AND(medidas!L66,"AAAAAHf95Zg=")</f>
        <v>#VALUE!</v>
      </c>
      <c r="EX47" t="e">
        <f>AND(medidas!M66,"AAAAAHf95Zk=")</f>
        <v>#VALUE!</v>
      </c>
      <c r="EY47" t="e">
        <f>AND(medidas!N66,"AAAAAHf95Zo=")</f>
        <v>#VALUE!</v>
      </c>
      <c r="EZ47" t="e">
        <f>AND(medidas!O66,"AAAAAHf95Zs=")</f>
        <v>#VALUE!</v>
      </c>
      <c r="FA47" t="e">
        <f>AND(medidas!P66,"AAAAAHf95Zw=")</f>
        <v>#VALUE!</v>
      </c>
      <c r="FB47" t="e">
        <f>AND(medidas!Q66,"AAAAAHf95Z0=")</f>
        <v>#VALUE!</v>
      </c>
      <c r="FC47" t="e">
        <f>AND(medidas!R66,"AAAAAHf95Z4=")</f>
        <v>#VALUE!</v>
      </c>
      <c r="FD47" t="e">
        <f>AND(medidas!S66,"AAAAAHf95Z8=")</f>
        <v>#VALUE!</v>
      </c>
      <c r="FE47" t="e">
        <f>AND(medidas!T66,"AAAAAHf95aA=")</f>
        <v>#VALUE!</v>
      </c>
      <c r="FF47" t="e">
        <f>AND(medidas!U66,"AAAAAHf95aE=")</f>
        <v>#VALUE!</v>
      </c>
      <c r="FG47" t="e">
        <f>AND(medidas!V66,"AAAAAHf95aI=")</f>
        <v>#VALUE!</v>
      </c>
      <c r="FH47" t="e">
        <f>AND(medidas!W66,"AAAAAHf95aM=")</f>
        <v>#VALUE!</v>
      </c>
      <c r="FI47" t="e">
        <f>AND(medidas!X66,"AAAAAHf95aQ=")</f>
        <v>#VALUE!</v>
      </c>
      <c r="FJ47" t="e">
        <f>AND(medidas!Y66,"AAAAAHf95aU=")</f>
        <v>#VALUE!</v>
      </c>
      <c r="FK47" t="e">
        <f>AND(medidas!Z66,"AAAAAHf95aY=")</f>
        <v>#VALUE!</v>
      </c>
      <c r="FL47" t="e">
        <f>AND(medidas!AA66,"AAAAAHf95ac=")</f>
        <v>#VALUE!</v>
      </c>
      <c r="FM47" t="e">
        <f>AND(medidas!AB66,"AAAAAHf95ag=")</f>
        <v>#VALUE!</v>
      </c>
      <c r="FN47" t="e">
        <f>AND(medidas!AC66,"AAAAAHf95ak=")</f>
        <v>#VALUE!</v>
      </c>
      <c r="FO47" t="e">
        <f>AND(medidas!AD66,"AAAAAHf95ao=")</f>
        <v>#VALUE!</v>
      </c>
      <c r="FP47" t="e">
        <f>AND(medidas!AE66,"AAAAAHf95as=")</f>
        <v>#VALUE!</v>
      </c>
      <c r="FQ47" t="e">
        <f>AND(medidas!AF66,"AAAAAHf95aw=")</f>
        <v>#VALUE!</v>
      </c>
      <c r="FR47" t="e">
        <f>AND(medidas!AG66,"AAAAAHf95a0=")</f>
        <v>#VALUE!</v>
      </c>
      <c r="FS47" t="e">
        <f>AND(medidas!AH66,"AAAAAHf95a4=")</f>
        <v>#VALUE!</v>
      </c>
      <c r="FT47" t="e">
        <f>AND(medidas!AI66,"AAAAAHf95a8=")</f>
        <v>#VALUE!</v>
      </c>
      <c r="FU47" t="e">
        <f>AND(medidas!AJ66,"AAAAAHf95bA=")</f>
        <v>#VALUE!</v>
      </c>
      <c r="FV47" t="e">
        <f>AND(medidas!AK66,"AAAAAHf95bE=")</f>
        <v>#VALUE!</v>
      </c>
      <c r="FW47" t="e">
        <f>AND(medidas!AL66,"AAAAAHf95bI=")</f>
        <v>#VALUE!</v>
      </c>
      <c r="FX47" t="e">
        <f>AND(medidas!AM66,"AAAAAHf95bM=")</f>
        <v>#VALUE!</v>
      </c>
      <c r="FY47" t="e">
        <f>AND(medidas!AN66,"AAAAAHf95bQ=")</f>
        <v>#VALUE!</v>
      </c>
      <c r="FZ47" t="e">
        <f>AND(medidas!AO66,"AAAAAHf95bU=")</f>
        <v>#VALUE!</v>
      </c>
      <c r="GA47" t="e">
        <f>AND(medidas!AP66,"AAAAAHf95bY=")</f>
        <v>#VALUE!</v>
      </c>
      <c r="GB47" t="e">
        <f>AND(medidas!AQ66,"AAAAAHf95bc=")</f>
        <v>#VALUE!</v>
      </c>
      <c r="GC47" t="e">
        <f>AND(medidas!AR66,"AAAAAHf95bg=")</f>
        <v>#VALUE!</v>
      </c>
      <c r="GD47" t="e">
        <f>AND(medidas!AS66,"AAAAAHf95bk=")</f>
        <v>#VALUE!</v>
      </c>
      <c r="GE47" t="e">
        <f>AND(medidas!AT66,"AAAAAHf95bo=")</f>
        <v>#VALUE!</v>
      </c>
      <c r="GF47" t="e">
        <f>AND(medidas!AU66,"AAAAAHf95bs=")</f>
        <v>#VALUE!</v>
      </c>
      <c r="GG47" t="e">
        <f>AND(medidas!AV66,"AAAAAHf95bw=")</f>
        <v>#VALUE!</v>
      </c>
      <c r="GH47" t="e">
        <f>AND(medidas!AW66,"AAAAAHf95b0=")</f>
        <v>#VALUE!</v>
      </c>
      <c r="GI47" t="e">
        <f>AND(medidas!AX66,"AAAAAHf95b4=")</f>
        <v>#VALUE!</v>
      </c>
      <c r="GJ47" t="e">
        <f>AND(medidas!AY66,"AAAAAHf95b8=")</f>
        <v>#VALUE!</v>
      </c>
      <c r="GK47" t="e">
        <f>AND(medidas!AZ66,"AAAAAHf95cA=")</f>
        <v>#VALUE!</v>
      </c>
      <c r="GL47" t="e">
        <f>AND(medidas!BA66,"AAAAAHf95cE=")</f>
        <v>#VALUE!</v>
      </c>
      <c r="GM47" t="e">
        <f>AND(medidas!BB66,"AAAAAHf95cI=")</f>
        <v>#VALUE!</v>
      </c>
      <c r="GN47" t="e">
        <f>AND(medidas!BC66,"AAAAAHf95cM=")</f>
        <v>#VALUE!</v>
      </c>
      <c r="GO47" t="e">
        <f>AND(medidas!BD66,"AAAAAHf95cQ=")</f>
        <v>#VALUE!</v>
      </c>
      <c r="GP47" t="e">
        <f>AND(medidas!BE66,"AAAAAHf95cU=")</f>
        <v>#VALUE!</v>
      </c>
      <c r="GQ47" t="e">
        <f>AND(medidas!BF66,"AAAAAHf95cY=")</f>
        <v>#VALUE!</v>
      </c>
      <c r="GR47" t="e">
        <f>AND(medidas!BG66,"AAAAAHf95cc=")</f>
        <v>#VALUE!</v>
      </c>
      <c r="GS47" t="e">
        <f>AND(medidas!BH66,"AAAAAHf95cg=")</f>
        <v>#VALUE!</v>
      </c>
      <c r="GT47" t="e">
        <f>AND(medidas!BI66,"AAAAAHf95ck=")</f>
        <v>#VALUE!</v>
      </c>
      <c r="GU47" t="e">
        <f>AND(medidas!BJ66,"AAAAAHf95co=")</f>
        <v>#VALUE!</v>
      </c>
      <c r="GV47" t="e">
        <f>AND(medidas!BK66,"AAAAAHf95cs=")</f>
        <v>#VALUE!</v>
      </c>
      <c r="GW47" t="e">
        <f>AND(medidas!BL66,"AAAAAHf95cw=")</f>
        <v>#VALUE!</v>
      </c>
      <c r="GX47" t="e">
        <f>AND(medidas!BM66,"AAAAAHf95c0=")</f>
        <v>#VALUE!</v>
      </c>
      <c r="GY47" t="e">
        <f>AND(medidas!BN66,"AAAAAHf95c4=")</f>
        <v>#VALUE!</v>
      </c>
      <c r="GZ47" t="e">
        <f>AND(medidas!BO66,"AAAAAHf95c8=")</f>
        <v>#VALUE!</v>
      </c>
      <c r="HA47" t="e">
        <f>AND(medidas!BP66,"AAAAAHf95dA=")</f>
        <v>#VALUE!</v>
      </c>
      <c r="HB47" t="e">
        <f>AND(medidas!BQ66,"AAAAAHf95dE=")</f>
        <v>#VALUE!</v>
      </c>
      <c r="HC47" t="e">
        <f>AND(medidas!BR66,"AAAAAHf95dI=")</f>
        <v>#VALUE!</v>
      </c>
      <c r="HD47" t="e">
        <f>AND(medidas!BS66,"AAAAAHf95dM=")</f>
        <v>#VALUE!</v>
      </c>
      <c r="HE47" t="e">
        <f>AND(medidas!BT66,"AAAAAHf95dQ=")</f>
        <v>#VALUE!</v>
      </c>
      <c r="HF47" t="e">
        <f>AND(medidas!BU66,"AAAAAHf95dU=")</f>
        <v>#VALUE!</v>
      </c>
      <c r="HG47" t="e">
        <f>AND(medidas!BV66,"AAAAAHf95dY=")</f>
        <v>#VALUE!</v>
      </c>
      <c r="HH47" t="e">
        <f>AND(medidas!BW66,"AAAAAHf95dc=")</f>
        <v>#VALUE!</v>
      </c>
      <c r="HI47" t="e">
        <f>AND(medidas!BX66,"AAAAAHf95dg=")</f>
        <v>#VALUE!</v>
      </c>
      <c r="HJ47" t="e">
        <f>AND(medidas!BY66,"AAAAAHf95dk=")</f>
        <v>#VALUE!</v>
      </c>
      <c r="HK47">
        <f>IF(medidas!67:67,"AAAAAHf95do=",0)</f>
        <v>0</v>
      </c>
      <c r="HL47" t="e">
        <f>AND(medidas!B67,"AAAAAHf95ds=")</f>
        <v>#VALUE!</v>
      </c>
      <c r="HM47" t="e">
        <f>AND(medidas!C67,"AAAAAHf95dw=")</f>
        <v>#VALUE!</v>
      </c>
      <c r="HN47" t="e">
        <f>AND(medidas!D67,"AAAAAHf95d0=")</f>
        <v>#VALUE!</v>
      </c>
      <c r="HO47" t="e">
        <f>AND(medidas!E67,"AAAAAHf95d4=")</f>
        <v>#VALUE!</v>
      </c>
      <c r="HP47" t="e">
        <f>AND(medidas!F67,"AAAAAHf95d8=")</f>
        <v>#VALUE!</v>
      </c>
      <c r="HQ47" t="e">
        <f>AND(medidas!G67,"AAAAAHf95eA=")</f>
        <v>#VALUE!</v>
      </c>
      <c r="HR47" t="e">
        <f>AND(medidas!H67,"AAAAAHf95eE=")</f>
        <v>#VALUE!</v>
      </c>
      <c r="HS47" t="e">
        <f>AND(medidas!I67,"AAAAAHf95eI=")</f>
        <v>#VALUE!</v>
      </c>
      <c r="HT47" t="e">
        <f>AND(medidas!J67,"AAAAAHf95eM=")</f>
        <v>#VALUE!</v>
      </c>
      <c r="HU47" t="e">
        <f>AND(medidas!K67,"AAAAAHf95eQ=")</f>
        <v>#VALUE!</v>
      </c>
      <c r="HV47" t="e">
        <f>AND(medidas!L67,"AAAAAHf95eU=")</f>
        <v>#VALUE!</v>
      </c>
      <c r="HW47" t="e">
        <f>AND(medidas!M67,"AAAAAHf95eY=")</f>
        <v>#VALUE!</v>
      </c>
      <c r="HX47" t="e">
        <f>AND(medidas!N67,"AAAAAHf95ec=")</f>
        <v>#VALUE!</v>
      </c>
      <c r="HY47" t="e">
        <f>AND(medidas!O67,"AAAAAHf95eg=")</f>
        <v>#VALUE!</v>
      </c>
      <c r="HZ47" t="e">
        <f>AND(medidas!P67,"AAAAAHf95ek=")</f>
        <v>#VALUE!</v>
      </c>
      <c r="IA47" t="e">
        <f>AND(medidas!Q67,"AAAAAHf95eo=")</f>
        <v>#VALUE!</v>
      </c>
      <c r="IB47" t="e">
        <f>AND(medidas!R67,"AAAAAHf95es=")</f>
        <v>#VALUE!</v>
      </c>
      <c r="IC47" t="e">
        <f>AND(medidas!S67,"AAAAAHf95ew=")</f>
        <v>#VALUE!</v>
      </c>
      <c r="ID47" t="e">
        <f>AND(medidas!T67,"AAAAAHf95e0=")</f>
        <v>#VALUE!</v>
      </c>
      <c r="IE47" t="e">
        <f>AND(medidas!U67,"AAAAAHf95e4=")</f>
        <v>#VALUE!</v>
      </c>
      <c r="IF47" t="e">
        <f>AND(medidas!V67,"AAAAAHf95e8=")</f>
        <v>#VALUE!</v>
      </c>
      <c r="IG47" t="e">
        <f>AND(medidas!W67,"AAAAAHf95fA=")</f>
        <v>#VALUE!</v>
      </c>
      <c r="IH47" t="e">
        <f>AND(medidas!X67,"AAAAAHf95fE=")</f>
        <v>#VALUE!</v>
      </c>
      <c r="II47" t="e">
        <f>AND(medidas!Y67,"AAAAAHf95fI=")</f>
        <v>#VALUE!</v>
      </c>
      <c r="IJ47" t="e">
        <f>AND(medidas!Z67,"AAAAAHf95fM=")</f>
        <v>#VALUE!</v>
      </c>
      <c r="IK47" t="e">
        <f>AND(medidas!AA67,"AAAAAHf95fQ=")</f>
        <v>#VALUE!</v>
      </c>
      <c r="IL47" t="e">
        <f>AND(medidas!AB67,"AAAAAHf95fU=")</f>
        <v>#VALUE!</v>
      </c>
      <c r="IM47" t="e">
        <f>AND(medidas!AC67,"AAAAAHf95fY=")</f>
        <v>#VALUE!</v>
      </c>
      <c r="IN47" t="e">
        <f>AND(medidas!AD67,"AAAAAHf95fc=")</f>
        <v>#VALUE!</v>
      </c>
      <c r="IO47" t="e">
        <f>AND(medidas!AE67,"AAAAAHf95fg=")</f>
        <v>#VALUE!</v>
      </c>
      <c r="IP47" t="e">
        <f>AND(medidas!AF67,"AAAAAHf95fk=")</f>
        <v>#VALUE!</v>
      </c>
      <c r="IQ47" t="e">
        <f>AND(medidas!AG67,"AAAAAHf95fo=")</f>
        <v>#VALUE!</v>
      </c>
      <c r="IR47" t="e">
        <f>AND(medidas!AH67,"AAAAAHf95fs=")</f>
        <v>#VALUE!</v>
      </c>
      <c r="IS47" t="e">
        <f>AND(medidas!AI67,"AAAAAHf95fw=")</f>
        <v>#VALUE!</v>
      </c>
      <c r="IT47" t="e">
        <f>AND(medidas!AJ67,"AAAAAHf95f0=")</f>
        <v>#VALUE!</v>
      </c>
      <c r="IU47" t="e">
        <f>AND(medidas!AK67,"AAAAAHf95f4=")</f>
        <v>#VALUE!</v>
      </c>
      <c r="IV47" t="e">
        <f>AND(medidas!AL67,"AAAAAHf95f8=")</f>
        <v>#VALUE!</v>
      </c>
    </row>
    <row r="48" spans="1:256" x14ac:dyDescent="0.2">
      <c r="A48" t="e">
        <f>AND(medidas!AM67,"AAAAAF/7LwA=")</f>
        <v>#VALUE!</v>
      </c>
      <c r="B48" t="e">
        <f>AND(medidas!AN67,"AAAAAF/7LwE=")</f>
        <v>#VALUE!</v>
      </c>
      <c r="C48" t="e">
        <f>AND(medidas!AO67,"AAAAAF/7LwI=")</f>
        <v>#VALUE!</v>
      </c>
      <c r="D48" t="e">
        <f>AND(medidas!AP67,"AAAAAF/7LwM=")</f>
        <v>#VALUE!</v>
      </c>
      <c r="E48" t="e">
        <f>AND(medidas!AQ67,"AAAAAF/7LwQ=")</f>
        <v>#VALUE!</v>
      </c>
      <c r="F48" t="e">
        <f>AND(medidas!AR67,"AAAAAF/7LwU=")</f>
        <v>#VALUE!</v>
      </c>
      <c r="G48" t="e">
        <f>AND(medidas!AS67,"AAAAAF/7LwY=")</f>
        <v>#VALUE!</v>
      </c>
      <c r="H48" t="e">
        <f>AND(medidas!AT67,"AAAAAF/7Lwc=")</f>
        <v>#VALUE!</v>
      </c>
      <c r="I48" t="e">
        <f>AND(medidas!AU67,"AAAAAF/7Lwg=")</f>
        <v>#VALUE!</v>
      </c>
      <c r="J48" t="e">
        <f>AND(medidas!AV67,"AAAAAF/7Lwk=")</f>
        <v>#VALUE!</v>
      </c>
      <c r="K48" t="e">
        <f>AND(medidas!AW67,"AAAAAF/7Lwo=")</f>
        <v>#VALUE!</v>
      </c>
      <c r="L48" t="e">
        <f>AND(medidas!AX67,"AAAAAF/7Lws=")</f>
        <v>#VALUE!</v>
      </c>
      <c r="M48" t="e">
        <f>AND(medidas!AY67,"AAAAAF/7Lww=")</f>
        <v>#VALUE!</v>
      </c>
      <c r="N48" t="e">
        <f>AND(medidas!AZ67,"AAAAAF/7Lw0=")</f>
        <v>#VALUE!</v>
      </c>
      <c r="O48" t="e">
        <f>AND(medidas!BA67,"AAAAAF/7Lw4=")</f>
        <v>#VALUE!</v>
      </c>
      <c r="P48" t="e">
        <f>AND(medidas!BB67,"AAAAAF/7Lw8=")</f>
        <v>#VALUE!</v>
      </c>
      <c r="Q48" t="e">
        <f>AND(medidas!BC67,"AAAAAF/7LxA=")</f>
        <v>#VALUE!</v>
      </c>
      <c r="R48" t="e">
        <f>AND(medidas!BD67,"AAAAAF/7LxE=")</f>
        <v>#VALUE!</v>
      </c>
      <c r="S48" t="e">
        <f>AND(medidas!BE67,"AAAAAF/7LxI=")</f>
        <v>#VALUE!</v>
      </c>
      <c r="T48" t="e">
        <f>AND(medidas!BF67,"AAAAAF/7LxM=")</f>
        <v>#VALUE!</v>
      </c>
      <c r="U48" t="e">
        <f>AND(medidas!BG67,"AAAAAF/7LxQ=")</f>
        <v>#VALUE!</v>
      </c>
      <c r="V48" t="e">
        <f>AND(medidas!BH67,"AAAAAF/7LxU=")</f>
        <v>#VALUE!</v>
      </c>
      <c r="W48" t="e">
        <f>AND(medidas!BI67,"AAAAAF/7LxY=")</f>
        <v>#VALUE!</v>
      </c>
      <c r="X48" t="e">
        <f>AND(medidas!BJ67,"AAAAAF/7Lxc=")</f>
        <v>#VALUE!</v>
      </c>
      <c r="Y48" t="e">
        <f>AND(medidas!BK67,"AAAAAF/7Lxg=")</f>
        <v>#VALUE!</v>
      </c>
      <c r="Z48" t="e">
        <f>AND(medidas!BL67,"AAAAAF/7Lxk=")</f>
        <v>#VALUE!</v>
      </c>
      <c r="AA48" t="e">
        <f>AND(medidas!BM67,"AAAAAF/7Lxo=")</f>
        <v>#VALUE!</v>
      </c>
      <c r="AB48" t="e">
        <f>AND(medidas!BN67,"AAAAAF/7Lxs=")</f>
        <v>#VALUE!</v>
      </c>
      <c r="AC48" t="e">
        <f>AND(medidas!BO67,"AAAAAF/7Lxw=")</f>
        <v>#VALUE!</v>
      </c>
      <c r="AD48" t="e">
        <f>AND(medidas!BP67,"AAAAAF/7Lx0=")</f>
        <v>#VALUE!</v>
      </c>
      <c r="AE48" t="e">
        <f>AND(medidas!BQ67,"AAAAAF/7Lx4=")</f>
        <v>#VALUE!</v>
      </c>
      <c r="AF48" t="e">
        <f>AND(medidas!BR67,"AAAAAF/7Lx8=")</f>
        <v>#VALUE!</v>
      </c>
      <c r="AG48" t="e">
        <f>AND(medidas!BS67,"AAAAAF/7LyA=")</f>
        <v>#VALUE!</v>
      </c>
      <c r="AH48" t="e">
        <f>AND(medidas!BT67,"AAAAAF/7LyE=")</f>
        <v>#VALUE!</v>
      </c>
      <c r="AI48" t="e">
        <f>AND(medidas!BU67,"AAAAAF/7LyI=")</f>
        <v>#VALUE!</v>
      </c>
      <c r="AJ48" t="e">
        <f>AND(medidas!BV67,"AAAAAF/7LyM=")</f>
        <v>#VALUE!</v>
      </c>
      <c r="AK48" t="e">
        <f>AND(medidas!BW67,"AAAAAF/7LyQ=")</f>
        <v>#VALUE!</v>
      </c>
      <c r="AL48" t="e">
        <f>AND(medidas!BX67,"AAAAAF/7LyU=")</f>
        <v>#VALUE!</v>
      </c>
      <c r="AM48" t="e">
        <f>AND(medidas!BY67,"AAAAAF/7LyY=")</f>
        <v>#VALUE!</v>
      </c>
      <c r="AN48">
        <f>IF(medidas!68:68,"AAAAAF/7Lyc=",0)</f>
        <v>0</v>
      </c>
      <c r="AO48" t="e">
        <f>AND(medidas!B68,"AAAAAF/7Lyg=")</f>
        <v>#VALUE!</v>
      </c>
      <c r="AP48" t="e">
        <f>AND(medidas!C68,"AAAAAF/7Lyk=")</f>
        <v>#VALUE!</v>
      </c>
      <c r="AQ48" t="e">
        <f>AND(medidas!D68,"AAAAAF/7Lyo=")</f>
        <v>#VALUE!</v>
      </c>
      <c r="AR48" t="e">
        <f>AND(medidas!E68,"AAAAAF/7Lys=")</f>
        <v>#VALUE!</v>
      </c>
      <c r="AS48" t="e">
        <f>AND(medidas!F68,"AAAAAF/7Lyw=")</f>
        <v>#VALUE!</v>
      </c>
      <c r="AT48" t="e">
        <f>AND(medidas!G68,"AAAAAF/7Ly0=")</f>
        <v>#VALUE!</v>
      </c>
      <c r="AU48" t="e">
        <f>AND(medidas!H68,"AAAAAF/7Ly4=")</f>
        <v>#VALUE!</v>
      </c>
      <c r="AV48" t="e">
        <f>AND(medidas!I68,"AAAAAF/7Ly8=")</f>
        <v>#VALUE!</v>
      </c>
      <c r="AW48" t="e">
        <f>AND(medidas!J68,"AAAAAF/7LzA=")</f>
        <v>#VALUE!</v>
      </c>
      <c r="AX48" t="e">
        <f>AND(medidas!K68,"AAAAAF/7LzE=")</f>
        <v>#VALUE!</v>
      </c>
      <c r="AY48" t="e">
        <f>AND(medidas!L68,"AAAAAF/7LzI=")</f>
        <v>#VALUE!</v>
      </c>
      <c r="AZ48" t="e">
        <f>AND(medidas!M68,"AAAAAF/7LzM=")</f>
        <v>#VALUE!</v>
      </c>
      <c r="BA48" t="e">
        <f>AND(medidas!N68,"AAAAAF/7LzQ=")</f>
        <v>#VALUE!</v>
      </c>
      <c r="BB48" t="e">
        <f>AND(medidas!O68,"AAAAAF/7LzU=")</f>
        <v>#VALUE!</v>
      </c>
      <c r="BC48" t="e">
        <f>AND(medidas!P68,"AAAAAF/7LzY=")</f>
        <v>#VALUE!</v>
      </c>
      <c r="BD48" t="e">
        <f>AND(medidas!Q68,"AAAAAF/7Lzc=")</f>
        <v>#VALUE!</v>
      </c>
      <c r="BE48" t="e">
        <f>AND(medidas!R68,"AAAAAF/7Lzg=")</f>
        <v>#VALUE!</v>
      </c>
      <c r="BF48" t="e">
        <f>AND(medidas!S68,"AAAAAF/7Lzk=")</f>
        <v>#VALUE!</v>
      </c>
      <c r="BG48" t="e">
        <f>AND(medidas!T68,"AAAAAF/7Lzo=")</f>
        <v>#VALUE!</v>
      </c>
      <c r="BH48" t="e">
        <f>AND(medidas!U68,"AAAAAF/7Lzs=")</f>
        <v>#VALUE!</v>
      </c>
      <c r="BI48" t="e">
        <f>AND(medidas!V68,"AAAAAF/7Lzw=")</f>
        <v>#VALUE!</v>
      </c>
      <c r="BJ48" t="e">
        <f>AND(medidas!W68,"AAAAAF/7Lz0=")</f>
        <v>#VALUE!</v>
      </c>
      <c r="BK48" t="e">
        <f>AND(medidas!X68,"AAAAAF/7Lz4=")</f>
        <v>#VALUE!</v>
      </c>
      <c r="BL48" t="e">
        <f>AND(medidas!Y68,"AAAAAF/7Lz8=")</f>
        <v>#VALUE!</v>
      </c>
      <c r="BM48" t="e">
        <f>AND(medidas!Z68,"AAAAAF/7L0A=")</f>
        <v>#VALUE!</v>
      </c>
      <c r="BN48" t="e">
        <f>AND(medidas!AA68,"AAAAAF/7L0E=")</f>
        <v>#VALUE!</v>
      </c>
      <c r="BO48" t="e">
        <f>AND(medidas!AB68,"AAAAAF/7L0I=")</f>
        <v>#VALUE!</v>
      </c>
      <c r="BP48" t="e">
        <f>AND(medidas!AC68,"AAAAAF/7L0M=")</f>
        <v>#VALUE!</v>
      </c>
      <c r="BQ48" t="e">
        <f>AND(medidas!AD68,"AAAAAF/7L0Q=")</f>
        <v>#VALUE!</v>
      </c>
      <c r="BR48" t="e">
        <f>AND(medidas!AE68,"AAAAAF/7L0U=")</f>
        <v>#VALUE!</v>
      </c>
      <c r="BS48" t="e">
        <f>AND(medidas!AF68,"AAAAAF/7L0Y=")</f>
        <v>#VALUE!</v>
      </c>
      <c r="BT48" t="e">
        <f>AND(medidas!AG68,"AAAAAF/7L0c=")</f>
        <v>#VALUE!</v>
      </c>
      <c r="BU48" t="e">
        <f>AND(medidas!AH68,"AAAAAF/7L0g=")</f>
        <v>#VALUE!</v>
      </c>
      <c r="BV48" t="e">
        <f>AND(medidas!AI68,"AAAAAF/7L0k=")</f>
        <v>#VALUE!</v>
      </c>
      <c r="BW48" t="e">
        <f>AND(medidas!AJ68,"AAAAAF/7L0o=")</f>
        <v>#VALUE!</v>
      </c>
      <c r="BX48" t="e">
        <f>AND(medidas!AK68,"AAAAAF/7L0s=")</f>
        <v>#VALUE!</v>
      </c>
      <c r="BY48" t="e">
        <f>AND(medidas!AL68,"AAAAAF/7L0w=")</f>
        <v>#VALUE!</v>
      </c>
      <c r="BZ48" t="e">
        <f>AND(medidas!AM68,"AAAAAF/7L00=")</f>
        <v>#VALUE!</v>
      </c>
      <c r="CA48" t="e">
        <f>AND(medidas!AN68,"AAAAAF/7L04=")</f>
        <v>#VALUE!</v>
      </c>
      <c r="CB48" t="e">
        <f>AND(medidas!AO68,"AAAAAF/7L08=")</f>
        <v>#VALUE!</v>
      </c>
      <c r="CC48" t="e">
        <f>AND(medidas!AP68,"AAAAAF/7L1A=")</f>
        <v>#VALUE!</v>
      </c>
      <c r="CD48" t="e">
        <f>AND(medidas!AQ68,"AAAAAF/7L1E=")</f>
        <v>#VALUE!</v>
      </c>
      <c r="CE48" t="e">
        <f>AND(medidas!AR68,"AAAAAF/7L1I=")</f>
        <v>#VALUE!</v>
      </c>
      <c r="CF48" t="e">
        <f>AND(medidas!AS68,"AAAAAF/7L1M=")</f>
        <v>#VALUE!</v>
      </c>
      <c r="CG48" t="e">
        <f>AND(medidas!AT68,"AAAAAF/7L1Q=")</f>
        <v>#VALUE!</v>
      </c>
      <c r="CH48" t="e">
        <f>AND(medidas!AU68,"AAAAAF/7L1U=")</f>
        <v>#VALUE!</v>
      </c>
      <c r="CI48" t="e">
        <f>AND(medidas!AV68,"AAAAAF/7L1Y=")</f>
        <v>#VALUE!</v>
      </c>
      <c r="CJ48" t="e">
        <f>AND(medidas!AW68,"AAAAAF/7L1c=")</f>
        <v>#VALUE!</v>
      </c>
      <c r="CK48" t="e">
        <f>AND(medidas!AX68,"AAAAAF/7L1g=")</f>
        <v>#VALUE!</v>
      </c>
      <c r="CL48" t="e">
        <f>AND(medidas!AY68,"AAAAAF/7L1k=")</f>
        <v>#VALUE!</v>
      </c>
      <c r="CM48" t="e">
        <f>AND(medidas!AZ68,"AAAAAF/7L1o=")</f>
        <v>#VALUE!</v>
      </c>
      <c r="CN48" t="e">
        <f>AND(medidas!BA68,"AAAAAF/7L1s=")</f>
        <v>#VALUE!</v>
      </c>
      <c r="CO48" t="e">
        <f>AND(medidas!BB68,"AAAAAF/7L1w=")</f>
        <v>#VALUE!</v>
      </c>
      <c r="CP48" t="e">
        <f>AND(medidas!BC68,"AAAAAF/7L10=")</f>
        <v>#VALUE!</v>
      </c>
      <c r="CQ48" t="e">
        <f>AND(medidas!BD68,"AAAAAF/7L14=")</f>
        <v>#VALUE!</v>
      </c>
      <c r="CR48" t="e">
        <f>AND(medidas!BE68,"AAAAAF/7L18=")</f>
        <v>#VALUE!</v>
      </c>
      <c r="CS48" t="e">
        <f>AND(medidas!BF68,"AAAAAF/7L2A=")</f>
        <v>#VALUE!</v>
      </c>
      <c r="CT48" t="e">
        <f>AND(medidas!BG68,"AAAAAF/7L2E=")</f>
        <v>#VALUE!</v>
      </c>
      <c r="CU48" t="e">
        <f>AND(medidas!BH68,"AAAAAF/7L2I=")</f>
        <v>#VALUE!</v>
      </c>
      <c r="CV48" t="e">
        <f>AND(medidas!BI68,"AAAAAF/7L2M=")</f>
        <v>#VALUE!</v>
      </c>
      <c r="CW48" t="e">
        <f>AND(medidas!BJ68,"AAAAAF/7L2Q=")</f>
        <v>#VALUE!</v>
      </c>
      <c r="CX48" t="e">
        <f>AND(medidas!BK68,"AAAAAF/7L2U=")</f>
        <v>#VALUE!</v>
      </c>
      <c r="CY48" t="e">
        <f>AND(medidas!BL68,"AAAAAF/7L2Y=")</f>
        <v>#VALUE!</v>
      </c>
      <c r="CZ48" t="e">
        <f>AND(medidas!BM68,"AAAAAF/7L2c=")</f>
        <v>#VALUE!</v>
      </c>
      <c r="DA48" t="e">
        <f>AND(medidas!BN68,"AAAAAF/7L2g=")</f>
        <v>#VALUE!</v>
      </c>
      <c r="DB48" t="e">
        <f>AND(medidas!BO68,"AAAAAF/7L2k=")</f>
        <v>#VALUE!</v>
      </c>
      <c r="DC48" t="e">
        <f>AND(medidas!BP68,"AAAAAF/7L2o=")</f>
        <v>#VALUE!</v>
      </c>
      <c r="DD48" t="e">
        <f>AND(medidas!BQ68,"AAAAAF/7L2s=")</f>
        <v>#VALUE!</v>
      </c>
      <c r="DE48" t="e">
        <f>AND(medidas!BR68,"AAAAAF/7L2w=")</f>
        <v>#VALUE!</v>
      </c>
      <c r="DF48" t="e">
        <f>AND(medidas!BS68,"AAAAAF/7L20=")</f>
        <v>#VALUE!</v>
      </c>
      <c r="DG48" t="e">
        <f>AND(medidas!BT68,"AAAAAF/7L24=")</f>
        <v>#VALUE!</v>
      </c>
      <c r="DH48" t="e">
        <f>AND(medidas!BU68,"AAAAAF/7L28=")</f>
        <v>#VALUE!</v>
      </c>
      <c r="DI48" t="e">
        <f>AND(medidas!BV68,"AAAAAF/7L3A=")</f>
        <v>#VALUE!</v>
      </c>
      <c r="DJ48" t="e">
        <f>AND(medidas!BW68,"AAAAAF/7L3E=")</f>
        <v>#VALUE!</v>
      </c>
      <c r="DK48" t="e">
        <f>AND(medidas!BX68,"AAAAAF/7L3I=")</f>
        <v>#VALUE!</v>
      </c>
      <c r="DL48" t="e">
        <f>AND(medidas!BY68,"AAAAAF/7L3M=")</f>
        <v>#VALUE!</v>
      </c>
      <c r="DM48">
        <f>IF(medidas!69:69,"AAAAAF/7L3Q=",0)</f>
        <v>0</v>
      </c>
      <c r="DN48" t="e">
        <f>AND(medidas!B69,"AAAAAF/7L3U=")</f>
        <v>#VALUE!</v>
      </c>
      <c r="DO48" t="e">
        <f>AND(medidas!C69,"AAAAAF/7L3Y=")</f>
        <v>#VALUE!</v>
      </c>
      <c r="DP48" t="e">
        <f>AND(medidas!D69,"AAAAAF/7L3c=")</f>
        <v>#VALUE!</v>
      </c>
      <c r="DQ48" t="e">
        <f>AND(medidas!E69,"AAAAAF/7L3g=")</f>
        <v>#VALUE!</v>
      </c>
      <c r="DR48" t="e">
        <f>AND(medidas!F69,"AAAAAF/7L3k=")</f>
        <v>#VALUE!</v>
      </c>
      <c r="DS48" t="e">
        <f>AND(medidas!G69,"AAAAAF/7L3o=")</f>
        <v>#VALUE!</v>
      </c>
      <c r="DT48" t="e">
        <f>AND(medidas!H69,"AAAAAF/7L3s=")</f>
        <v>#VALUE!</v>
      </c>
      <c r="DU48" t="e">
        <f>AND(medidas!I69,"AAAAAF/7L3w=")</f>
        <v>#VALUE!</v>
      </c>
      <c r="DV48" t="e">
        <f>AND(medidas!J69,"AAAAAF/7L30=")</f>
        <v>#VALUE!</v>
      </c>
      <c r="DW48" t="e">
        <f>AND(medidas!K69,"AAAAAF/7L34=")</f>
        <v>#VALUE!</v>
      </c>
      <c r="DX48" t="e">
        <f>AND(medidas!L69,"AAAAAF/7L38=")</f>
        <v>#VALUE!</v>
      </c>
      <c r="DY48" t="e">
        <f>AND(medidas!M69,"AAAAAF/7L4A=")</f>
        <v>#VALUE!</v>
      </c>
      <c r="DZ48" t="e">
        <f>AND(medidas!N69,"AAAAAF/7L4E=")</f>
        <v>#VALUE!</v>
      </c>
      <c r="EA48" t="e">
        <f>AND(medidas!O69,"AAAAAF/7L4I=")</f>
        <v>#VALUE!</v>
      </c>
      <c r="EB48" t="e">
        <f>AND(medidas!P69,"AAAAAF/7L4M=")</f>
        <v>#VALUE!</v>
      </c>
      <c r="EC48" t="e">
        <f>AND(medidas!Q69,"AAAAAF/7L4Q=")</f>
        <v>#VALUE!</v>
      </c>
      <c r="ED48" t="e">
        <f>AND(medidas!R69,"AAAAAF/7L4U=")</f>
        <v>#VALUE!</v>
      </c>
      <c r="EE48" t="e">
        <f>AND(medidas!S69,"AAAAAF/7L4Y=")</f>
        <v>#VALUE!</v>
      </c>
      <c r="EF48" t="e">
        <f>AND(medidas!T69,"AAAAAF/7L4c=")</f>
        <v>#VALUE!</v>
      </c>
      <c r="EG48" t="e">
        <f>AND(medidas!U69,"AAAAAF/7L4g=")</f>
        <v>#VALUE!</v>
      </c>
      <c r="EH48" t="e">
        <f>AND(medidas!V69,"AAAAAF/7L4k=")</f>
        <v>#VALUE!</v>
      </c>
      <c r="EI48" t="e">
        <f>AND(medidas!W69,"AAAAAF/7L4o=")</f>
        <v>#VALUE!</v>
      </c>
      <c r="EJ48" t="e">
        <f>AND(medidas!X69,"AAAAAF/7L4s=")</f>
        <v>#VALUE!</v>
      </c>
      <c r="EK48" t="e">
        <f>AND(medidas!Y69,"AAAAAF/7L4w=")</f>
        <v>#VALUE!</v>
      </c>
      <c r="EL48" t="e">
        <f>AND(medidas!Z69,"AAAAAF/7L40=")</f>
        <v>#VALUE!</v>
      </c>
      <c r="EM48" t="e">
        <f>AND(medidas!AA69,"AAAAAF/7L44=")</f>
        <v>#VALUE!</v>
      </c>
      <c r="EN48" t="e">
        <f>AND(medidas!AB69,"AAAAAF/7L48=")</f>
        <v>#VALUE!</v>
      </c>
      <c r="EO48" t="e">
        <f>AND(medidas!AC69,"AAAAAF/7L5A=")</f>
        <v>#VALUE!</v>
      </c>
      <c r="EP48" t="e">
        <f>AND(medidas!AD69,"AAAAAF/7L5E=")</f>
        <v>#VALUE!</v>
      </c>
      <c r="EQ48" t="e">
        <f>AND(medidas!AE69,"AAAAAF/7L5I=")</f>
        <v>#VALUE!</v>
      </c>
      <c r="ER48" t="e">
        <f>AND(medidas!AF69,"AAAAAF/7L5M=")</f>
        <v>#VALUE!</v>
      </c>
      <c r="ES48" t="e">
        <f>AND(medidas!AG69,"AAAAAF/7L5Q=")</f>
        <v>#VALUE!</v>
      </c>
      <c r="ET48" t="e">
        <f>AND(medidas!AH69,"AAAAAF/7L5U=")</f>
        <v>#VALUE!</v>
      </c>
      <c r="EU48" t="e">
        <f>AND(medidas!AI69,"AAAAAF/7L5Y=")</f>
        <v>#VALUE!</v>
      </c>
      <c r="EV48" t="e">
        <f>AND(medidas!AJ69,"AAAAAF/7L5c=")</f>
        <v>#VALUE!</v>
      </c>
      <c r="EW48" t="e">
        <f>AND(medidas!AK69,"AAAAAF/7L5g=")</f>
        <v>#VALUE!</v>
      </c>
      <c r="EX48" t="e">
        <f>AND(medidas!AL69,"AAAAAF/7L5k=")</f>
        <v>#VALUE!</v>
      </c>
      <c r="EY48" t="e">
        <f>AND(medidas!AM69,"AAAAAF/7L5o=")</f>
        <v>#VALUE!</v>
      </c>
      <c r="EZ48" t="e">
        <f>AND(medidas!AN69,"AAAAAF/7L5s=")</f>
        <v>#VALUE!</v>
      </c>
      <c r="FA48" t="e">
        <f>AND(medidas!AO69,"AAAAAF/7L5w=")</f>
        <v>#VALUE!</v>
      </c>
      <c r="FB48" t="e">
        <f>AND(medidas!AP69,"AAAAAF/7L50=")</f>
        <v>#VALUE!</v>
      </c>
      <c r="FC48" t="e">
        <f>AND(medidas!AQ69,"AAAAAF/7L54=")</f>
        <v>#VALUE!</v>
      </c>
      <c r="FD48" t="e">
        <f>AND(medidas!AR69,"AAAAAF/7L58=")</f>
        <v>#VALUE!</v>
      </c>
      <c r="FE48" t="e">
        <f>AND(medidas!AS69,"AAAAAF/7L6A=")</f>
        <v>#VALUE!</v>
      </c>
      <c r="FF48" t="e">
        <f>AND(medidas!AT69,"AAAAAF/7L6E=")</f>
        <v>#VALUE!</v>
      </c>
      <c r="FG48" t="e">
        <f>AND(medidas!AU69,"AAAAAF/7L6I=")</f>
        <v>#VALUE!</v>
      </c>
      <c r="FH48" t="e">
        <f>AND(medidas!AV69,"AAAAAF/7L6M=")</f>
        <v>#VALUE!</v>
      </c>
      <c r="FI48" t="e">
        <f>AND(medidas!AW69,"AAAAAF/7L6Q=")</f>
        <v>#VALUE!</v>
      </c>
      <c r="FJ48" t="e">
        <f>AND(medidas!AX69,"AAAAAF/7L6U=")</f>
        <v>#VALUE!</v>
      </c>
      <c r="FK48" t="e">
        <f>AND(medidas!AY69,"AAAAAF/7L6Y=")</f>
        <v>#VALUE!</v>
      </c>
      <c r="FL48" t="e">
        <f>AND(medidas!AZ69,"AAAAAF/7L6c=")</f>
        <v>#VALUE!</v>
      </c>
      <c r="FM48" t="e">
        <f>AND(medidas!BA69,"AAAAAF/7L6g=")</f>
        <v>#VALUE!</v>
      </c>
      <c r="FN48" t="e">
        <f>AND(medidas!BB69,"AAAAAF/7L6k=")</f>
        <v>#VALUE!</v>
      </c>
      <c r="FO48" t="e">
        <f>AND(medidas!BC69,"AAAAAF/7L6o=")</f>
        <v>#VALUE!</v>
      </c>
      <c r="FP48" t="e">
        <f>AND(medidas!BD69,"AAAAAF/7L6s=")</f>
        <v>#VALUE!</v>
      </c>
      <c r="FQ48" t="e">
        <f>AND(medidas!BE69,"AAAAAF/7L6w=")</f>
        <v>#VALUE!</v>
      </c>
      <c r="FR48" t="e">
        <f>AND(medidas!BF69,"AAAAAF/7L60=")</f>
        <v>#VALUE!</v>
      </c>
      <c r="FS48" t="e">
        <f>AND(medidas!BG69,"AAAAAF/7L64=")</f>
        <v>#VALUE!</v>
      </c>
      <c r="FT48" t="e">
        <f>AND(medidas!BH69,"AAAAAF/7L68=")</f>
        <v>#VALUE!</v>
      </c>
      <c r="FU48" t="e">
        <f>AND(medidas!BI69,"AAAAAF/7L7A=")</f>
        <v>#VALUE!</v>
      </c>
      <c r="FV48" t="e">
        <f>AND(medidas!BJ69,"AAAAAF/7L7E=")</f>
        <v>#VALUE!</v>
      </c>
      <c r="FW48" t="e">
        <f>AND(medidas!BK69,"AAAAAF/7L7I=")</f>
        <v>#VALUE!</v>
      </c>
      <c r="FX48" t="e">
        <f>AND(medidas!BL69,"AAAAAF/7L7M=")</f>
        <v>#VALUE!</v>
      </c>
      <c r="FY48" t="e">
        <f>AND(medidas!BM69,"AAAAAF/7L7Q=")</f>
        <v>#VALUE!</v>
      </c>
      <c r="FZ48" t="e">
        <f>AND(medidas!BN69,"AAAAAF/7L7U=")</f>
        <v>#VALUE!</v>
      </c>
      <c r="GA48" t="e">
        <f>AND(medidas!BO69,"AAAAAF/7L7Y=")</f>
        <v>#VALUE!</v>
      </c>
      <c r="GB48" t="e">
        <f>AND(medidas!BP69,"AAAAAF/7L7c=")</f>
        <v>#VALUE!</v>
      </c>
      <c r="GC48" t="e">
        <f>AND(medidas!BQ69,"AAAAAF/7L7g=")</f>
        <v>#VALUE!</v>
      </c>
      <c r="GD48" t="e">
        <f>AND(medidas!BR69,"AAAAAF/7L7k=")</f>
        <v>#VALUE!</v>
      </c>
      <c r="GE48" t="e">
        <f>AND(medidas!BS69,"AAAAAF/7L7o=")</f>
        <v>#VALUE!</v>
      </c>
      <c r="GF48" t="e">
        <f>AND(medidas!BT69,"AAAAAF/7L7s=")</f>
        <v>#VALUE!</v>
      </c>
      <c r="GG48" t="e">
        <f>AND(medidas!BU69,"AAAAAF/7L7w=")</f>
        <v>#VALUE!</v>
      </c>
      <c r="GH48" t="e">
        <f>AND(medidas!BV69,"AAAAAF/7L70=")</f>
        <v>#VALUE!</v>
      </c>
      <c r="GI48" t="e">
        <f>AND(medidas!BW69,"AAAAAF/7L74=")</f>
        <v>#VALUE!</v>
      </c>
      <c r="GJ48" t="e">
        <f>AND(medidas!BX69,"AAAAAF/7L78=")</f>
        <v>#VALUE!</v>
      </c>
      <c r="GK48" t="e">
        <f>AND(medidas!BY69,"AAAAAF/7L8A=")</f>
        <v>#VALUE!</v>
      </c>
      <c r="GL48">
        <f>IF(medidas!70:70,"AAAAAF/7L8E=",0)</f>
        <v>0</v>
      </c>
      <c r="GM48" t="e">
        <f>AND(medidas!B70,"AAAAAF/7L8I=")</f>
        <v>#VALUE!</v>
      </c>
      <c r="GN48" t="e">
        <f>AND(medidas!C70,"AAAAAF/7L8M=")</f>
        <v>#VALUE!</v>
      </c>
      <c r="GO48" t="e">
        <f>AND(medidas!D70,"AAAAAF/7L8Q=")</f>
        <v>#VALUE!</v>
      </c>
      <c r="GP48" t="e">
        <f>AND(medidas!E70,"AAAAAF/7L8U=")</f>
        <v>#VALUE!</v>
      </c>
      <c r="GQ48" t="e">
        <f>AND(medidas!F70,"AAAAAF/7L8Y=")</f>
        <v>#VALUE!</v>
      </c>
      <c r="GR48" t="e">
        <f>AND(medidas!G70,"AAAAAF/7L8c=")</f>
        <v>#VALUE!</v>
      </c>
      <c r="GS48" t="e">
        <f>AND(medidas!H70,"AAAAAF/7L8g=")</f>
        <v>#VALUE!</v>
      </c>
      <c r="GT48" t="e">
        <f>AND(medidas!I70,"AAAAAF/7L8k=")</f>
        <v>#VALUE!</v>
      </c>
      <c r="GU48" t="e">
        <f>AND(medidas!J70,"AAAAAF/7L8o=")</f>
        <v>#VALUE!</v>
      </c>
      <c r="GV48" t="e">
        <f>AND(medidas!K70,"AAAAAF/7L8s=")</f>
        <v>#VALUE!</v>
      </c>
      <c r="GW48" t="e">
        <f>AND(medidas!L70,"AAAAAF/7L8w=")</f>
        <v>#VALUE!</v>
      </c>
      <c r="GX48" t="e">
        <f>AND(medidas!M70,"AAAAAF/7L80=")</f>
        <v>#VALUE!</v>
      </c>
      <c r="GY48" t="e">
        <f>AND(medidas!N70,"AAAAAF/7L84=")</f>
        <v>#VALUE!</v>
      </c>
      <c r="GZ48" t="e">
        <f>AND(medidas!O70,"AAAAAF/7L88=")</f>
        <v>#VALUE!</v>
      </c>
      <c r="HA48" t="e">
        <f>AND(medidas!P70,"AAAAAF/7L9A=")</f>
        <v>#VALUE!</v>
      </c>
      <c r="HB48" t="e">
        <f>AND(medidas!Q70,"AAAAAF/7L9E=")</f>
        <v>#VALUE!</v>
      </c>
      <c r="HC48" t="e">
        <f>AND(medidas!R70,"AAAAAF/7L9I=")</f>
        <v>#VALUE!</v>
      </c>
      <c r="HD48" t="e">
        <f>AND(medidas!S70,"AAAAAF/7L9M=")</f>
        <v>#VALUE!</v>
      </c>
      <c r="HE48" t="e">
        <f>AND(medidas!T70,"AAAAAF/7L9Q=")</f>
        <v>#VALUE!</v>
      </c>
      <c r="HF48" t="e">
        <f>AND(medidas!U70,"AAAAAF/7L9U=")</f>
        <v>#VALUE!</v>
      </c>
      <c r="HG48" t="e">
        <f>AND(medidas!V70,"AAAAAF/7L9Y=")</f>
        <v>#VALUE!</v>
      </c>
      <c r="HH48" t="e">
        <f>AND(medidas!W70,"AAAAAF/7L9c=")</f>
        <v>#VALUE!</v>
      </c>
      <c r="HI48" t="e">
        <f>AND(medidas!X70,"AAAAAF/7L9g=")</f>
        <v>#VALUE!</v>
      </c>
      <c r="HJ48" t="e">
        <f>AND(medidas!Y70,"AAAAAF/7L9k=")</f>
        <v>#VALUE!</v>
      </c>
      <c r="HK48" t="e">
        <f>AND(medidas!Z70,"AAAAAF/7L9o=")</f>
        <v>#VALUE!</v>
      </c>
      <c r="HL48" t="e">
        <f>AND(medidas!AA70,"AAAAAF/7L9s=")</f>
        <v>#VALUE!</v>
      </c>
      <c r="HM48" t="e">
        <f>AND(medidas!AB70,"AAAAAF/7L9w=")</f>
        <v>#VALUE!</v>
      </c>
      <c r="HN48" t="e">
        <f>AND(medidas!AC70,"AAAAAF/7L90=")</f>
        <v>#VALUE!</v>
      </c>
      <c r="HO48" t="e">
        <f>AND(medidas!AD70,"AAAAAF/7L94=")</f>
        <v>#VALUE!</v>
      </c>
      <c r="HP48" t="e">
        <f>AND(medidas!AE70,"AAAAAF/7L98=")</f>
        <v>#VALUE!</v>
      </c>
      <c r="HQ48" t="e">
        <f>AND(medidas!AF70,"AAAAAF/7L+A=")</f>
        <v>#VALUE!</v>
      </c>
      <c r="HR48" t="e">
        <f>AND(medidas!AG70,"AAAAAF/7L+E=")</f>
        <v>#VALUE!</v>
      </c>
      <c r="HS48" t="e">
        <f>AND(medidas!AH70,"AAAAAF/7L+I=")</f>
        <v>#VALUE!</v>
      </c>
      <c r="HT48" t="e">
        <f>AND(medidas!AI70,"AAAAAF/7L+M=")</f>
        <v>#VALUE!</v>
      </c>
      <c r="HU48" t="e">
        <f>AND(medidas!AJ70,"AAAAAF/7L+Q=")</f>
        <v>#VALUE!</v>
      </c>
      <c r="HV48" t="e">
        <f>AND(medidas!AK70,"AAAAAF/7L+U=")</f>
        <v>#VALUE!</v>
      </c>
      <c r="HW48" t="e">
        <f>AND(medidas!AL70,"AAAAAF/7L+Y=")</f>
        <v>#VALUE!</v>
      </c>
      <c r="HX48" t="e">
        <f>AND(medidas!AM70,"AAAAAF/7L+c=")</f>
        <v>#VALUE!</v>
      </c>
      <c r="HY48" t="e">
        <f>AND(medidas!AN70,"AAAAAF/7L+g=")</f>
        <v>#VALUE!</v>
      </c>
      <c r="HZ48" t="e">
        <f>AND(medidas!AO70,"AAAAAF/7L+k=")</f>
        <v>#VALUE!</v>
      </c>
      <c r="IA48" t="e">
        <f>AND(medidas!AP70,"AAAAAF/7L+o=")</f>
        <v>#VALUE!</v>
      </c>
      <c r="IB48" t="e">
        <f>AND(medidas!AQ70,"AAAAAF/7L+s=")</f>
        <v>#VALUE!</v>
      </c>
      <c r="IC48" t="e">
        <f>AND(medidas!AR70,"AAAAAF/7L+w=")</f>
        <v>#VALUE!</v>
      </c>
      <c r="ID48" t="e">
        <f>AND(medidas!AS70,"AAAAAF/7L+0=")</f>
        <v>#VALUE!</v>
      </c>
      <c r="IE48" t="e">
        <f>AND(medidas!AT70,"AAAAAF/7L+4=")</f>
        <v>#VALUE!</v>
      </c>
      <c r="IF48" t="e">
        <f>AND(medidas!AU70,"AAAAAF/7L+8=")</f>
        <v>#VALUE!</v>
      </c>
      <c r="IG48" t="e">
        <f>AND(medidas!AV70,"AAAAAF/7L/A=")</f>
        <v>#VALUE!</v>
      </c>
      <c r="IH48" t="e">
        <f>AND(medidas!AW70,"AAAAAF/7L/E=")</f>
        <v>#VALUE!</v>
      </c>
      <c r="II48" t="e">
        <f>AND(medidas!AX70,"AAAAAF/7L/I=")</f>
        <v>#VALUE!</v>
      </c>
      <c r="IJ48" t="e">
        <f>AND(medidas!AY70,"AAAAAF/7L/M=")</f>
        <v>#VALUE!</v>
      </c>
      <c r="IK48" t="e">
        <f>AND(medidas!AZ70,"AAAAAF/7L/Q=")</f>
        <v>#VALUE!</v>
      </c>
      <c r="IL48" t="e">
        <f>AND(medidas!BA70,"AAAAAF/7L/U=")</f>
        <v>#VALUE!</v>
      </c>
      <c r="IM48" t="e">
        <f>AND(medidas!BB70,"AAAAAF/7L/Y=")</f>
        <v>#VALUE!</v>
      </c>
      <c r="IN48" t="e">
        <f>AND(medidas!BC70,"AAAAAF/7L/c=")</f>
        <v>#VALUE!</v>
      </c>
      <c r="IO48" t="e">
        <f>AND(medidas!BD70,"AAAAAF/7L/g=")</f>
        <v>#VALUE!</v>
      </c>
      <c r="IP48" t="e">
        <f>AND(medidas!BE70,"AAAAAF/7L/k=")</f>
        <v>#VALUE!</v>
      </c>
      <c r="IQ48" t="e">
        <f>AND(medidas!BF70,"AAAAAF/7L/o=")</f>
        <v>#VALUE!</v>
      </c>
      <c r="IR48" t="e">
        <f>AND(medidas!BG70,"AAAAAF/7L/s=")</f>
        <v>#VALUE!</v>
      </c>
      <c r="IS48" t="e">
        <f>AND(medidas!BH70,"AAAAAF/7L/w=")</f>
        <v>#VALUE!</v>
      </c>
      <c r="IT48" t="e">
        <f>AND(medidas!BI70,"AAAAAF/7L/0=")</f>
        <v>#VALUE!</v>
      </c>
      <c r="IU48" t="e">
        <f>AND(medidas!BJ70,"AAAAAF/7L/4=")</f>
        <v>#VALUE!</v>
      </c>
      <c r="IV48" t="e">
        <f>AND(medidas!BK70,"AAAAAF/7L/8=")</f>
        <v>#VALUE!</v>
      </c>
    </row>
    <row r="49" spans="1:256" x14ac:dyDescent="0.2">
      <c r="A49" t="e">
        <f>AND(medidas!BL70,"AAAAAH//rwA=")</f>
        <v>#VALUE!</v>
      </c>
      <c r="B49" t="e">
        <f>AND(medidas!BM70,"AAAAAH//rwE=")</f>
        <v>#VALUE!</v>
      </c>
      <c r="C49" t="e">
        <f>AND(medidas!BN70,"AAAAAH//rwI=")</f>
        <v>#VALUE!</v>
      </c>
      <c r="D49" t="e">
        <f>AND(medidas!BO70,"AAAAAH//rwM=")</f>
        <v>#VALUE!</v>
      </c>
      <c r="E49" t="e">
        <f>AND(medidas!BP70,"AAAAAH//rwQ=")</f>
        <v>#VALUE!</v>
      </c>
      <c r="F49" t="e">
        <f>AND(medidas!BQ70,"AAAAAH//rwU=")</f>
        <v>#VALUE!</v>
      </c>
      <c r="G49" t="e">
        <f>AND(medidas!BR70,"AAAAAH//rwY=")</f>
        <v>#VALUE!</v>
      </c>
      <c r="H49" t="e">
        <f>AND(medidas!BS70,"AAAAAH//rwc=")</f>
        <v>#VALUE!</v>
      </c>
      <c r="I49" t="e">
        <f>AND(medidas!BT70,"AAAAAH//rwg=")</f>
        <v>#VALUE!</v>
      </c>
      <c r="J49" t="e">
        <f>AND(medidas!BU70,"AAAAAH//rwk=")</f>
        <v>#VALUE!</v>
      </c>
      <c r="K49" t="e">
        <f>AND(medidas!BV70,"AAAAAH//rwo=")</f>
        <v>#VALUE!</v>
      </c>
      <c r="L49" t="e">
        <f>AND(medidas!BW70,"AAAAAH//rws=")</f>
        <v>#VALUE!</v>
      </c>
      <c r="M49" t="e">
        <f>AND(medidas!BX70,"AAAAAH//rww=")</f>
        <v>#VALUE!</v>
      </c>
      <c r="N49" t="e">
        <f>AND(medidas!BY70,"AAAAAH//rw0=")</f>
        <v>#VALUE!</v>
      </c>
      <c r="O49">
        <f>IF(medidas!71:71,"AAAAAH//rw4=",0)</f>
        <v>0</v>
      </c>
      <c r="P49" t="e">
        <f>AND(medidas!B71,"AAAAAH//rw8=")</f>
        <v>#VALUE!</v>
      </c>
      <c r="Q49" t="e">
        <f>AND(medidas!C71,"AAAAAH//rxA=")</f>
        <v>#VALUE!</v>
      </c>
      <c r="R49" t="e">
        <f>AND(medidas!D71,"AAAAAH//rxE=")</f>
        <v>#VALUE!</v>
      </c>
      <c r="S49" t="e">
        <f>AND(medidas!E71,"AAAAAH//rxI=")</f>
        <v>#VALUE!</v>
      </c>
      <c r="T49" t="e">
        <f>AND(medidas!F71,"AAAAAH//rxM=")</f>
        <v>#VALUE!</v>
      </c>
      <c r="U49" t="e">
        <f>AND(medidas!G71,"AAAAAH//rxQ=")</f>
        <v>#VALUE!</v>
      </c>
      <c r="V49" t="e">
        <f>AND(medidas!H71,"AAAAAH//rxU=")</f>
        <v>#VALUE!</v>
      </c>
      <c r="W49" t="e">
        <f>AND(medidas!I71,"AAAAAH//rxY=")</f>
        <v>#VALUE!</v>
      </c>
      <c r="X49" t="e">
        <f>AND(medidas!J71,"AAAAAH//rxc=")</f>
        <v>#VALUE!</v>
      </c>
      <c r="Y49" t="e">
        <f>AND(medidas!K71,"AAAAAH//rxg=")</f>
        <v>#VALUE!</v>
      </c>
      <c r="Z49" t="e">
        <f>AND(medidas!L71,"AAAAAH//rxk=")</f>
        <v>#VALUE!</v>
      </c>
      <c r="AA49" t="e">
        <f>AND(medidas!M71,"AAAAAH//rxo=")</f>
        <v>#VALUE!</v>
      </c>
      <c r="AB49" t="e">
        <f>AND(medidas!N71,"AAAAAH//rxs=")</f>
        <v>#VALUE!</v>
      </c>
      <c r="AC49" t="e">
        <f>AND(medidas!O71,"AAAAAH//rxw=")</f>
        <v>#VALUE!</v>
      </c>
      <c r="AD49" t="e">
        <f>AND(medidas!P71,"AAAAAH//rx0=")</f>
        <v>#VALUE!</v>
      </c>
      <c r="AE49" t="e">
        <f>AND(medidas!Q71,"AAAAAH//rx4=")</f>
        <v>#VALUE!</v>
      </c>
      <c r="AF49" t="e">
        <f>AND(medidas!R71,"AAAAAH//rx8=")</f>
        <v>#VALUE!</v>
      </c>
      <c r="AG49" t="e">
        <f>AND(medidas!S71,"AAAAAH//ryA=")</f>
        <v>#VALUE!</v>
      </c>
      <c r="AH49" t="e">
        <f>AND(medidas!T71,"AAAAAH//ryE=")</f>
        <v>#VALUE!</v>
      </c>
      <c r="AI49" t="e">
        <f>AND(medidas!U71,"AAAAAH//ryI=")</f>
        <v>#VALUE!</v>
      </c>
      <c r="AJ49" t="e">
        <f>AND(medidas!V71,"AAAAAH//ryM=")</f>
        <v>#VALUE!</v>
      </c>
      <c r="AK49" t="e">
        <f>AND(medidas!W71,"AAAAAH//ryQ=")</f>
        <v>#VALUE!</v>
      </c>
      <c r="AL49" t="e">
        <f>AND(medidas!X71,"AAAAAH//ryU=")</f>
        <v>#VALUE!</v>
      </c>
      <c r="AM49" t="e">
        <f>AND(medidas!Y71,"AAAAAH//ryY=")</f>
        <v>#VALUE!</v>
      </c>
      <c r="AN49" t="e">
        <f>AND(medidas!Z71,"AAAAAH//ryc=")</f>
        <v>#VALUE!</v>
      </c>
      <c r="AO49" t="e">
        <f>AND(medidas!AA71,"AAAAAH//ryg=")</f>
        <v>#VALUE!</v>
      </c>
      <c r="AP49" t="e">
        <f>AND(medidas!AB71,"AAAAAH//ryk=")</f>
        <v>#VALUE!</v>
      </c>
      <c r="AQ49" t="e">
        <f>AND(medidas!AC71,"AAAAAH//ryo=")</f>
        <v>#VALUE!</v>
      </c>
      <c r="AR49" t="e">
        <f>AND(medidas!AD71,"AAAAAH//rys=")</f>
        <v>#VALUE!</v>
      </c>
      <c r="AS49" t="e">
        <f>AND(medidas!AE71,"AAAAAH//ryw=")</f>
        <v>#VALUE!</v>
      </c>
      <c r="AT49" t="e">
        <f>AND(medidas!AF71,"AAAAAH//ry0=")</f>
        <v>#VALUE!</v>
      </c>
      <c r="AU49" t="e">
        <f>AND(medidas!AG71,"AAAAAH//ry4=")</f>
        <v>#VALUE!</v>
      </c>
      <c r="AV49" t="e">
        <f>AND(medidas!AH71,"AAAAAH//ry8=")</f>
        <v>#VALUE!</v>
      </c>
      <c r="AW49" t="e">
        <f>AND(medidas!AI71,"AAAAAH//rzA=")</f>
        <v>#VALUE!</v>
      </c>
      <c r="AX49" t="e">
        <f>AND(medidas!AJ71,"AAAAAH//rzE=")</f>
        <v>#VALUE!</v>
      </c>
      <c r="AY49" t="e">
        <f>AND(medidas!AK71,"AAAAAH//rzI=")</f>
        <v>#VALUE!</v>
      </c>
      <c r="AZ49" t="e">
        <f>AND(medidas!AL71,"AAAAAH//rzM=")</f>
        <v>#VALUE!</v>
      </c>
      <c r="BA49" t="e">
        <f>AND(medidas!AM71,"AAAAAH//rzQ=")</f>
        <v>#VALUE!</v>
      </c>
      <c r="BB49" t="e">
        <f>AND(medidas!AN71,"AAAAAH//rzU=")</f>
        <v>#VALUE!</v>
      </c>
      <c r="BC49" t="e">
        <f>AND(medidas!AO71,"AAAAAH//rzY=")</f>
        <v>#VALUE!</v>
      </c>
      <c r="BD49" t="e">
        <f>AND(medidas!AP71,"AAAAAH//rzc=")</f>
        <v>#VALUE!</v>
      </c>
      <c r="BE49" t="e">
        <f>AND(medidas!AQ71,"AAAAAH//rzg=")</f>
        <v>#VALUE!</v>
      </c>
      <c r="BF49" t="e">
        <f>AND(medidas!AR71,"AAAAAH//rzk=")</f>
        <v>#VALUE!</v>
      </c>
      <c r="BG49" t="e">
        <f>AND(medidas!AS71,"AAAAAH//rzo=")</f>
        <v>#VALUE!</v>
      </c>
      <c r="BH49" t="e">
        <f>AND(medidas!AT71,"AAAAAH//rzs=")</f>
        <v>#VALUE!</v>
      </c>
      <c r="BI49" t="e">
        <f>AND(medidas!AU71,"AAAAAH//rzw=")</f>
        <v>#VALUE!</v>
      </c>
      <c r="BJ49" t="e">
        <f>AND(medidas!AV71,"AAAAAH//rz0=")</f>
        <v>#VALUE!</v>
      </c>
      <c r="BK49" t="e">
        <f>AND(medidas!AW71,"AAAAAH//rz4=")</f>
        <v>#VALUE!</v>
      </c>
      <c r="BL49" t="e">
        <f>AND(medidas!AX71,"AAAAAH//rz8=")</f>
        <v>#VALUE!</v>
      </c>
      <c r="BM49" t="e">
        <f>AND(medidas!AY71,"AAAAAH//r0A=")</f>
        <v>#VALUE!</v>
      </c>
      <c r="BN49" t="e">
        <f>AND(medidas!AZ71,"AAAAAH//r0E=")</f>
        <v>#VALUE!</v>
      </c>
      <c r="BO49" t="e">
        <f>AND(medidas!BA71,"AAAAAH//r0I=")</f>
        <v>#VALUE!</v>
      </c>
      <c r="BP49" t="e">
        <f>AND(medidas!BB71,"AAAAAH//r0M=")</f>
        <v>#VALUE!</v>
      </c>
      <c r="BQ49" t="e">
        <f>AND(medidas!BC71,"AAAAAH//r0Q=")</f>
        <v>#VALUE!</v>
      </c>
      <c r="BR49" t="e">
        <f>AND(medidas!BD71,"AAAAAH//r0U=")</f>
        <v>#VALUE!</v>
      </c>
      <c r="BS49" t="e">
        <f>AND(medidas!BE71,"AAAAAH//r0Y=")</f>
        <v>#VALUE!</v>
      </c>
      <c r="BT49" t="e">
        <f>AND(medidas!BF71,"AAAAAH//r0c=")</f>
        <v>#VALUE!</v>
      </c>
      <c r="BU49" t="e">
        <f>AND(medidas!BG71,"AAAAAH//r0g=")</f>
        <v>#VALUE!</v>
      </c>
      <c r="BV49" t="e">
        <f>AND(medidas!BH71,"AAAAAH//r0k=")</f>
        <v>#VALUE!</v>
      </c>
      <c r="BW49" t="e">
        <f>AND(medidas!BI71,"AAAAAH//r0o=")</f>
        <v>#VALUE!</v>
      </c>
      <c r="BX49" t="e">
        <f>AND(medidas!BJ71,"AAAAAH//r0s=")</f>
        <v>#VALUE!</v>
      </c>
      <c r="BY49" t="e">
        <f>AND(medidas!BK71,"AAAAAH//r0w=")</f>
        <v>#VALUE!</v>
      </c>
      <c r="BZ49" t="e">
        <f>AND(medidas!BL71,"AAAAAH//r00=")</f>
        <v>#VALUE!</v>
      </c>
      <c r="CA49" t="e">
        <f>AND(medidas!BM71,"AAAAAH//r04=")</f>
        <v>#VALUE!</v>
      </c>
      <c r="CB49" t="e">
        <f>AND(medidas!BN71,"AAAAAH//r08=")</f>
        <v>#VALUE!</v>
      </c>
      <c r="CC49" t="e">
        <f>AND(medidas!BO71,"AAAAAH//r1A=")</f>
        <v>#VALUE!</v>
      </c>
      <c r="CD49" t="e">
        <f>AND(medidas!BP71,"AAAAAH//r1E=")</f>
        <v>#VALUE!</v>
      </c>
      <c r="CE49" t="e">
        <f>AND(medidas!BQ71,"AAAAAH//r1I=")</f>
        <v>#VALUE!</v>
      </c>
      <c r="CF49" t="e">
        <f>AND(medidas!BR71,"AAAAAH//r1M=")</f>
        <v>#VALUE!</v>
      </c>
      <c r="CG49" t="e">
        <f>AND(medidas!BS71,"AAAAAH//r1Q=")</f>
        <v>#VALUE!</v>
      </c>
      <c r="CH49" t="e">
        <f>AND(medidas!BT71,"AAAAAH//r1U=")</f>
        <v>#VALUE!</v>
      </c>
      <c r="CI49" t="e">
        <f>AND(medidas!BU71,"AAAAAH//r1Y=")</f>
        <v>#VALUE!</v>
      </c>
      <c r="CJ49" t="e">
        <f>AND(medidas!BV71,"AAAAAH//r1c=")</f>
        <v>#VALUE!</v>
      </c>
      <c r="CK49" t="e">
        <f>AND(medidas!BW71,"AAAAAH//r1g=")</f>
        <v>#VALUE!</v>
      </c>
      <c r="CL49" t="e">
        <f>AND(medidas!BX71,"AAAAAH//r1k=")</f>
        <v>#VALUE!</v>
      </c>
      <c r="CM49" t="e">
        <f>AND(medidas!BY71,"AAAAAH//r1o=")</f>
        <v>#VALUE!</v>
      </c>
      <c r="CN49">
        <f>IF(medidas!72:72,"AAAAAH//r1s=",0)</f>
        <v>0</v>
      </c>
      <c r="CO49" t="e">
        <f>AND(medidas!B72,"AAAAAH//r1w=")</f>
        <v>#VALUE!</v>
      </c>
      <c r="CP49" t="e">
        <f>AND(medidas!C72,"AAAAAH//r10=")</f>
        <v>#VALUE!</v>
      </c>
      <c r="CQ49" t="e">
        <f>AND(medidas!D72,"AAAAAH//r14=")</f>
        <v>#VALUE!</v>
      </c>
      <c r="CR49" t="e">
        <f>AND(medidas!E72,"AAAAAH//r18=")</f>
        <v>#VALUE!</v>
      </c>
      <c r="CS49" t="e">
        <f>AND(medidas!F72,"AAAAAH//r2A=")</f>
        <v>#VALUE!</v>
      </c>
      <c r="CT49" t="e">
        <f>AND(medidas!G72,"AAAAAH//r2E=")</f>
        <v>#VALUE!</v>
      </c>
      <c r="CU49" t="e">
        <f>AND(medidas!H72,"AAAAAH//r2I=")</f>
        <v>#VALUE!</v>
      </c>
      <c r="CV49" t="e">
        <f>AND(medidas!I72,"AAAAAH//r2M=")</f>
        <v>#VALUE!</v>
      </c>
      <c r="CW49" t="e">
        <f>AND(medidas!J72,"AAAAAH//r2Q=")</f>
        <v>#VALUE!</v>
      </c>
      <c r="CX49" t="e">
        <f>AND(medidas!K72,"AAAAAH//r2U=")</f>
        <v>#VALUE!</v>
      </c>
      <c r="CY49" t="e">
        <f>AND(medidas!L72,"AAAAAH//r2Y=")</f>
        <v>#VALUE!</v>
      </c>
      <c r="CZ49" t="e">
        <f>AND(medidas!M72,"AAAAAH//r2c=")</f>
        <v>#VALUE!</v>
      </c>
      <c r="DA49" t="e">
        <f>AND(medidas!N72,"AAAAAH//r2g=")</f>
        <v>#VALUE!</v>
      </c>
      <c r="DB49" t="e">
        <f>AND(medidas!O72,"AAAAAH//r2k=")</f>
        <v>#VALUE!</v>
      </c>
      <c r="DC49" t="e">
        <f>AND(medidas!P72,"AAAAAH//r2o=")</f>
        <v>#VALUE!</v>
      </c>
      <c r="DD49" t="e">
        <f>AND(medidas!Q72,"AAAAAH//r2s=")</f>
        <v>#VALUE!</v>
      </c>
      <c r="DE49" t="e">
        <f>AND(medidas!R72,"AAAAAH//r2w=")</f>
        <v>#VALUE!</v>
      </c>
      <c r="DF49" t="e">
        <f>AND(medidas!S72,"AAAAAH//r20=")</f>
        <v>#VALUE!</v>
      </c>
      <c r="DG49" t="e">
        <f>AND(medidas!T72,"AAAAAH//r24=")</f>
        <v>#VALUE!</v>
      </c>
      <c r="DH49" t="e">
        <f>AND(medidas!U72,"AAAAAH//r28=")</f>
        <v>#VALUE!</v>
      </c>
      <c r="DI49" t="e">
        <f>AND(medidas!V72,"AAAAAH//r3A=")</f>
        <v>#VALUE!</v>
      </c>
      <c r="DJ49" t="e">
        <f>AND(medidas!W72,"AAAAAH//r3E=")</f>
        <v>#VALUE!</v>
      </c>
      <c r="DK49" t="e">
        <f>AND(medidas!X72,"AAAAAH//r3I=")</f>
        <v>#VALUE!</v>
      </c>
      <c r="DL49" t="e">
        <f>AND(medidas!Y72,"AAAAAH//r3M=")</f>
        <v>#VALUE!</v>
      </c>
      <c r="DM49" t="e">
        <f>AND(medidas!Z72,"AAAAAH//r3Q=")</f>
        <v>#VALUE!</v>
      </c>
      <c r="DN49" t="e">
        <f>AND(medidas!AA72,"AAAAAH//r3U=")</f>
        <v>#VALUE!</v>
      </c>
      <c r="DO49" t="e">
        <f>AND(medidas!AB72,"AAAAAH//r3Y=")</f>
        <v>#VALUE!</v>
      </c>
      <c r="DP49" t="e">
        <f>AND(medidas!AC72,"AAAAAH//r3c=")</f>
        <v>#VALUE!</v>
      </c>
      <c r="DQ49" t="e">
        <f>AND(medidas!AD72,"AAAAAH//r3g=")</f>
        <v>#VALUE!</v>
      </c>
      <c r="DR49" t="e">
        <f>AND(medidas!AE72,"AAAAAH//r3k=")</f>
        <v>#VALUE!</v>
      </c>
      <c r="DS49" t="e">
        <f>AND(medidas!AF72,"AAAAAH//r3o=")</f>
        <v>#VALUE!</v>
      </c>
      <c r="DT49" t="e">
        <f>AND(medidas!AG72,"AAAAAH//r3s=")</f>
        <v>#VALUE!</v>
      </c>
      <c r="DU49" t="e">
        <f>AND(medidas!AH72,"AAAAAH//r3w=")</f>
        <v>#VALUE!</v>
      </c>
      <c r="DV49" t="e">
        <f>AND(medidas!AI72,"AAAAAH//r30=")</f>
        <v>#VALUE!</v>
      </c>
      <c r="DW49" t="e">
        <f>AND(medidas!AJ72,"AAAAAH//r34=")</f>
        <v>#VALUE!</v>
      </c>
      <c r="DX49" t="e">
        <f>AND(medidas!AK72,"AAAAAH//r38=")</f>
        <v>#VALUE!</v>
      </c>
      <c r="DY49" t="e">
        <f>AND(medidas!AL72,"AAAAAH//r4A=")</f>
        <v>#VALUE!</v>
      </c>
      <c r="DZ49" t="e">
        <f>AND(medidas!AM72,"AAAAAH//r4E=")</f>
        <v>#VALUE!</v>
      </c>
      <c r="EA49" t="e">
        <f>AND(medidas!AN72,"AAAAAH//r4I=")</f>
        <v>#VALUE!</v>
      </c>
      <c r="EB49" t="e">
        <f>AND(medidas!AO72,"AAAAAH//r4M=")</f>
        <v>#VALUE!</v>
      </c>
      <c r="EC49" t="e">
        <f>AND(medidas!AP72,"AAAAAH//r4Q=")</f>
        <v>#VALUE!</v>
      </c>
      <c r="ED49" t="e">
        <f>AND(medidas!AQ72,"AAAAAH//r4U=")</f>
        <v>#VALUE!</v>
      </c>
      <c r="EE49" t="e">
        <f>AND(medidas!AR72,"AAAAAH//r4Y=")</f>
        <v>#VALUE!</v>
      </c>
      <c r="EF49" t="e">
        <f>AND(medidas!AS72,"AAAAAH//r4c=")</f>
        <v>#VALUE!</v>
      </c>
      <c r="EG49" t="e">
        <f>AND(medidas!AT72,"AAAAAH//r4g=")</f>
        <v>#VALUE!</v>
      </c>
      <c r="EH49" t="e">
        <f>AND(medidas!AU72,"AAAAAH//r4k=")</f>
        <v>#VALUE!</v>
      </c>
      <c r="EI49" t="e">
        <f>AND(medidas!AV72,"AAAAAH//r4o=")</f>
        <v>#VALUE!</v>
      </c>
      <c r="EJ49" t="e">
        <f>AND(medidas!AW72,"AAAAAH//r4s=")</f>
        <v>#VALUE!</v>
      </c>
      <c r="EK49" t="e">
        <f>AND(medidas!AX72,"AAAAAH//r4w=")</f>
        <v>#VALUE!</v>
      </c>
      <c r="EL49" t="e">
        <f>AND(medidas!AY72,"AAAAAH//r40=")</f>
        <v>#VALUE!</v>
      </c>
      <c r="EM49" t="e">
        <f>AND(medidas!AZ72,"AAAAAH//r44=")</f>
        <v>#VALUE!</v>
      </c>
      <c r="EN49" t="e">
        <f>AND(medidas!BA72,"AAAAAH//r48=")</f>
        <v>#VALUE!</v>
      </c>
      <c r="EO49" t="e">
        <f>AND(medidas!BB72,"AAAAAH//r5A=")</f>
        <v>#VALUE!</v>
      </c>
      <c r="EP49" t="e">
        <f>AND(medidas!BC72,"AAAAAH//r5E=")</f>
        <v>#VALUE!</v>
      </c>
      <c r="EQ49" t="e">
        <f>AND(medidas!BD72,"AAAAAH//r5I=")</f>
        <v>#VALUE!</v>
      </c>
      <c r="ER49" t="e">
        <f>AND(medidas!BE72,"AAAAAH//r5M=")</f>
        <v>#VALUE!</v>
      </c>
      <c r="ES49" t="e">
        <f>AND(medidas!BF72,"AAAAAH//r5Q=")</f>
        <v>#VALUE!</v>
      </c>
      <c r="ET49" t="e">
        <f>AND(medidas!BG72,"AAAAAH//r5U=")</f>
        <v>#VALUE!</v>
      </c>
      <c r="EU49" t="e">
        <f>AND(medidas!BH72,"AAAAAH//r5Y=")</f>
        <v>#VALUE!</v>
      </c>
      <c r="EV49" t="e">
        <f>AND(medidas!BI72,"AAAAAH//r5c=")</f>
        <v>#VALUE!</v>
      </c>
      <c r="EW49" t="e">
        <f>AND(medidas!BJ72,"AAAAAH//r5g=")</f>
        <v>#VALUE!</v>
      </c>
      <c r="EX49" t="e">
        <f>AND(medidas!BK72,"AAAAAH//r5k=")</f>
        <v>#VALUE!</v>
      </c>
      <c r="EY49" t="e">
        <f>AND(medidas!BL72,"AAAAAH//r5o=")</f>
        <v>#VALUE!</v>
      </c>
      <c r="EZ49" t="e">
        <f>AND(medidas!BM72,"AAAAAH//r5s=")</f>
        <v>#VALUE!</v>
      </c>
      <c r="FA49" t="e">
        <f>AND(medidas!BN72,"AAAAAH//r5w=")</f>
        <v>#VALUE!</v>
      </c>
      <c r="FB49" t="e">
        <f>AND(medidas!BO72,"AAAAAH//r50=")</f>
        <v>#VALUE!</v>
      </c>
      <c r="FC49" t="e">
        <f>AND(medidas!BP72,"AAAAAH//r54=")</f>
        <v>#VALUE!</v>
      </c>
      <c r="FD49" t="e">
        <f>AND(medidas!BQ72,"AAAAAH//r58=")</f>
        <v>#VALUE!</v>
      </c>
      <c r="FE49" t="e">
        <f>AND(medidas!BR72,"AAAAAH//r6A=")</f>
        <v>#VALUE!</v>
      </c>
      <c r="FF49" t="e">
        <f>AND(medidas!BS72,"AAAAAH//r6E=")</f>
        <v>#VALUE!</v>
      </c>
      <c r="FG49" t="e">
        <f>AND(medidas!BT72,"AAAAAH//r6I=")</f>
        <v>#VALUE!</v>
      </c>
      <c r="FH49" t="e">
        <f>AND(medidas!BU72,"AAAAAH//r6M=")</f>
        <v>#VALUE!</v>
      </c>
      <c r="FI49" t="e">
        <f>AND(medidas!BV72,"AAAAAH//r6Q=")</f>
        <v>#VALUE!</v>
      </c>
      <c r="FJ49" t="e">
        <f>AND(medidas!BW72,"AAAAAH//r6U=")</f>
        <v>#VALUE!</v>
      </c>
      <c r="FK49" t="e">
        <f>AND(medidas!BX72,"AAAAAH//r6Y=")</f>
        <v>#VALUE!</v>
      </c>
      <c r="FL49" t="e">
        <f>AND(medidas!BY72,"AAAAAH//r6c=")</f>
        <v>#VALUE!</v>
      </c>
      <c r="FM49">
        <f>IF(medidas!73:73,"AAAAAH//r6g=",0)</f>
        <v>0</v>
      </c>
      <c r="FN49" t="e">
        <f>AND(medidas!B73,"AAAAAH//r6k=")</f>
        <v>#VALUE!</v>
      </c>
      <c r="FO49" t="e">
        <f>AND(medidas!C73,"AAAAAH//r6o=")</f>
        <v>#VALUE!</v>
      </c>
      <c r="FP49" t="e">
        <f>AND(medidas!D73,"AAAAAH//r6s=")</f>
        <v>#VALUE!</v>
      </c>
      <c r="FQ49" t="e">
        <f>AND(medidas!E73,"AAAAAH//r6w=")</f>
        <v>#VALUE!</v>
      </c>
      <c r="FR49" t="e">
        <f>AND(medidas!F73,"AAAAAH//r60=")</f>
        <v>#VALUE!</v>
      </c>
      <c r="FS49" t="e">
        <f>AND(medidas!G73,"AAAAAH//r64=")</f>
        <v>#VALUE!</v>
      </c>
      <c r="FT49" t="e">
        <f>AND(medidas!H73,"AAAAAH//r68=")</f>
        <v>#VALUE!</v>
      </c>
      <c r="FU49" t="e">
        <f>AND(medidas!I73,"AAAAAH//r7A=")</f>
        <v>#VALUE!</v>
      </c>
      <c r="FV49" t="e">
        <f>AND(medidas!J73,"AAAAAH//r7E=")</f>
        <v>#VALUE!</v>
      </c>
      <c r="FW49" t="e">
        <f>AND(medidas!K73,"AAAAAH//r7I=")</f>
        <v>#VALUE!</v>
      </c>
      <c r="FX49" t="e">
        <f>AND(medidas!L73,"AAAAAH//r7M=")</f>
        <v>#VALUE!</v>
      </c>
      <c r="FY49" t="e">
        <f>AND(medidas!M73,"AAAAAH//r7Q=")</f>
        <v>#VALUE!</v>
      </c>
      <c r="FZ49" t="e">
        <f>AND(medidas!N73,"AAAAAH//r7U=")</f>
        <v>#VALUE!</v>
      </c>
      <c r="GA49" t="e">
        <f>AND(medidas!O73,"AAAAAH//r7Y=")</f>
        <v>#VALUE!</v>
      </c>
      <c r="GB49" t="e">
        <f>AND(medidas!P73,"AAAAAH//r7c=")</f>
        <v>#VALUE!</v>
      </c>
      <c r="GC49" t="e">
        <f>AND(medidas!Q73,"AAAAAH//r7g=")</f>
        <v>#VALUE!</v>
      </c>
      <c r="GD49" t="e">
        <f>AND(medidas!R73,"AAAAAH//r7k=")</f>
        <v>#VALUE!</v>
      </c>
      <c r="GE49" t="e">
        <f>AND(medidas!S73,"AAAAAH//r7o=")</f>
        <v>#VALUE!</v>
      </c>
      <c r="GF49" t="e">
        <f>AND(medidas!T73,"AAAAAH//r7s=")</f>
        <v>#VALUE!</v>
      </c>
      <c r="GG49" t="e">
        <f>AND(medidas!U73,"AAAAAH//r7w=")</f>
        <v>#VALUE!</v>
      </c>
      <c r="GH49" t="e">
        <f>AND(medidas!V73,"AAAAAH//r70=")</f>
        <v>#VALUE!</v>
      </c>
      <c r="GI49" t="e">
        <f>AND(medidas!W73,"AAAAAH//r74=")</f>
        <v>#VALUE!</v>
      </c>
      <c r="GJ49" t="e">
        <f>AND(medidas!X73,"AAAAAH//r78=")</f>
        <v>#VALUE!</v>
      </c>
      <c r="GK49" t="e">
        <f>AND(medidas!Y73,"AAAAAH//r8A=")</f>
        <v>#VALUE!</v>
      </c>
      <c r="GL49" t="e">
        <f>AND(medidas!Z73,"AAAAAH//r8E=")</f>
        <v>#VALUE!</v>
      </c>
      <c r="GM49" t="e">
        <f>AND(medidas!AA73,"AAAAAH//r8I=")</f>
        <v>#VALUE!</v>
      </c>
      <c r="GN49" t="e">
        <f>AND(medidas!AB73,"AAAAAH//r8M=")</f>
        <v>#VALUE!</v>
      </c>
      <c r="GO49" t="e">
        <f>AND(medidas!AC73,"AAAAAH//r8Q=")</f>
        <v>#VALUE!</v>
      </c>
      <c r="GP49" t="e">
        <f>AND(medidas!AD73,"AAAAAH//r8U=")</f>
        <v>#VALUE!</v>
      </c>
      <c r="GQ49" t="e">
        <f>AND(medidas!AE73,"AAAAAH//r8Y=")</f>
        <v>#VALUE!</v>
      </c>
      <c r="GR49" t="e">
        <f>AND(medidas!AF73,"AAAAAH//r8c=")</f>
        <v>#VALUE!</v>
      </c>
      <c r="GS49" t="e">
        <f>AND(medidas!AG73,"AAAAAH//r8g=")</f>
        <v>#VALUE!</v>
      </c>
      <c r="GT49" t="e">
        <f>AND(medidas!AH73,"AAAAAH//r8k=")</f>
        <v>#VALUE!</v>
      </c>
      <c r="GU49" t="e">
        <f>AND(medidas!AI73,"AAAAAH//r8o=")</f>
        <v>#VALUE!</v>
      </c>
      <c r="GV49" t="e">
        <f>AND(medidas!AJ73,"AAAAAH//r8s=")</f>
        <v>#VALUE!</v>
      </c>
      <c r="GW49" t="e">
        <f>AND(medidas!AK73,"AAAAAH//r8w=")</f>
        <v>#VALUE!</v>
      </c>
      <c r="GX49" t="e">
        <f>AND(medidas!AL73,"AAAAAH//r80=")</f>
        <v>#VALUE!</v>
      </c>
      <c r="GY49" t="e">
        <f>AND(medidas!AM73,"AAAAAH//r84=")</f>
        <v>#VALUE!</v>
      </c>
      <c r="GZ49" t="e">
        <f>AND(medidas!AN73,"AAAAAH//r88=")</f>
        <v>#VALUE!</v>
      </c>
      <c r="HA49" t="e">
        <f>AND(medidas!AO73,"AAAAAH//r9A=")</f>
        <v>#VALUE!</v>
      </c>
      <c r="HB49" t="e">
        <f>AND(medidas!AP73,"AAAAAH//r9E=")</f>
        <v>#VALUE!</v>
      </c>
      <c r="HC49" t="e">
        <f>AND(medidas!AQ73,"AAAAAH//r9I=")</f>
        <v>#VALUE!</v>
      </c>
      <c r="HD49" t="e">
        <f>AND(medidas!AR73,"AAAAAH//r9M=")</f>
        <v>#VALUE!</v>
      </c>
      <c r="HE49" t="e">
        <f>AND(medidas!AS73,"AAAAAH//r9Q=")</f>
        <v>#VALUE!</v>
      </c>
      <c r="HF49" t="e">
        <f>AND(medidas!AT73,"AAAAAH//r9U=")</f>
        <v>#VALUE!</v>
      </c>
      <c r="HG49" t="e">
        <f>AND(medidas!AU73,"AAAAAH//r9Y=")</f>
        <v>#VALUE!</v>
      </c>
      <c r="HH49" t="e">
        <f>AND(medidas!AV73,"AAAAAH//r9c=")</f>
        <v>#VALUE!</v>
      </c>
      <c r="HI49" t="e">
        <f>AND(medidas!AW73,"AAAAAH//r9g=")</f>
        <v>#VALUE!</v>
      </c>
      <c r="HJ49" t="e">
        <f>AND(medidas!AX73,"AAAAAH//r9k=")</f>
        <v>#VALUE!</v>
      </c>
      <c r="HK49" t="e">
        <f>AND(medidas!AY73,"AAAAAH//r9o=")</f>
        <v>#VALUE!</v>
      </c>
      <c r="HL49" t="e">
        <f>AND(medidas!AZ73,"AAAAAH//r9s=")</f>
        <v>#VALUE!</v>
      </c>
      <c r="HM49" t="e">
        <f>AND(medidas!BA73,"AAAAAH//r9w=")</f>
        <v>#VALUE!</v>
      </c>
      <c r="HN49" t="e">
        <f>AND(medidas!BB73,"AAAAAH//r90=")</f>
        <v>#VALUE!</v>
      </c>
      <c r="HO49" t="e">
        <f>AND(medidas!BC73,"AAAAAH//r94=")</f>
        <v>#VALUE!</v>
      </c>
      <c r="HP49" t="e">
        <f>AND(medidas!BD73,"AAAAAH//r98=")</f>
        <v>#VALUE!</v>
      </c>
      <c r="HQ49" t="e">
        <f>AND(medidas!BE73,"AAAAAH//r+A=")</f>
        <v>#VALUE!</v>
      </c>
      <c r="HR49" t="e">
        <f>AND(medidas!BF73,"AAAAAH//r+E=")</f>
        <v>#VALUE!</v>
      </c>
      <c r="HS49" t="e">
        <f>AND(medidas!BG73,"AAAAAH//r+I=")</f>
        <v>#VALUE!</v>
      </c>
      <c r="HT49" t="e">
        <f>AND(medidas!BH73,"AAAAAH//r+M=")</f>
        <v>#VALUE!</v>
      </c>
      <c r="HU49" t="e">
        <f>AND(medidas!BI73,"AAAAAH//r+Q=")</f>
        <v>#VALUE!</v>
      </c>
      <c r="HV49" t="e">
        <f>AND(medidas!BJ73,"AAAAAH//r+U=")</f>
        <v>#VALUE!</v>
      </c>
      <c r="HW49" t="e">
        <f>AND(medidas!BK73,"AAAAAH//r+Y=")</f>
        <v>#VALUE!</v>
      </c>
      <c r="HX49" t="e">
        <f>AND(medidas!BL73,"AAAAAH//r+c=")</f>
        <v>#VALUE!</v>
      </c>
      <c r="HY49" t="e">
        <f>AND(medidas!BM73,"AAAAAH//r+g=")</f>
        <v>#VALUE!</v>
      </c>
      <c r="HZ49" t="e">
        <f>AND(medidas!BN73,"AAAAAH//r+k=")</f>
        <v>#VALUE!</v>
      </c>
      <c r="IA49" t="e">
        <f>AND(medidas!BO73,"AAAAAH//r+o=")</f>
        <v>#VALUE!</v>
      </c>
      <c r="IB49" t="e">
        <f>AND(medidas!BP73,"AAAAAH//r+s=")</f>
        <v>#VALUE!</v>
      </c>
      <c r="IC49" t="e">
        <f>AND(medidas!BQ73,"AAAAAH//r+w=")</f>
        <v>#VALUE!</v>
      </c>
      <c r="ID49" t="e">
        <f>AND(medidas!BR73,"AAAAAH//r+0=")</f>
        <v>#VALUE!</v>
      </c>
      <c r="IE49" t="e">
        <f>AND(medidas!BS73,"AAAAAH//r+4=")</f>
        <v>#VALUE!</v>
      </c>
      <c r="IF49" t="e">
        <f>AND(medidas!BT73,"AAAAAH//r+8=")</f>
        <v>#VALUE!</v>
      </c>
      <c r="IG49" t="e">
        <f>AND(medidas!BU73,"AAAAAH//r/A=")</f>
        <v>#VALUE!</v>
      </c>
      <c r="IH49" t="e">
        <f>AND(medidas!BV73,"AAAAAH//r/E=")</f>
        <v>#VALUE!</v>
      </c>
      <c r="II49" t="e">
        <f>AND(medidas!BW73,"AAAAAH//r/I=")</f>
        <v>#VALUE!</v>
      </c>
      <c r="IJ49" t="e">
        <f>AND(medidas!BX73,"AAAAAH//r/M=")</f>
        <v>#VALUE!</v>
      </c>
      <c r="IK49" t="e">
        <f>AND(medidas!BY73,"AAAAAH//r/Q=")</f>
        <v>#VALUE!</v>
      </c>
      <c r="IL49">
        <f>IF(medidas!74:74,"AAAAAH//r/U=",0)</f>
        <v>0</v>
      </c>
      <c r="IM49" t="e">
        <f>AND(medidas!B74,"AAAAAH//r/Y=")</f>
        <v>#VALUE!</v>
      </c>
      <c r="IN49" t="e">
        <f>AND(medidas!C74,"AAAAAH//r/c=")</f>
        <v>#VALUE!</v>
      </c>
      <c r="IO49" t="e">
        <f>AND(medidas!D74,"AAAAAH//r/g=")</f>
        <v>#VALUE!</v>
      </c>
      <c r="IP49" t="e">
        <f>AND(medidas!E74,"AAAAAH//r/k=")</f>
        <v>#VALUE!</v>
      </c>
      <c r="IQ49" t="e">
        <f>AND(medidas!F74,"AAAAAH//r/o=")</f>
        <v>#VALUE!</v>
      </c>
      <c r="IR49" t="e">
        <f>AND(medidas!G74,"AAAAAH//r/s=")</f>
        <v>#VALUE!</v>
      </c>
      <c r="IS49" t="e">
        <f>AND(medidas!H74,"AAAAAH//r/w=")</f>
        <v>#VALUE!</v>
      </c>
      <c r="IT49" t="e">
        <f>AND(medidas!I74,"AAAAAH//r/0=")</f>
        <v>#VALUE!</v>
      </c>
      <c r="IU49" t="e">
        <f>AND(medidas!J74,"AAAAAH//r/4=")</f>
        <v>#VALUE!</v>
      </c>
      <c r="IV49" t="e">
        <f>AND(medidas!K74,"AAAAAH//r/8=")</f>
        <v>#VALUE!</v>
      </c>
    </row>
    <row r="50" spans="1:256" x14ac:dyDescent="0.2">
      <c r="A50" t="e">
        <f>AND(medidas!L74,"AAAAAF/f/wA=")</f>
        <v>#VALUE!</v>
      </c>
      <c r="B50" t="e">
        <f>AND(medidas!M74,"AAAAAF/f/wE=")</f>
        <v>#VALUE!</v>
      </c>
      <c r="C50" t="e">
        <f>AND(medidas!N74,"AAAAAF/f/wI=")</f>
        <v>#VALUE!</v>
      </c>
      <c r="D50" t="e">
        <f>AND(medidas!O74,"AAAAAF/f/wM=")</f>
        <v>#VALUE!</v>
      </c>
      <c r="E50" t="e">
        <f>AND(medidas!P74,"AAAAAF/f/wQ=")</f>
        <v>#VALUE!</v>
      </c>
      <c r="F50" t="e">
        <f>AND(medidas!Q74,"AAAAAF/f/wU=")</f>
        <v>#VALUE!</v>
      </c>
      <c r="G50" t="e">
        <f>AND(medidas!R74,"AAAAAF/f/wY=")</f>
        <v>#VALUE!</v>
      </c>
      <c r="H50" t="e">
        <f>AND(medidas!S74,"AAAAAF/f/wc=")</f>
        <v>#VALUE!</v>
      </c>
      <c r="I50" t="e">
        <f>AND(medidas!T74,"AAAAAF/f/wg=")</f>
        <v>#VALUE!</v>
      </c>
      <c r="J50" t="e">
        <f>AND(medidas!U74,"AAAAAF/f/wk=")</f>
        <v>#VALUE!</v>
      </c>
      <c r="K50" t="e">
        <f>AND(medidas!V74,"AAAAAF/f/wo=")</f>
        <v>#VALUE!</v>
      </c>
      <c r="L50" t="e">
        <f>AND(medidas!W74,"AAAAAF/f/ws=")</f>
        <v>#VALUE!</v>
      </c>
      <c r="M50" t="e">
        <f>AND(medidas!X74,"AAAAAF/f/ww=")</f>
        <v>#VALUE!</v>
      </c>
      <c r="N50" t="e">
        <f>AND(medidas!Y74,"AAAAAF/f/w0=")</f>
        <v>#VALUE!</v>
      </c>
      <c r="O50" t="e">
        <f>AND(medidas!Z74,"AAAAAF/f/w4=")</f>
        <v>#VALUE!</v>
      </c>
      <c r="P50" t="e">
        <f>AND(medidas!AA74,"AAAAAF/f/w8=")</f>
        <v>#VALUE!</v>
      </c>
      <c r="Q50" t="e">
        <f>AND(medidas!AB74,"AAAAAF/f/xA=")</f>
        <v>#VALUE!</v>
      </c>
      <c r="R50" t="e">
        <f>AND(medidas!AC74,"AAAAAF/f/xE=")</f>
        <v>#VALUE!</v>
      </c>
      <c r="S50" t="e">
        <f>AND(medidas!AD74,"AAAAAF/f/xI=")</f>
        <v>#VALUE!</v>
      </c>
      <c r="T50" t="e">
        <f>AND(medidas!AE74,"AAAAAF/f/xM=")</f>
        <v>#VALUE!</v>
      </c>
      <c r="U50" t="e">
        <f>AND(medidas!AF74,"AAAAAF/f/xQ=")</f>
        <v>#VALUE!</v>
      </c>
      <c r="V50" t="e">
        <f>AND(medidas!AG74,"AAAAAF/f/xU=")</f>
        <v>#VALUE!</v>
      </c>
      <c r="W50" t="e">
        <f>AND(medidas!AH74,"AAAAAF/f/xY=")</f>
        <v>#VALUE!</v>
      </c>
      <c r="X50" t="e">
        <f>AND(medidas!AI74,"AAAAAF/f/xc=")</f>
        <v>#VALUE!</v>
      </c>
      <c r="Y50" t="e">
        <f>AND(medidas!AJ74,"AAAAAF/f/xg=")</f>
        <v>#VALUE!</v>
      </c>
      <c r="Z50" t="e">
        <f>AND(medidas!AK74,"AAAAAF/f/xk=")</f>
        <v>#VALUE!</v>
      </c>
      <c r="AA50" t="e">
        <f>AND(medidas!AL74,"AAAAAF/f/xo=")</f>
        <v>#VALUE!</v>
      </c>
      <c r="AB50" t="e">
        <f>AND(medidas!AM74,"AAAAAF/f/xs=")</f>
        <v>#VALUE!</v>
      </c>
      <c r="AC50" t="e">
        <f>AND(medidas!AN74,"AAAAAF/f/xw=")</f>
        <v>#VALUE!</v>
      </c>
      <c r="AD50" t="e">
        <f>AND(medidas!AO74,"AAAAAF/f/x0=")</f>
        <v>#VALUE!</v>
      </c>
      <c r="AE50" t="e">
        <f>AND(medidas!AP74,"AAAAAF/f/x4=")</f>
        <v>#VALUE!</v>
      </c>
      <c r="AF50" t="e">
        <f>AND(medidas!AQ74,"AAAAAF/f/x8=")</f>
        <v>#VALUE!</v>
      </c>
      <c r="AG50" t="e">
        <f>AND(medidas!AR74,"AAAAAF/f/yA=")</f>
        <v>#VALUE!</v>
      </c>
      <c r="AH50" t="e">
        <f>AND(medidas!AS74,"AAAAAF/f/yE=")</f>
        <v>#VALUE!</v>
      </c>
      <c r="AI50" t="e">
        <f>AND(medidas!AT74,"AAAAAF/f/yI=")</f>
        <v>#VALUE!</v>
      </c>
      <c r="AJ50" t="e">
        <f>AND(medidas!AU74,"AAAAAF/f/yM=")</f>
        <v>#VALUE!</v>
      </c>
      <c r="AK50" t="e">
        <f>AND(medidas!AV74,"AAAAAF/f/yQ=")</f>
        <v>#VALUE!</v>
      </c>
      <c r="AL50" t="e">
        <f>AND(medidas!AW74,"AAAAAF/f/yU=")</f>
        <v>#VALUE!</v>
      </c>
      <c r="AM50" t="e">
        <f>AND(medidas!AX74,"AAAAAF/f/yY=")</f>
        <v>#VALUE!</v>
      </c>
      <c r="AN50" t="e">
        <f>AND(medidas!AY74,"AAAAAF/f/yc=")</f>
        <v>#VALUE!</v>
      </c>
      <c r="AO50" t="e">
        <f>AND(medidas!AZ74,"AAAAAF/f/yg=")</f>
        <v>#VALUE!</v>
      </c>
      <c r="AP50" t="e">
        <f>AND(medidas!BA74,"AAAAAF/f/yk=")</f>
        <v>#VALUE!</v>
      </c>
      <c r="AQ50" t="e">
        <f>AND(medidas!BB74,"AAAAAF/f/yo=")</f>
        <v>#VALUE!</v>
      </c>
      <c r="AR50" t="e">
        <f>AND(medidas!BC74,"AAAAAF/f/ys=")</f>
        <v>#VALUE!</v>
      </c>
      <c r="AS50" t="e">
        <f>AND(medidas!BD74,"AAAAAF/f/yw=")</f>
        <v>#VALUE!</v>
      </c>
      <c r="AT50" t="e">
        <f>AND(medidas!BE74,"AAAAAF/f/y0=")</f>
        <v>#VALUE!</v>
      </c>
      <c r="AU50" t="e">
        <f>AND(medidas!BF74,"AAAAAF/f/y4=")</f>
        <v>#VALUE!</v>
      </c>
      <c r="AV50" t="e">
        <f>AND(medidas!BG74,"AAAAAF/f/y8=")</f>
        <v>#VALUE!</v>
      </c>
      <c r="AW50" t="e">
        <f>AND(medidas!BH74,"AAAAAF/f/zA=")</f>
        <v>#VALUE!</v>
      </c>
      <c r="AX50" t="e">
        <f>AND(medidas!BI74,"AAAAAF/f/zE=")</f>
        <v>#VALUE!</v>
      </c>
      <c r="AY50" t="e">
        <f>AND(medidas!BJ74,"AAAAAF/f/zI=")</f>
        <v>#VALUE!</v>
      </c>
      <c r="AZ50" t="e">
        <f>AND(medidas!BK74,"AAAAAF/f/zM=")</f>
        <v>#VALUE!</v>
      </c>
      <c r="BA50" t="e">
        <f>AND(medidas!BL74,"AAAAAF/f/zQ=")</f>
        <v>#VALUE!</v>
      </c>
      <c r="BB50" t="e">
        <f>AND(medidas!BM74,"AAAAAF/f/zU=")</f>
        <v>#VALUE!</v>
      </c>
      <c r="BC50" t="e">
        <f>AND(medidas!BN74,"AAAAAF/f/zY=")</f>
        <v>#VALUE!</v>
      </c>
      <c r="BD50" t="e">
        <f>AND(medidas!BO74,"AAAAAF/f/zc=")</f>
        <v>#VALUE!</v>
      </c>
      <c r="BE50" t="e">
        <f>AND(medidas!BP74,"AAAAAF/f/zg=")</f>
        <v>#VALUE!</v>
      </c>
      <c r="BF50" t="e">
        <f>AND(medidas!BQ74,"AAAAAF/f/zk=")</f>
        <v>#VALUE!</v>
      </c>
      <c r="BG50" t="e">
        <f>AND(medidas!BR74,"AAAAAF/f/zo=")</f>
        <v>#VALUE!</v>
      </c>
      <c r="BH50" t="e">
        <f>AND(medidas!BS74,"AAAAAF/f/zs=")</f>
        <v>#VALUE!</v>
      </c>
      <c r="BI50" t="e">
        <f>AND(medidas!BT74,"AAAAAF/f/zw=")</f>
        <v>#VALUE!</v>
      </c>
      <c r="BJ50" t="e">
        <f>AND(medidas!BU74,"AAAAAF/f/z0=")</f>
        <v>#VALUE!</v>
      </c>
      <c r="BK50" t="e">
        <f>AND(medidas!BV74,"AAAAAF/f/z4=")</f>
        <v>#VALUE!</v>
      </c>
      <c r="BL50" t="e">
        <f>AND(medidas!BW74,"AAAAAF/f/z8=")</f>
        <v>#VALUE!</v>
      </c>
      <c r="BM50" t="e">
        <f>AND(medidas!BX74,"AAAAAF/f/0A=")</f>
        <v>#VALUE!</v>
      </c>
      <c r="BN50" t="e">
        <f>AND(medidas!BY74,"AAAAAF/f/0E=")</f>
        <v>#VALUE!</v>
      </c>
      <c r="BO50">
        <f>IF(medidas!75:75,"AAAAAF/f/0I=",0)</f>
        <v>0</v>
      </c>
      <c r="BP50" t="e">
        <f>AND(medidas!B75,"AAAAAF/f/0M=")</f>
        <v>#VALUE!</v>
      </c>
      <c r="BQ50" t="e">
        <f>AND(medidas!C75,"AAAAAF/f/0Q=")</f>
        <v>#VALUE!</v>
      </c>
      <c r="BR50" t="e">
        <f>AND(medidas!D75,"AAAAAF/f/0U=")</f>
        <v>#VALUE!</v>
      </c>
      <c r="BS50" t="e">
        <f>AND(medidas!E75,"AAAAAF/f/0Y=")</f>
        <v>#VALUE!</v>
      </c>
      <c r="BT50" t="e">
        <f>AND(medidas!F75,"AAAAAF/f/0c=")</f>
        <v>#VALUE!</v>
      </c>
      <c r="BU50" t="e">
        <f>AND(medidas!G75,"AAAAAF/f/0g=")</f>
        <v>#VALUE!</v>
      </c>
      <c r="BV50" t="e">
        <f>AND(medidas!H75,"AAAAAF/f/0k=")</f>
        <v>#VALUE!</v>
      </c>
      <c r="BW50" t="e">
        <f>AND(medidas!I75,"AAAAAF/f/0o=")</f>
        <v>#VALUE!</v>
      </c>
      <c r="BX50" t="e">
        <f>AND(medidas!J75,"AAAAAF/f/0s=")</f>
        <v>#VALUE!</v>
      </c>
      <c r="BY50" t="e">
        <f>AND(medidas!K75,"AAAAAF/f/0w=")</f>
        <v>#VALUE!</v>
      </c>
      <c r="BZ50" t="e">
        <f>AND(medidas!L75,"AAAAAF/f/00=")</f>
        <v>#VALUE!</v>
      </c>
      <c r="CA50" t="e">
        <f>AND(medidas!M75,"AAAAAF/f/04=")</f>
        <v>#VALUE!</v>
      </c>
      <c r="CB50" t="e">
        <f>AND(medidas!N75,"AAAAAF/f/08=")</f>
        <v>#VALUE!</v>
      </c>
      <c r="CC50" t="e">
        <f>AND(medidas!O75,"AAAAAF/f/1A=")</f>
        <v>#VALUE!</v>
      </c>
      <c r="CD50" t="e">
        <f>AND(medidas!P75,"AAAAAF/f/1E=")</f>
        <v>#VALUE!</v>
      </c>
      <c r="CE50" t="e">
        <f>AND(medidas!Q75,"AAAAAF/f/1I=")</f>
        <v>#VALUE!</v>
      </c>
      <c r="CF50" t="e">
        <f>AND(medidas!R75,"AAAAAF/f/1M=")</f>
        <v>#VALUE!</v>
      </c>
      <c r="CG50" t="e">
        <f>AND(medidas!S75,"AAAAAF/f/1Q=")</f>
        <v>#VALUE!</v>
      </c>
      <c r="CH50" t="e">
        <f>AND(medidas!T75,"AAAAAF/f/1U=")</f>
        <v>#VALUE!</v>
      </c>
      <c r="CI50" t="e">
        <f>AND(medidas!U75,"AAAAAF/f/1Y=")</f>
        <v>#VALUE!</v>
      </c>
      <c r="CJ50" t="e">
        <f>AND(medidas!V75,"AAAAAF/f/1c=")</f>
        <v>#VALUE!</v>
      </c>
      <c r="CK50" t="e">
        <f>AND(medidas!W75,"AAAAAF/f/1g=")</f>
        <v>#VALUE!</v>
      </c>
      <c r="CL50" t="e">
        <f>AND(medidas!X75,"AAAAAF/f/1k=")</f>
        <v>#VALUE!</v>
      </c>
      <c r="CM50" t="e">
        <f>AND(medidas!Y75,"AAAAAF/f/1o=")</f>
        <v>#VALUE!</v>
      </c>
      <c r="CN50" t="e">
        <f>AND(medidas!Z75,"AAAAAF/f/1s=")</f>
        <v>#VALUE!</v>
      </c>
      <c r="CO50" t="e">
        <f>AND(medidas!AA75,"AAAAAF/f/1w=")</f>
        <v>#VALUE!</v>
      </c>
      <c r="CP50" t="e">
        <f>AND(medidas!AB75,"AAAAAF/f/10=")</f>
        <v>#VALUE!</v>
      </c>
      <c r="CQ50" t="e">
        <f>AND(medidas!AC75,"AAAAAF/f/14=")</f>
        <v>#VALUE!</v>
      </c>
      <c r="CR50" t="e">
        <f>AND(medidas!AD75,"AAAAAF/f/18=")</f>
        <v>#VALUE!</v>
      </c>
      <c r="CS50" t="e">
        <f>AND(medidas!AE75,"AAAAAF/f/2A=")</f>
        <v>#VALUE!</v>
      </c>
      <c r="CT50" t="e">
        <f>AND(medidas!AF75,"AAAAAF/f/2E=")</f>
        <v>#VALUE!</v>
      </c>
      <c r="CU50" t="e">
        <f>AND(medidas!AG75,"AAAAAF/f/2I=")</f>
        <v>#VALUE!</v>
      </c>
      <c r="CV50" t="e">
        <f>AND(medidas!AH75,"AAAAAF/f/2M=")</f>
        <v>#VALUE!</v>
      </c>
      <c r="CW50" t="e">
        <f>AND(medidas!AI75,"AAAAAF/f/2Q=")</f>
        <v>#VALUE!</v>
      </c>
      <c r="CX50" t="e">
        <f>AND(medidas!AJ75,"AAAAAF/f/2U=")</f>
        <v>#VALUE!</v>
      </c>
      <c r="CY50" t="e">
        <f>AND(medidas!AK75,"AAAAAF/f/2Y=")</f>
        <v>#VALUE!</v>
      </c>
      <c r="CZ50" t="e">
        <f>AND(medidas!AL75,"AAAAAF/f/2c=")</f>
        <v>#VALUE!</v>
      </c>
      <c r="DA50" t="e">
        <f>AND(medidas!AM75,"AAAAAF/f/2g=")</f>
        <v>#VALUE!</v>
      </c>
      <c r="DB50" t="e">
        <f>AND(medidas!AN75,"AAAAAF/f/2k=")</f>
        <v>#VALUE!</v>
      </c>
      <c r="DC50" t="e">
        <f>AND(medidas!AO75,"AAAAAF/f/2o=")</f>
        <v>#VALUE!</v>
      </c>
      <c r="DD50" t="e">
        <f>AND(medidas!AP75,"AAAAAF/f/2s=")</f>
        <v>#VALUE!</v>
      </c>
      <c r="DE50" t="e">
        <f>AND(medidas!AQ75,"AAAAAF/f/2w=")</f>
        <v>#VALUE!</v>
      </c>
      <c r="DF50" t="e">
        <f>AND(medidas!AR75,"AAAAAF/f/20=")</f>
        <v>#VALUE!</v>
      </c>
      <c r="DG50" t="e">
        <f>AND(medidas!AS75,"AAAAAF/f/24=")</f>
        <v>#VALUE!</v>
      </c>
      <c r="DH50" t="e">
        <f>AND(medidas!AT75,"AAAAAF/f/28=")</f>
        <v>#VALUE!</v>
      </c>
      <c r="DI50" t="e">
        <f>AND(medidas!AU75,"AAAAAF/f/3A=")</f>
        <v>#VALUE!</v>
      </c>
      <c r="DJ50" t="e">
        <f>AND(medidas!AV75,"AAAAAF/f/3E=")</f>
        <v>#VALUE!</v>
      </c>
      <c r="DK50" t="e">
        <f>AND(medidas!AW75,"AAAAAF/f/3I=")</f>
        <v>#VALUE!</v>
      </c>
      <c r="DL50" t="e">
        <f>AND(medidas!AX75,"AAAAAF/f/3M=")</f>
        <v>#VALUE!</v>
      </c>
      <c r="DM50" t="e">
        <f>AND(medidas!AY75,"AAAAAF/f/3Q=")</f>
        <v>#VALUE!</v>
      </c>
      <c r="DN50" t="e">
        <f>AND(medidas!AZ75,"AAAAAF/f/3U=")</f>
        <v>#VALUE!</v>
      </c>
      <c r="DO50" t="e">
        <f>AND(medidas!BA75,"AAAAAF/f/3Y=")</f>
        <v>#VALUE!</v>
      </c>
      <c r="DP50" t="e">
        <f>AND(medidas!BB75,"AAAAAF/f/3c=")</f>
        <v>#VALUE!</v>
      </c>
      <c r="DQ50" t="e">
        <f>AND(medidas!BC75,"AAAAAF/f/3g=")</f>
        <v>#VALUE!</v>
      </c>
      <c r="DR50" t="e">
        <f>AND(medidas!BD75,"AAAAAF/f/3k=")</f>
        <v>#VALUE!</v>
      </c>
      <c r="DS50" t="e">
        <f>AND(medidas!BE75,"AAAAAF/f/3o=")</f>
        <v>#VALUE!</v>
      </c>
      <c r="DT50" t="e">
        <f>AND(medidas!BF75,"AAAAAF/f/3s=")</f>
        <v>#VALUE!</v>
      </c>
      <c r="DU50" t="e">
        <f>AND(medidas!BG75,"AAAAAF/f/3w=")</f>
        <v>#VALUE!</v>
      </c>
      <c r="DV50" t="e">
        <f>AND(medidas!BH75,"AAAAAF/f/30=")</f>
        <v>#VALUE!</v>
      </c>
      <c r="DW50" t="e">
        <f>AND(medidas!BI75,"AAAAAF/f/34=")</f>
        <v>#VALUE!</v>
      </c>
      <c r="DX50" t="e">
        <f>AND(medidas!BJ75,"AAAAAF/f/38=")</f>
        <v>#VALUE!</v>
      </c>
      <c r="DY50" t="e">
        <f>AND(medidas!BK75,"AAAAAF/f/4A=")</f>
        <v>#VALUE!</v>
      </c>
      <c r="DZ50" t="e">
        <f>AND(medidas!BL75,"AAAAAF/f/4E=")</f>
        <v>#VALUE!</v>
      </c>
      <c r="EA50" t="e">
        <f>AND(medidas!BM75,"AAAAAF/f/4I=")</f>
        <v>#VALUE!</v>
      </c>
      <c r="EB50" t="e">
        <f>AND(medidas!BN75,"AAAAAF/f/4M=")</f>
        <v>#VALUE!</v>
      </c>
      <c r="EC50" t="e">
        <f>AND(medidas!BO75,"AAAAAF/f/4Q=")</f>
        <v>#VALUE!</v>
      </c>
      <c r="ED50" t="e">
        <f>AND(medidas!BP75,"AAAAAF/f/4U=")</f>
        <v>#VALUE!</v>
      </c>
      <c r="EE50" t="e">
        <f>AND(medidas!BQ75,"AAAAAF/f/4Y=")</f>
        <v>#VALUE!</v>
      </c>
      <c r="EF50" t="e">
        <f>AND(medidas!BR75,"AAAAAF/f/4c=")</f>
        <v>#VALUE!</v>
      </c>
      <c r="EG50" t="e">
        <f>AND(medidas!BS75,"AAAAAF/f/4g=")</f>
        <v>#VALUE!</v>
      </c>
      <c r="EH50" t="e">
        <f>AND(medidas!BT75,"AAAAAF/f/4k=")</f>
        <v>#VALUE!</v>
      </c>
      <c r="EI50" t="e">
        <f>AND(medidas!BU75,"AAAAAF/f/4o=")</f>
        <v>#VALUE!</v>
      </c>
      <c r="EJ50" t="e">
        <f>AND(medidas!BV75,"AAAAAF/f/4s=")</f>
        <v>#VALUE!</v>
      </c>
      <c r="EK50" t="e">
        <f>AND(medidas!BW75,"AAAAAF/f/4w=")</f>
        <v>#VALUE!</v>
      </c>
      <c r="EL50" t="e">
        <f>AND(medidas!BX75,"AAAAAF/f/40=")</f>
        <v>#VALUE!</v>
      </c>
      <c r="EM50" t="e">
        <f>AND(medidas!BY75,"AAAAAF/f/44=")</f>
        <v>#VALUE!</v>
      </c>
      <c r="EN50">
        <f>IF(medidas!76:76,"AAAAAF/f/48=",0)</f>
        <v>0</v>
      </c>
      <c r="EO50" t="e">
        <f>AND(medidas!B76,"AAAAAF/f/5A=")</f>
        <v>#VALUE!</v>
      </c>
      <c r="EP50" t="e">
        <f>AND(medidas!C76,"AAAAAF/f/5E=")</f>
        <v>#VALUE!</v>
      </c>
      <c r="EQ50" t="e">
        <f>AND(medidas!D76,"AAAAAF/f/5I=")</f>
        <v>#VALUE!</v>
      </c>
      <c r="ER50" t="e">
        <f>AND(medidas!E76,"AAAAAF/f/5M=")</f>
        <v>#VALUE!</v>
      </c>
      <c r="ES50" t="e">
        <f>AND(medidas!F76,"AAAAAF/f/5Q=")</f>
        <v>#VALUE!</v>
      </c>
      <c r="ET50" t="e">
        <f>AND(medidas!G76,"AAAAAF/f/5U=")</f>
        <v>#VALUE!</v>
      </c>
      <c r="EU50" t="e">
        <f>AND(medidas!H76,"AAAAAF/f/5Y=")</f>
        <v>#VALUE!</v>
      </c>
      <c r="EV50" t="e">
        <f>AND(medidas!I76,"AAAAAF/f/5c=")</f>
        <v>#VALUE!</v>
      </c>
      <c r="EW50" t="e">
        <f>AND(medidas!J76,"AAAAAF/f/5g=")</f>
        <v>#VALUE!</v>
      </c>
      <c r="EX50" t="e">
        <f>AND(medidas!K76,"AAAAAF/f/5k=")</f>
        <v>#VALUE!</v>
      </c>
      <c r="EY50" t="e">
        <f>AND(medidas!L76,"AAAAAF/f/5o=")</f>
        <v>#VALUE!</v>
      </c>
      <c r="EZ50" t="e">
        <f>AND(medidas!M76,"AAAAAF/f/5s=")</f>
        <v>#VALUE!</v>
      </c>
      <c r="FA50" t="e">
        <f>AND(medidas!N76,"AAAAAF/f/5w=")</f>
        <v>#VALUE!</v>
      </c>
      <c r="FB50" t="e">
        <f>AND(medidas!O76,"AAAAAF/f/50=")</f>
        <v>#VALUE!</v>
      </c>
      <c r="FC50" t="e">
        <f>AND(medidas!P76,"AAAAAF/f/54=")</f>
        <v>#VALUE!</v>
      </c>
      <c r="FD50" t="e">
        <f>AND(medidas!Q76,"AAAAAF/f/58=")</f>
        <v>#VALUE!</v>
      </c>
      <c r="FE50" t="e">
        <f>AND(medidas!R76,"AAAAAF/f/6A=")</f>
        <v>#VALUE!</v>
      </c>
      <c r="FF50" t="e">
        <f>AND(medidas!S76,"AAAAAF/f/6E=")</f>
        <v>#VALUE!</v>
      </c>
      <c r="FG50" t="e">
        <f>AND(medidas!T76,"AAAAAF/f/6I=")</f>
        <v>#VALUE!</v>
      </c>
      <c r="FH50" t="e">
        <f>AND(medidas!U76,"AAAAAF/f/6M=")</f>
        <v>#VALUE!</v>
      </c>
      <c r="FI50" t="e">
        <f>AND(medidas!V76,"AAAAAF/f/6Q=")</f>
        <v>#VALUE!</v>
      </c>
      <c r="FJ50" t="e">
        <f>AND(medidas!W76,"AAAAAF/f/6U=")</f>
        <v>#VALUE!</v>
      </c>
      <c r="FK50" t="e">
        <f>AND(medidas!X76,"AAAAAF/f/6Y=")</f>
        <v>#VALUE!</v>
      </c>
      <c r="FL50" t="e">
        <f>AND(medidas!Y76,"AAAAAF/f/6c=")</f>
        <v>#VALUE!</v>
      </c>
      <c r="FM50" t="e">
        <f>AND(medidas!Z76,"AAAAAF/f/6g=")</f>
        <v>#VALUE!</v>
      </c>
      <c r="FN50" t="e">
        <f>AND(medidas!AA76,"AAAAAF/f/6k=")</f>
        <v>#VALUE!</v>
      </c>
      <c r="FO50" t="e">
        <f>AND(medidas!AB76,"AAAAAF/f/6o=")</f>
        <v>#VALUE!</v>
      </c>
      <c r="FP50" t="e">
        <f>AND(medidas!AC76,"AAAAAF/f/6s=")</f>
        <v>#VALUE!</v>
      </c>
      <c r="FQ50" t="e">
        <f>AND(medidas!AD76,"AAAAAF/f/6w=")</f>
        <v>#VALUE!</v>
      </c>
      <c r="FR50" t="e">
        <f>AND(medidas!AE76,"AAAAAF/f/60=")</f>
        <v>#VALUE!</v>
      </c>
      <c r="FS50" t="e">
        <f>AND(medidas!AF76,"AAAAAF/f/64=")</f>
        <v>#VALUE!</v>
      </c>
      <c r="FT50" t="e">
        <f>AND(medidas!AG76,"AAAAAF/f/68=")</f>
        <v>#VALUE!</v>
      </c>
      <c r="FU50" t="e">
        <f>AND(medidas!AH76,"AAAAAF/f/7A=")</f>
        <v>#VALUE!</v>
      </c>
      <c r="FV50" t="e">
        <f>AND(medidas!AI76,"AAAAAF/f/7E=")</f>
        <v>#VALUE!</v>
      </c>
      <c r="FW50" t="e">
        <f>AND(medidas!AJ76,"AAAAAF/f/7I=")</f>
        <v>#VALUE!</v>
      </c>
      <c r="FX50" t="e">
        <f>AND(medidas!AK76,"AAAAAF/f/7M=")</f>
        <v>#VALUE!</v>
      </c>
      <c r="FY50" t="e">
        <f>AND(medidas!AL76,"AAAAAF/f/7Q=")</f>
        <v>#VALUE!</v>
      </c>
      <c r="FZ50" t="e">
        <f>AND(medidas!AM76,"AAAAAF/f/7U=")</f>
        <v>#VALUE!</v>
      </c>
      <c r="GA50" t="e">
        <f>AND(medidas!AN76,"AAAAAF/f/7Y=")</f>
        <v>#VALUE!</v>
      </c>
      <c r="GB50" t="e">
        <f>AND(medidas!AO76,"AAAAAF/f/7c=")</f>
        <v>#VALUE!</v>
      </c>
      <c r="GC50" t="e">
        <f>AND(medidas!AP76,"AAAAAF/f/7g=")</f>
        <v>#VALUE!</v>
      </c>
      <c r="GD50" t="e">
        <f>AND(medidas!AQ76,"AAAAAF/f/7k=")</f>
        <v>#VALUE!</v>
      </c>
      <c r="GE50" t="e">
        <f>AND(medidas!AR76,"AAAAAF/f/7o=")</f>
        <v>#VALUE!</v>
      </c>
      <c r="GF50" t="e">
        <f>AND(medidas!AS76,"AAAAAF/f/7s=")</f>
        <v>#VALUE!</v>
      </c>
      <c r="GG50" t="e">
        <f>AND(medidas!AT76,"AAAAAF/f/7w=")</f>
        <v>#VALUE!</v>
      </c>
      <c r="GH50" t="e">
        <f>AND(medidas!AU76,"AAAAAF/f/70=")</f>
        <v>#VALUE!</v>
      </c>
      <c r="GI50" t="e">
        <f>AND(medidas!AV76,"AAAAAF/f/74=")</f>
        <v>#VALUE!</v>
      </c>
      <c r="GJ50" t="e">
        <f>AND(medidas!AW76,"AAAAAF/f/78=")</f>
        <v>#VALUE!</v>
      </c>
      <c r="GK50" t="e">
        <f>AND(medidas!AX76,"AAAAAF/f/8A=")</f>
        <v>#VALUE!</v>
      </c>
      <c r="GL50" t="e">
        <f>AND(medidas!AY76,"AAAAAF/f/8E=")</f>
        <v>#VALUE!</v>
      </c>
      <c r="GM50" t="e">
        <f>AND(medidas!AZ76,"AAAAAF/f/8I=")</f>
        <v>#VALUE!</v>
      </c>
      <c r="GN50" t="e">
        <f>AND(medidas!BA76,"AAAAAF/f/8M=")</f>
        <v>#VALUE!</v>
      </c>
      <c r="GO50" t="e">
        <f>AND(medidas!BB76,"AAAAAF/f/8Q=")</f>
        <v>#VALUE!</v>
      </c>
      <c r="GP50" t="e">
        <f>AND(medidas!BC76,"AAAAAF/f/8U=")</f>
        <v>#VALUE!</v>
      </c>
      <c r="GQ50" t="e">
        <f>AND(medidas!BD76,"AAAAAF/f/8Y=")</f>
        <v>#VALUE!</v>
      </c>
      <c r="GR50" t="e">
        <f>AND(medidas!BE76,"AAAAAF/f/8c=")</f>
        <v>#VALUE!</v>
      </c>
      <c r="GS50" t="e">
        <f>AND(medidas!BF76,"AAAAAF/f/8g=")</f>
        <v>#VALUE!</v>
      </c>
      <c r="GT50" t="e">
        <f>AND(medidas!BG76,"AAAAAF/f/8k=")</f>
        <v>#VALUE!</v>
      </c>
      <c r="GU50" t="e">
        <f>AND(medidas!BH76,"AAAAAF/f/8o=")</f>
        <v>#VALUE!</v>
      </c>
      <c r="GV50" t="e">
        <f>AND(medidas!BI76,"AAAAAF/f/8s=")</f>
        <v>#VALUE!</v>
      </c>
      <c r="GW50" t="e">
        <f>AND(medidas!BJ76,"AAAAAF/f/8w=")</f>
        <v>#VALUE!</v>
      </c>
      <c r="GX50" t="e">
        <f>AND(medidas!BK76,"AAAAAF/f/80=")</f>
        <v>#VALUE!</v>
      </c>
      <c r="GY50" t="e">
        <f>AND(medidas!BL76,"AAAAAF/f/84=")</f>
        <v>#VALUE!</v>
      </c>
      <c r="GZ50" t="e">
        <f>AND(medidas!BM76,"AAAAAF/f/88=")</f>
        <v>#VALUE!</v>
      </c>
      <c r="HA50" t="e">
        <f>AND(medidas!BN76,"AAAAAF/f/9A=")</f>
        <v>#VALUE!</v>
      </c>
      <c r="HB50" t="e">
        <f>AND(medidas!BO76,"AAAAAF/f/9E=")</f>
        <v>#VALUE!</v>
      </c>
      <c r="HC50" t="e">
        <f>AND(medidas!BP76,"AAAAAF/f/9I=")</f>
        <v>#VALUE!</v>
      </c>
      <c r="HD50" t="e">
        <f>AND(medidas!BQ76,"AAAAAF/f/9M=")</f>
        <v>#VALUE!</v>
      </c>
      <c r="HE50" t="e">
        <f>AND(medidas!BR76,"AAAAAF/f/9Q=")</f>
        <v>#VALUE!</v>
      </c>
      <c r="HF50" t="e">
        <f>AND(medidas!BS76,"AAAAAF/f/9U=")</f>
        <v>#VALUE!</v>
      </c>
      <c r="HG50" t="e">
        <f>AND(medidas!BT76,"AAAAAF/f/9Y=")</f>
        <v>#VALUE!</v>
      </c>
      <c r="HH50" t="e">
        <f>AND(medidas!BU76,"AAAAAF/f/9c=")</f>
        <v>#VALUE!</v>
      </c>
      <c r="HI50" t="e">
        <f>AND(medidas!BV76,"AAAAAF/f/9g=")</f>
        <v>#VALUE!</v>
      </c>
      <c r="HJ50" t="e">
        <f>AND(medidas!BW76,"AAAAAF/f/9k=")</f>
        <v>#VALUE!</v>
      </c>
      <c r="HK50" t="e">
        <f>AND(medidas!BX76,"AAAAAF/f/9o=")</f>
        <v>#VALUE!</v>
      </c>
      <c r="HL50" t="e">
        <f>AND(medidas!BY76,"AAAAAF/f/9s=")</f>
        <v>#VALUE!</v>
      </c>
      <c r="HM50">
        <f>IF(medidas!77:77,"AAAAAF/f/9w=",0)</f>
        <v>0</v>
      </c>
      <c r="HN50" t="e">
        <f>AND(medidas!B77,"AAAAAF/f/90=")</f>
        <v>#VALUE!</v>
      </c>
      <c r="HO50" t="e">
        <f>AND(medidas!C77,"AAAAAF/f/94=")</f>
        <v>#VALUE!</v>
      </c>
      <c r="HP50" t="e">
        <f>AND(medidas!D77,"AAAAAF/f/98=")</f>
        <v>#VALUE!</v>
      </c>
      <c r="HQ50" t="e">
        <f>AND(medidas!E77,"AAAAAF/f/+A=")</f>
        <v>#VALUE!</v>
      </c>
      <c r="HR50" t="e">
        <f>AND(medidas!F77,"AAAAAF/f/+E=")</f>
        <v>#VALUE!</v>
      </c>
      <c r="HS50" t="e">
        <f>AND(medidas!G77,"AAAAAF/f/+I=")</f>
        <v>#VALUE!</v>
      </c>
      <c r="HT50" t="e">
        <f>AND(medidas!H77,"AAAAAF/f/+M=")</f>
        <v>#VALUE!</v>
      </c>
      <c r="HU50" t="e">
        <f>AND(medidas!I77,"AAAAAF/f/+Q=")</f>
        <v>#VALUE!</v>
      </c>
      <c r="HV50" t="e">
        <f>AND(medidas!J77,"AAAAAF/f/+U=")</f>
        <v>#VALUE!</v>
      </c>
      <c r="HW50" t="e">
        <f>AND(medidas!K77,"AAAAAF/f/+Y=")</f>
        <v>#VALUE!</v>
      </c>
      <c r="HX50" t="e">
        <f>AND(medidas!L77,"AAAAAF/f/+c=")</f>
        <v>#VALUE!</v>
      </c>
      <c r="HY50" t="e">
        <f>AND(medidas!M77,"AAAAAF/f/+g=")</f>
        <v>#VALUE!</v>
      </c>
      <c r="HZ50" t="e">
        <f>AND(medidas!N77,"AAAAAF/f/+k=")</f>
        <v>#VALUE!</v>
      </c>
      <c r="IA50" t="e">
        <f>AND(medidas!O77,"AAAAAF/f/+o=")</f>
        <v>#VALUE!</v>
      </c>
      <c r="IB50" t="e">
        <f>AND(medidas!P77,"AAAAAF/f/+s=")</f>
        <v>#VALUE!</v>
      </c>
      <c r="IC50" t="e">
        <f>AND(medidas!Q77,"AAAAAF/f/+w=")</f>
        <v>#VALUE!</v>
      </c>
      <c r="ID50" t="e">
        <f>AND(medidas!R77,"AAAAAF/f/+0=")</f>
        <v>#VALUE!</v>
      </c>
      <c r="IE50" t="e">
        <f>AND(medidas!S77,"AAAAAF/f/+4=")</f>
        <v>#VALUE!</v>
      </c>
      <c r="IF50" t="e">
        <f>AND(medidas!T77,"AAAAAF/f/+8=")</f>
        <v>#VALUE!</v>
      </c>
      <c r="IG50" t="e">
        <f>AND(medidas!U77,"AAAAAF/f//A=")</f>
        <v>#VALUE!</v>
      </c>
      <c r="IH50" t="e">
        <f>AND(medidas!V77,"AAAAAF/f//E=")</f>
        <v>#VALUE!</v>
      </c>
      <c r="II50" t="e">
        <f>AND(medidas!W77,"AAAAAF/f//I=")</f>
        <v>#VALUE!</v>
      </c>
      <c r="IJ50" t="e">
        <f>AND(medidas!X77,"AAAAAF/f//M=")</f>
        <v>#VALUE!</v>
      </c>
      <c r="IK50" t="e">
        <f>AND(medidas!Y77,"AAAAAF/f//Q=")</f>
        <v>#VALUE!</v>
      </c>
      <c r="IL50" t="e">
        <f>AND(medidas!Z77,"AAAAAF/f//U=")</f>
        <v>#VALUE!</v>
      </c>
      <c r="IM50" t="e">
        <f>AND(medidas!AA77,"AAAAAF/f//Y=")</f>
        <v>#VALUE!</v>
      </c>
      <c r="IN50" t="e">
        <f>AND(medidas!AB77,"AAAAAF/f//c=")</f>
        <v>#VALUE!</v>
      </c>
      <c r="IO50" t="e">
        <f>AND(medidas!AC77,"AAAAAF/f//g=")</f>
        <v>#VALUE!</v>
      </c>
      <c r="IP50" t="e">
        <f>AND(medidas!AD77,"AAAAAF/f//k=")</f>
        <v>#VALUE!</v>
      </c>
      <c r="IQ50" t="e">
        <f>AND(medidas!AE77,"AAAAAF/f//o=")</f>
        <v>#VALUE!</v>
      </c>
      <c r="IR50" t="e">
        <f>AND(medidas!AF77,"AAAAAF/f//s=")</f>
        <v>#VALUE!</v>
      </c>
      <c r="IS50" t="e">
        <f>AND(medidas!AG77,"AAAAAF/f//w=")</f>
        <v>#VALUE!</v>
      </c>
      <c r="IT50" t="e">
        <f>AND(medidas!AH77,"AAAAAF/f//0=")</f>
        <v>#VALUE!</v>
      </c>
      <c r="IU50" t="e">
        <f>AND(medidas!AI77,"AAAAAF/f//4=")</f>
        <v>#VALUE!</v>
      </c>
      <c r="IV50" t="e">
        <f>AND(medidas!AJ77,"AAAAAF/f//8=")</f>
        <v>#VALUE!</v>
      </c>
    </row>
    <row r="51" spans="1:256" x14ac:dyDescent="0.2">
      <c r="A51" t="e">
        <f>AND(medidas!AK77,"AAAAAB/tfwA=")</f>
        <v>#VALUE!</v>
      </c>
      <c r="B51" t="e">
        <f>AND(medidas!AL77,"AAAAAB/tfwE=")</f>
        <v>#VALUE!</v>
      </c>
      <c r="C51" t="e">
        <f>AND(medidas!AM77,"AAAAAB/tfwI=")</f>
        <v>#VALUE!</v>
      </c>
      <c r="D51" t="e">
        <f>AND(medidas!AN77,"AAAAAB/tfwM=")</f>
        <v>#VALUE!</v>
      </c>
      <c r="E51" t="e">
        <f>AND(medidas!AO77,"AAAAAB/tfwQ=")</f>
        <v>#VALUE!</v>
      </c>
      <c r="F51" t="e">
        <f>AND(medidas!AP77,"AAAAAB/tfwU=")</f>
        <v>#VALUE!</v>
      </c>
      <c r="G51" t="e">
        <f>AND(medidas!AQ77,"AAAAAB/tfwY=")</f>
        <v>#VALUE!</v>
      </c>
      <c r="H51" t="e">
        <f>AND(medidas!AR77,"AAAAAB/tfwc=")</f>
        <v>#VALUE!</v>
      </c>
      <c r="I51" t="e">
        <f>AND(medidas!AS77,"AAAAAB/tfwg=")</f>
        <v>#VALUE!</v>
      </c>
      <c r="J51" t="e">
        <f>AND(medidas!AT77,"AAAAAB/tfwk=")</f>
        <v>#VALUE!</v>
      </c>
      <c r="K51" t="e">
        <f>AND(medidas!AU77,"AAAAAB/tfwo=")</f>
        <v>#VALUE!</v>
      </c>
      <c r="L51" t="e">
        <f>AND(medidas!AV77,"AAAAAB/tfws=")</f>
        <v>#VALUE!</v>
      </c>
      <c r="M51" t="e">
        <f>AND(medidas!AW77,"AAAAAB/tfww=")</f>
        <v>#VALUE!</v>
      </c>
      <c r="N51" t="e">
        <f>AND(medidas!AX77,"AAAAAB/tfw0=")</f>
        <v>#VALUE!</v>
      </c>
      <c r="O51" t="e">
        <f>AND(medidas!AY77,"AAAAAB/tfw4=")</f>
        <v>#VALUE!</v>
      </c>
      <c r="P51" t="e">
        <f>AND(medidas!AZ77,"AAAAAB/tfw8=")</f>
        <v>#VALUE!</v>
      </c>
      <c r="Q51" t="e">
        <f>AND(medidas!BA77,"AAAAAB/tfxA=")</f>
        <v>#VALUE!</v>
      </c>
      <c r="R51" t="e">
        <f>AND(medidas!BB77,"AAAAAB/tfxE=")</f>
        <v>#VALUE!</v>
      </c>
      <c r="S51" t="e">
        <f>AND(medidas!BC77,"AAAAAB/tfxI=")</f>
        <v>#VALUE!</v>
      </c>
      <c r="T51" t="e">
        <f>AND(medidas!BD77,"AAAAAB/tfxM=")</f>
        <v>#VALUE!</v>
      </c>
      <c r="U51" t="e">
        <f>AND(medidas!BE77,"AAAAAB/tfxQ=")</f>
        <v>#VALUE!</v>
      </c>
      <c r="V51" t="e">
        <f>AND(medidas!BF77,"AAAAAB/tfxU=")</f>
        <v>#VALUE!</v>
      </c>
      <c r="W51" t="e">
        <f>AND(medidas!BG77,"AAAAAB/tfxY=")</f>
        <v>#VALUE!</v>
      </c>
      <c r="X51" t="e">
        <f>AND(medidas!BH77,"AAAAAB/tfxc=")</f>
        <v>#VALUE!</v>
      </c>
      <c r="Y51" t="e">
        <f>AND(medidas!BI77,"AAAAAB/tfxg=")</f>
        <v>#VALUE!</v>
      </c>
      <c r="Z51" t="e">
        <f>AND(medidas!BJ77,"AAAAAB/tfxk=")</f>
        <v>#VALUE!</v>
      </c>
      <c r="AA51" t="e">
        <f>AND(medidas!BK77,"AAAAAB/tfxo=")</f>
        <v>#VALUE!</v>
      </c>
      <c r="AB51" t="e">
        <f>AND(medidas!BL77,"AAAAAB/tfxs=")</f>
        <v>#VALUE!</v>
      </c>
      <c r="AC51" t="e">
        <f>AND(medidas!BM77,"AAAAAB/tfxw=")</f>
        <v>#VALUE!</v>
      </c>
      <c r="AD51" t="e">
        <f>AND(medidas!BN77,"AAAAAB/tfx0=")</f>
        <v>#VALUE!</v>
      </c>
      <c r="AE51" t="e">
        <f>AND(medidas!BO77,"AAAAAB/tfx4=")</f>
        <v>#VALUE!</v>
      </c>
      <c r="AF51" t="e">
        <f>AND(medidas!BP77,"AAAAAB/tfx8=")</f>
        <v>#VALUE!</v>
      </c>
      <c r="AG51" t="e">
        <f>AND(medidas!BQ77,"AAAAAB/tfyA=")</f>
        <v>#VALUE!</v>
      </c>
      <c r="AH51" t="e">
        <f>AND(medidas!BR77,"AAAAAB/tfyE=")</f>
        <v>#VALUE!</v>
      </c>
      <c r="AI51" t="e">
        <f>AND(medidas!BS77,"AAAAAB/tfyI=")</f>
        <v>#VALUE!</v>
      </c>
      <c r="AJ51" t="e">
        <f>AND(medidas!BT77,"AAAAAB/tfyM=")</f>
        <v>#VALUE!</v>
      </c>
      <c r="AK51" t="e">
        <f>AND(medidas!BU77,"AAAAAB/tfyQ=")</f>
        <v>#VALUE!</v>
      </c>
      <c r="AL51" t="e">
        <f>AND(medidas!BV77,"AAAAAB/tfyU=")</f>
        <v>#VALUE!</v>
      </c>
      <c r="AM51" t="e">
        <f>AND(medidas!BW77,"AAAAAB/tfyY=")</f>
        <v>#VALUE!</v>
      </c>
      <c r="AN51" t="e">
        <f>AND(medidas!BX77,"AAAAAB/tfyc=")</f>
        <v>#VALUE!</v>
      </c>
      <c r="AO51" t="e">
        <f>AND(medidas!BY77,"AAAAAB/tfyg=")</f>
        <v>#VALUE!</v>
      </c>
      <c r="AP51">
        <f>IF(medidas!78:78,"AAAAAB/tfyk=",0)</f>
        <v>0</v>
      </c>
      <c r="AQ51" t="e">
        <f>AND(medidas!B78,"AAAAAB/tfyo=")</f>
        <v>#VALUE!</v>
      </c>
      <c r="AR51" t="e">
        <f>AND(medidas!C78,"AAAAAB/tfys=")</f>
        <v>#VALUE!</v>
      </c>
      <c r="AS51" t="e">
        <f>AND(medidas!D78,"AAAAAB/tfyw=")</f>
        <v>#VALUE!</v>
      </c>
      <c r="AT51" t="e">
        <f>AND(medidas!E78,"AAAAAB/tfy0=")</f>
        <v>#VALUE!</v>
      </c>
      <c r="AU51" t="e">
        <f>AND(medidas!F78,"AAAAAB/tfy4=")</f>
        <v>#VALUE!</v>
      </c>
      <c r="AV51" t="e">
        <f>AND(medidas!G78,"AAAAAB/tfy8=")</f>
        <v>#VALUE!</v>
      </c>
      <c r="AW51" t="e">
        <f>AND(medidas!H78,"AAAAAB/tfzA=")</f>
        <v>#VALUE!</v>
      </c>
      <c r="AX51" t="e">
        <f>AND(medidas!I78,"AAAAAB/tfzE=")</f>
        <v>#VALUE!</v>
      </c>
      <c r="AY51" t="e">
        <f>AND(medidas!J78,"AAAAAB/tfzI=")</f>
        <v>#VALUE!</v>
      </c>
      <c r="AZ51" t="e">
        <f>AND(medidas!K78,"AAAAAB/tfzM=")</f>
        <v>#VALUE!</v>
      </c>
      <c r="BA51" t="e">
        <f>AND(medidas!L78,"AAAAAB/tfzQ=")</f>
        <v>#VALUE!</v>
      </c>
      <c r="BB51" t="e">
        <f>AND(medidas!M78,"AAAAAB/tfzU=")</f>
        <v>#VALUE!</v>
      </c>
      <c r="BC51" t="e">
        <f>AND(medidas!N78,"AAAAAB/tfzY=")</f>
        <v>#VALUE!</v>
      </c>
      <c r="BD51" t="e">
        <f>AND(medidas!O78,"AAAAAB/tfzc=")</f>
        <v>#VALUE!</v>
      </c>
      <c r="BE51" t="e">
        <f>AND(medidas!P78,"AAAAAB/tfzg=")</f>
        <v>#VALUE!</v>
      </c>
      <c r="BF51" t="e">
        <f>AND(medidas!Q78,"AAAAAB/tfzk=")</f>
        <v>#VALUE!</v>
      </c>
      <c r="BG51" t="e">
        <f>AND(medidas!R78,"AAAAAB/tfzo=")</f>
        <v>#VALUE!</v>
      </c>
      <c r="BH51" t="e">
        <f>AND(medidas!S78,"AAAAAB/tfzs=")</f>
        <v>#VALUE!</v>
      </c>
      <c r="BI51" t="e">
        <f>AND(medidas!T78,"AAAAAB/tfzw=")</f>
        <v>#VALUE!</v>
      </c>
      <c r="BJ51" t="e">
        <f>AND(medidas!U78,"AAAAAB/tfz0=")</f>
        <v>#VALUE!</v>
      </c>
      <c r="BK51" t="e">
        <f>AND(medidas!V78,"AAAAAB/tfz4=")</f>
        <v>#VALUE!</v>
      </c>
      <c r="BL51" t="e">
        <f>AND(medidas!W78,"AAAAAB/tfz8=")</f>
        <v>#VALUE!</v>
      </c>
      <c r="BM51" t="e">
        <f>AND(medidas!X78,"AAAAAB/tf0A=")</f>
        <v>#VALUE!</v>
      </c>
      <c r="BN51" t="e">
        <f>AND(medidas!Y78,"AAAAAB/tf0E=")</f>
        <v>#VALUE!</v>
      </c>
      <c r="BO51" t="e">
        <f>AND(medidas!Z78,"AAAAAB/tf0I=")</f>
        <v>#VALUE!</v>
      </c>
      <c r="BP51" t="e">
        <f>AND(medidas!AA78,"AAAAAB/tf0M=")</f>
        <v>#VALUE!</v>
      </c>
      <c r="BQ51" t="e">
        <f>AND(medidas!AB78,"AAAAAB/tf0Q=")</f>
        <v>#VALUE!</v>
      </c>
      <c r="BR51" t="e">
        <f>AND(medidas!AC78,"AAAAAB/tf0U=")</f>
        <v>#VALUE!</v>
      </c>
      <c r="BS51" t="e">
        <f>AND(medidas!AD78,"AAAAAB/tf0Y=")</f>
        <v>#VALUE!</v>
      </c>
      <c r="BT51" t="e">
        <f>AND(medidas!AE78,"AAAAAB/tf0c=")</f>
        <v>#VALUE!</v>
      </c>
      <c r="BU51" t="e">
        <f>AND(medidas!AF78,"AAAAAB/tf0g=")</f>
        <v>#VALUE!</v>
      </c>
      <c r="BV51" t="e">
        <f>AND(medidas!AG78,"AAAAAB/tf0k=")</f>
        <v>#VALUE!</v>
      </c>
      <c r="BW51" t="e">
        <f>AND(medidas!AH78,"AAAAAB/tf0o=")</f>
        <v>#VALUE!</v>
      </c>
      <c r="BX51" t="e">
        <f>AND(medidas!AI78,"AAAAAB/tf0s=")</f>
        <v>#VALUE!</v>
      </c>
      <c r="BY51" t="e">
        <f>AND(medidas!AJ78,"AAAAAB/tf0w=")</f>
        <v>#VALUE!</v>
      </c>
      <c r="BZ51" t="e">
        <f>AND(medidas!AK78,"AAAAAB/tf00=")</f>
        <v>#VALUE!</v>
      </c>
      <c r="CA51" t="e">
        <f>AND(medidas!AL78,"AAAAAB/tf04=")</f>
        <v>#VALUE!</v>
      </c>
      <c r="CB51" t="e">
        <f>AND(medidas!AM78,"AAAAAB/tf08=")</f>
        <v>#VALUE!</v>
      </c>
      <c r="CC51" t="e">
        <f>AND(medidas!AN78,"AAAAAB/tf1A=")</f>
        <v>#VALUE!</v>
      </c>
      <c r="CD51" t="e">
        <f>AND(medidas!AO78,"AAAAAB/tf1E=")</f>
        <v>#VALUE!</v>
      </c>
      <c r="CE51" t="e">
        <f>AND(medidas!AP78,"AAAAAB/tf1I=")</f>
        <v>#VALUE!</v>
      </c>
      <c r="CF51" t="e">
        <f>AND(medidas!AQ78,"AAAAAB/tf1M=")</f>
        <v>#VALUE!</v>
      </c>
      <c r="CG51" t="e">
        <f>AND(medidas!AR78,"AAAAAB/tf1Q=")</f>
        <v>#VALUE!</v>
      </c>
      <c r="CH51" t="e">
        <f>AND(medidas!AS78,"AAAAAB/tf1U=")</f>
        <v>#VALUE!</v>
      </c>
      <c r="CI51" t="e">
        <f>AND(medidas!AT78,"AAAAAB/tf1Y=")</f>
        <v>#VALUE!</v>
      </c>
      <c r="CJ51" t="e">
        <f>AND(medidas!AU78,"AAAAAB/tf1c=")</f>
        <v>#VALUE!</v>
      </c>
      <c r="CK51" t="e">
        <f>AND(medidas!AV78,"AAAAAB/tf1g=")</f>
        <v>#VALUE!</v>
      </c>
      <c r="CL51" t="e">
        <f>AND(medidas!AW78,"AAAAAB/tf1k=")</f>
        <v>#VALUE!</v>
      </c>
      <c r="CM51" t="e">
        <f>AND(medidas!AX78,"AAAAAB/tf1o=")</f>
        <v>#VALUE!</v>
      </c>
      <c r="CN51" t="e">
        <f>AND(medidas!AY78,"AAAAAB/tf1s=")</f>
        <v>#VALUE!</v>
      </c>
      <c r="CO51" t="e">
        <f>AND(medidas!AZ78,"AAAAAB/tf1w=")</f>
        <v>#VALUE!</v>
      </c>
      <c r="CP51" t="e">
        <f>AND(medidas!BA78,"AAAAAB/tf10=")</f>
        <v>#VALUE!</v>
      </c>
      <c r="CQ51" t="e">
        <f>AND(medidas!BB78,"AAAAAB/tf14=")</f>
        <v>#VALUE!</v>
      </c>
      <c r="CR51" t="e">
        <f>AND(medidas!BC78,"AAAAAB/tf18=")</f>
        <v>#VALUE!</v>
      </c>
      <c r="CS51" t="e">
        <f>AND(medidas!BD78,"AAAAAB/tf2A=")</f>
        <v>#VALUE!</v>
      </c>
      <c r="CT51" t="e">
        <f>AND(medidas!BE78,"AAAAAB/tf2E=")</f>
        <v>#VALUE!</v>
      </c>
      <c r="CU51" t="e">
        <f>AND(medidas!BF78,"AAAAAB/tf2I=")</f>
        <v>#VALUE!</v>
      </c>
      <c r="CV51" t="e">
        <f>AND(medidas!BG78,"AAAAAB/tf2M=")</f>
        <v>#VALUE!</v>
      </c>
      <c r="CW51" t="e">
        <f>AND(medidas!BH78,"AAAAAB/tf2Q=")</f>
        <v>#VALUE!</v>
      </c>
      <c r="CX51" t="e">
        <f>AND(medidas!BI78,"AAAAAB/tf2U=")</f>
        <v>#VALUE!</v>
      </c>
      <c r="CY51" t="e">
        <f>AND(medidas!BJ78,"AAAAAB/tf2Y=")</f>
        <v>#VALUE!</v>
      </c>
      <c r="CZ51" t="e">
        <f>AND(medidas!BK78,"AAAAAB/tf2c=")</f>
        <v>#VALUE!</v>
      </c>
      <c r="DA51" t="e">
        <f>AND(medidas!BL78,"AAAAAB/tf2g=")</f>
        <v>#VALUE!</v>
      </c>
      <c r="DB51" t="e">
        <f>AND(medidas!BM78,"AAAAAB/tf2k=")</f>
        <v>#VALUE!</v>
      </c>
      <c r="DC51" t="e">
        <f>AND(medidas!BN78,"AAAAAB/tf2o=")</f>
        <v>#VALUE!</v>
      </c>
      <c r="DD51" t="e">
        <f>AND(medidas!BO78,"AAAAAB/tf2s=")</f>
        <v>#VALUE!</v>
      </c>
      <c r="DE51" t="e">
        <f>AND(medidas!BP78,"AAAAAB/tf2w=")</f>
        <v>#VALUE!</v>
      </c>
      <c r="DF51" t="e">
        <f>AND(medidas!BQ78,"AAAAAB/tf20=")</f>
        <v>#VALUE!</v>
      </c>
      <c r="DG51" t="e">
        <f>AND(medidas!BR78,"AAAAAB/tf24=")</f>
        <v>#VALUE!</v>
      </c>
      <c r="DH51" t="e">
        <f>AND(medidas!BS78,"AAAAAB/tf28=")</f>
        <v>#VALUE!</v>
      </c>
      <c r="DI51" t="e">
        <f>AND(medidas!BT78,"AAAAAB/tf3A=")</f>
        <v>#VALUE!</v>
      </c>
      <c r="DJ51" t="e">
        <f>AND(medidas!BU78,"AAAAAB/tf3E=")</f>
        <v>#VALUE!</v>
      </c>
      <c r="DK51" t="e">
        <f>AND(medidas!BV78,"AAAAAB/tf3I=")</f>
        <v>#VALUE!</v>
      </c>
      <c r="DL51" t="e">
        <f>AND(medidas!BW78,"AAAAAB/tf3M=")</f>
        <v>#VALUE!</v>
      </c>
      <c r="DM51" t="e">
        <f>AND(medidas!BX78,"AAAAAB/tf3Q=")</f>
        <v>#VALUE!</v>
      </c>
      <c r="DN51" t="e">
        <f>AND(medidas!BY78,"AAAAAB/tf3U=")</f>
        <v>#VALUE!</v>
      </c>
      <c r="DO51">
        <f>IF(medidas!79:79,"AAAAAB/tf3Y=",0)</f>
        <v>0</v>
      </c>
      <c r="DP51" t="e">
        <f>AND(medidas!B79,"AAAAAB/tf3c=")</f>
        <v>#VALUE!</v>
      </c>
      <c r="DQ51" t="e">
        <f>AND(medidas!C79,"AAAAAB/tf3g=")</f>
        <v>#VALUE!</v>
      </c>
      <c r="DR51" t="e">
        <f>AND(medidas!D79,"AAAAAB/tf3k=")</f>
        <v>#VALUE!</v>
      </c>
      <c r="DS51" t="e">
        <f>AND(medidas!E79,"AAAAAB/tf3o=")</f>
        <v>#VALUE!</v>
      </c>
      <c r="DT51" t="e">
        <f>AND(medidas!F79,"AAAAAB/tf3s=")</f>
        <v>#VALUE!</v>
      </c>
      <c r="DU51" t="e">
        <f>AND(medidas!G79,"AAAAAB/tf3w=")</f>
        <v>#VALUE!</v>
      </c>
      <c r="DV51" t="e">
        <f>AND(medidas!H79,"AAAAAB/tf30=")</f>
        <v>#VALUE!</v>
      </c>
      <c r="DW51" t="e">
        <f>AND(medidas!I79,"AAAAAB/tf34=")</f>
        <v>#VALUE!</v>
      </c>
      <c r="DX51" t="e">
        <f>AND(medidas!J79,"AAAAAB/tf38=")</f>
        <v>#VALUE!</v>
      </c>
      <c r="DY51" t="e">
        <f>AND(medidas!K79,"AAAAAB/tf4A=")</f>
        <v>#VALUE!</v>
      </c>
      <c r="DZ51" t="e">
        <f>AND(medidas!L79,"AAAAAB/tf4E=")</f>
        <v>#VALUE!</v>
      </c>
      <c r="EA51" t="e">
        <f>AND(medidas!M79,"AAAAAB/tf4I=")</f>
        <v>#VALUE!</v>
      </c>
      <c r="EB51" t="e">
        <f>AND(medidas!N79,"AAAAAB/tf4M=")</f>
        <v>#VALUE!</v>
      </c>
      <c r="EC51" t="e">
        <f>AND(medidas!O79,"AAAAAB/tf4Q=")</f>
        <v>#VALUE!</v>
      </c>
      <c r="ED51" t="e">
        <f>AND(medidas!P79,"AAAAAB/tf4U=")</f>
        <v>#VALUE!</v>
      </c>
      <c r="EE51" t="e">
        <f>AND(medidas!Q79,"AAAAAB/tf4Y=")</f>
        <v>#VALUE!</v>
      </c>
      <c r="EF51" t="e">
        <f>AND(medidas!R79,"AAAAAB/tf4c=")</f>
        <v>#VALUE!</v>
      </c>
      <c r="EG51" t="e">
        <f>AND(medidas!S79,"AAAAAB/tf4g=")</f>
        <v>#VALUE!</v>
      </c>
      <c r="EH51" t="e">
        <f>AND(medidas!T79,"AAAAAB/tf4k=")</f>
        <v>#VALUE!</v>
      </c>
      <c r="EI51" t="e">
        <f>AND(medidas!U79,"AAAAAB/tf4o=")</f>
        <v>#VALUE!</v>
      </c>
      <c r="EJ51" t="e">
        <f>AND(medidas!V79,"AAAAAB/tf4s=")</f>
        <v>#VALUE!</v>
      </c>
      <c r="EK51" t="e">
        <f>AND(medidas!W79,"AAAAAB/tf4w=")</f>
        <v>#VALUE!</v>
      </c>
      <c r="EL51" t="e">
        <f>AND(medidas!X79,"AAAAAB/tf40=")</f>
        <v>#VALUE!</v>
      </c>
      <c r="EM51" t="e">
        <f>AND(medidas!Y79,"AAAAAB/tf44=")</f>
        <v>#VALUE!</v>
      </c>
      <c r="EN51" t="e">
        <f>AND(medidas!Z79,"AAAAAB/tf48=")</f>
        <v>#VALUE!</v>
      </c>
      <c r="EO51" t="e">
        <f>AND(medidas!AA79,"AAAAAB/tf5A=")</f>
        <v>#VALUE!</v>
      </c>
      <c r="EP51" t="e">
        <f>AND(medidas!AB79,"AAAAAB/tf5E=")</f>
        <v>#VALUE!</v>
      </c>
      <c r="EQ51" t="e">
        <f>AND(medidas!AC79,"AAAAAB/tf5I=")</f>
        <v>#VALUE!</v>
      </c>
      <c r="ER51" t="e">
        <f>AND(medidas!AD79,"AAAAAB/tf5M=")</f>
        <v>#VALUE!</v>
      </c>
      <c r="ES51" t="e">
        <f>AND(medidas!AE79,"AAAAAB/tf5Q=")</f>
        <v>#VALUE!</v>
      </c>
      <c r="ET51" t="e">
        <f>AND(medidas!AF79,"AAAAAB/tf5U=")</f>
        <v>#VALUE!</v>
      </c>
      <c r="EU51" t="e">
        <f>AND(medidas!AG79,"AAAAAB/tf5Y=")</f>
        <v>#VALUE!</v>
      </c>
      <c r="EV51" t="e">
        <f>AND(medidas!AH79,"AAAAAB/tf5c=")</f>
        <v>#VALUE!</v>
      </c>
      <c r="EW51" t="e">
        <f>AND(medidas!AI79,"AAAAAB/tf5g=")</f>
        <v>#VALUE!</v>
      </c>
      <c r="EX51" t="e">
        <f>AND(medidas!AJ79,"AAAAAB/tf5k=")</f>
        <v>#VALUE!</v>
      </c>
      <c r="EY51" t="e">
        <f>AND(medidas!AK79,"AAAAAB/tf5o=")</f>
        <v>#VALUE!</v>
      </c>
      <c r="EZ51" t="e">
        <f>AND(medidas!AL79,"AAAAAB/tf5s=")</f>
        <v>#VALUE!</v>
      </c>
      <c r="FA51" t="e">
        <f>AND(medidas!AM79,"AAAAAB/tf5w=")</f>
        <v>#VALUE!</v>
      </c>
      <c r="FB51" t="e">
        <f>AND(medidas!AN79,"AAAAAB/tf50=")</f>
        <v>#VALUE!</v>
      </c>
      <c r="FC51" t="e">
        <f>AND(medidas!AO79,"AAAAAB/tf54=")</f>
        <v>#VALUE!</v>
      </c>
      <c r="FD51" t="e">
        <f>AND(medidas!AP79,"AAAAAB/tf58=")</f>
        <v>#VALUE!</v>
      </c>
      <c r="FE51" t="e">
        <f>AND(medidas!AQ79,"AAAAAB/tf6A=")</f>
        <v>#VALUE!</v>
      </c>
      <c r="FF51" t="e">
        <f>AND(medidas!AR79,"AAAAAB/tf6E=")</f>
        <v>#VALUE!</v>
      </c>
      <c r="FG51" t="e">
        <f>AND(medidas!AS79,"AAAAAB/tf6I=")</f>
        <v>#VALUE!</v>
      </c>
      <c r="FH51" t="e">
        <f>AND(medidas!AT79,"AAAAAB/tf6M=")</f>
        <v>#VALUE!</v>
      </c>
      <c r="FI51" t="e">
        <f>AND(medidas!AU79,"AAAAAB/tf6Q=")</f>
        <v>#VALUE!</v>
      </c>
      <c r="FJ51" t="e">
        <f>AND(medidas!AV79,"AAAAAB/tf6U=")</f>
        <v>#VALUE!</v>
      </c>
      <c r="FK51" t="e">
        <f>AND(medidas!AW79,"AAAAAB/tf6Y=")</f>
        <v>#VALUE!</v>
      </c>
      <c r="FL51" t="e">
        <f>AND(medidas!AX79,"AAAAAB/tf6c=")</f>
        <v>#VALUE!</v>
      </c>
      <c r="FM51" t="e">
        <f>AND(medidas!AY79,"AAAAAB/tf6g=")</f>
        <v>#VALUE!</v>
      </c>
      <c r="FN51" t="e">
        <f>AND(medidas!AZ79,"AAAAAB/tf6k=")</f>
        <v>#VALUE!</v>
      </c>
      <c r="FO51" t="e">
        <f>AND(medidas!BA79,"AAAAAB/tf6o=")</f>
        <v>#VALUE!</v>
      </c>
      <c r="FP51" t="e">
        <f>AND(medidas!BB79,"AAAAAB/tf6s=")</f>
        <v>#VALUE!</v>
      </c>
      <c r="FQ51" t="e">
        <f>AND(medidas!BC79,"AAAAAB/tf6w=")</f>
        <v>#VALUE!</v>
      </c>
      <c r="FR51" t="e">
        <f>AND(medidas!BD79,"AAAAAB/tf60=")</f>
        <v>#VALUE!</v>
      </c>
      <c r="FS51" t="e">
        <f>AND(medidas!BE79,"AAAAAB/tf64=")</f>
        <v>#VALUE!</v>
      </c>
      <c r="FT51" t="e">
        <f>AND(medidas!BF79,"AAAAAB/tf68=")</f>
        <v>#VALUE!</v>
      </c>
      <c r="FU51" t="e">
        <f>AND(medidas!BG79,"AAAAAB/tf7A=")</f>
        <v>#VALUE!</v>
      </c>
      <c r="FV51" t="e">
        <f>AND(medidas!BH79,"AAAAAB/tf7E=")</f>
        <v>#VALUE!</v>
      </c>
      <c r="FW51" t="e">
        <f>AND(medidas!BI79,"AAAAAB/tf7I=")</f>
        <v>#VALUE!</v>
      </c>
      <c r="FX51" t="e">
        <f>AND(medidas!BJ79,"AAAAAB/tf7M=")</f>
        <v>#VALUE!</v>
      </c>
      <c r="FY51" t="e">
        <f>AND(medidas!BK79,"AAAAAB/tf7Q=")</f>
        <v>#VALUE!</v>
      </c>
      <c r="FZ51" t="e">
        <f>AND(medidas!BL79,"AAAAAB/tf7U=")</f>
        <v>#VALUE!</v>
      </c>
      <c r="GA51" t="e">
        <f>AND(medidas!BM79,"AAAAAB/tf7Y=")</f>
        <v>#VALUE!</v>
      </c>
      <c r="GB51" t="e">
        <f>AND(medidas!BN79,"AAAAAB/tf7c=")</f>
        <v>#VALUE!</v>
      </c>
      <c r="GC51" t="e">
        <f>AND(medidas!BO79,"AAAAAB/tf7g=")</f>
        <v>#VALUE!</v>
      </c>
      <c r="GD51" t="e">
        <f>AND(medidas!BP79,"AAAAAB/tf7k=")</f>
        <v>#VALUE!</v>
      </c>
      <c r="GE51" t="e">
        <f>AND(medidas!BQ79,"AAAAAB/tf7o=")</f>
        <v>#VALUE!</v>
      </c>
      <c r="GF51" t="e">
        <f>AND(medidas!BR79,"AAAAAB/tf7s=")</f>
        <v>#VALUE!</v>
      </c>
      <c r="GG51" t="e">
        <f>AND(medidas!BS79,"AAAAAB/tf7w=")</f>
        <v>#VALUE!</v>
      </c>
      <c r="GH51" t="e">
        <f>AND(medidas!BT79,"AAAAAB/tf70=")</f>
        <v>#VALUE!</v>
      </c>
      <c r="GI51" t="e">
        <f>AND(medidas!BU79,"AAAAAB/tf74=")</f>
        <v>#VALUE!</v>
      </c>
      <c r="GJ51" t="e">
        <f>AND(medidas!BV79,"AAAAAB/tf78=")</f>
        <v>#VALUE!</v>
      </c>
      <c r="GK51" t="e">
        <f>AND(medidas!BW79,"AAAAAB/tf8A=")</f>
        <v>#VALUE!</v>
      </c>
      <c r="GL51" t="e">
        <f>AND(medidas!BX79,"AAAAAB/tf8E=")</f>
        <v>#VALUE!</v>
      </c>
      <c r="GM51" t="e">
        <f>AND(medidas!BY79,"AAAAAB/tf8I=")</f>
        <v>#VALUE!</v>
      </c>
      <c r="GN51">
        <f>IF(medidas!80:80,"AAAAAB/tf8M=",0)</f>
        <v>0</v>
      </c>
      <c r="GO51" t="e">
        <f>AND(medidas!B80,"AAAAAB/tf8Q=")</f>
        <v>#VALUE!</v>
      </c>
      <c r="GP51" t="e">
        <f>AND(medidas!C80,"AAAAAB/tf8U=")</f>
        <v>#VALUE!</v>
      </c>
      <c r="GQ51" t="e">
        <f>AND(medidas!D80,"AAAAAB/tf8Y=")</f>
        <v>#VALUE!</v>
      </c>
      <c r="GR51" t="e">
        <f>AND(medidas!E80,"AAAAAB/tf8c=")</f>
        <v>#VALUE!</v>
      </c>
      <c r="GS51" t="e">
        <f>AND(medidas!F80,"AAAAAB/tf8g=")</f>
        <v>#VALUE!</v>
      </c>
      <c r="GT51" t="e">
        <f>AND(medidas!G80,"AAAAAB/tf8k=")</f>
        <v>#VALUE!</v>
      </c>
      <c r="GU51" t="e">
        <f>AND(medidas!H80,"AAAAAB/tf8o=")</f>
        <v>#VALUE!</v>
      </c>
      <c r="GV51" t="e">
        <f>AND(medidas!I80,"AAAAAB/tf8s=")</f>
        <v>#VALUE!</v>
      </c>
      <c r="GW51" t="e">
        <f>AND(medidas!J80,"AAAAAB/tf8w=")</f>
        <v>#VALUE!</v>
      </c>
      <c r="GX51" t="e">
        <f>AND(medidas!K80,"AAAAAB/tf80=")</f>
        <v>#VALUE!</v>
      </c>
      <c r="GY51" t="e">
        <f>AND(medidas!L80,"AAAAAB/tf84=")</f>
        <v>#VALUE!</v>
      </c>
      <c r="GZ51" t="e">
        <f>AND(medidas!M80,"AAAAAB/tf88=")</f>
        <v>#VALUE!</v>
      </c>
      <c r="HA51" t="e">
        <f>AND(medidas!N80,"AAAAAB/tf9A=")</f>
        <v>#VALUE!</v>
      </c>
      <c r="HB51" t="e">
        <f>AND(medidas!O80,"AAAAAB/tf9E=")</f>
        <v>#VALUE!</v>
      </c>
      <c r="HC51" t="e">
        <f>AND(medidas!P80,"AAAAAB/tf9I=")</f>
        <v>#VALUE!</v>
      </c>
      <c r="HD51" t="e">
        <f>AND(medidas!Q80,"AAAAAB/tf9M=")</f>
        <v>#VALUE!</v>
      </c>
      <c r="HE51" t="e">
        <f>AND(medidas!R80,"AAAAAB/tf9Q=")</f>
        <v>#VALUE!</v>
      </c>
      <c r="HF51" t="e">
        <f>AND(medidas!S80,"AAAAAB/tf9U=")</f>
        <v>#VALUE!</v>
      </c>
      <c r="HG51" t="e">
        <f>AND(medidas!T80,"AAAAAB/tf9Y=")</f>
        <v>#VALUE!</v>
      </c>
      <c r="HH51" t="e">
        <f>AND(medidas!U80,"AAAAAB/tf9c=")</f>
        <v>#VALUE!</v>
      </c>
      <c r="HI51" t="e">
        <f>AND(medidas!V80,"AAAAAB/tf9g=")</f>
        <v>#VALUE!</v>
      </c>
      <c r="HJ51" t="e">
        <f>AND(medidas!W80,"AAAAAB/tf9k=")</f>
        <v>#VALUE!</v>
      </c>
      <c r="HK51" t="e">
        <f>AND(medidas!X80,"AAAAAB/tf9o=")</f>
        <v>#VALUE!</v>
      </c>
      <c r="HL51" t="e">
        <f>AND(medidas!Y80,"AAAAAB/tf9s=")</f>
        <v>#VALUE!</v>
      </c>
      <c r="HM51" t="e">
        <f>AND(medidas!Z80,"AAAAAB/tf9w=")</f>
        <v>#VALUE!</v>
      </c>
      <c r="HN51" t="e">
        <f>AND(medidas!AA80,"AAAAAB/tf90=")</f>
        <v>#VALUE!</v>
      </c>
      <c r="HO51" t="e">
        <f>AND(medidas!AB80,"AAAAAB/tf94=")</f>
        <v>#VALUE!</v>
      </c>
      <c r="HP51" t="e">
        <f>AND(medidas!AC80,"AAAAAB/tf98=")</f>
        <v>#VALUE!</v>
      </c>
      <c r="HQ51" t="e">
        <f>AND(medidas!AD80,"AAAAAB/tf+A=")</f>
        <v>#VALUE!</v>
      </c>
      <c r="HR51" t="e">
        <f>AND(medidas!AE80,"AAAAAB/tf+E=")</f>
        <v>#VALUE!</v>
      </c>
      <c r="HS51" t="e">
        <f>AND(medidas!AF80,"AAAAAB/tf+I=")</f>
        <v>#VALUE!</v>
      </c>
      <c r="HT51" t="e">
        <f>AND(medidas!AG80,"AAAAAB/tf+M=")</f>
        <v>#VALUE!</v>
      </c>
      <c r="HU51" t="e">
        <f>AND(medidas!AH80,"AAAAAB/tf+Q=")</f>
        <v>#VALUE!</v>
      </c>
      <c r="HV51" t="e">
        <f>AND(medidas!AI80,"AAAAAB/tf+U=")</f>
        <v>#VALUE!</v>
      </c>
      <c r="HW51" t="e">
        <f>AND(medidas!AJ80,"AAAAAB/tf+Y=")</f>
        <v>#VALUE!</v>
      </c>
      <c r="HX51" t="e">
        <f>AND(medidas!AK80,"AAAAAB/tf+c=")</f>
        <v>#VALUE!</v>
      </c>
      <c r="HY51" t="e">
        <f>AND(medidas!AL80,"AAAAAB/tf+g=")</f>
        <v>#VALUE!</v>
      </c>
      <c r="HZ51" t="e">
        <f>AND(medidas!AM80,"AAAAAB/tf+k=")</f>
        <v>#VALUE!</v>
      </c>
      <c r="IA51" t="e">
        <f>AND(medidas!AN80,"AAAAAB/tf+o=")</f>
        <v>#VALUE!</v>
      </c>
      <c r="IB51" t="e">
        <f>AND(medidas!AO80,"AAAAAB/tf+s=")</f>
        <v>#VALUE!</v>
      </c>
      <c r="IC51" t="e">
        <f>AND(medidas!AP80,"AAAAAB/tf+w=")</f>
        <v>#VALUE!</v>
      </c>
      <c r="ID51" t="e">
        <f>AND(medidas!AQ80,"AAAAAB/tf+0=")</f>
        <v>#VALUE!</v>
      </c>
      <c r="IE51" t="e">
        <f>AND(medidas!AR80,"AAAAAB/tf+4=")</f>
        <v>#VALUE!</v>
      </c>
      <c r="IF51" t="e">
        <f>AND(medidas!AS80,"AAAAAB/tf+8=")</f>
        <v>#VALUE!</v>
      </c>
      <c r="IG51" t="e">
        <f>AND(medidas!AT80,"AAAAAB/tf/A=")</f>
        <v>#VALUE!</v>
      </c>
      <c r="IH51" t="e">
        <f>AND(medidas!AU80,"AAAAAB/tf/E=")</f>
        <v>#VALUE!</v>
      </c>
      <c r="II51" t="e">
        <f>AND(medidas!AV80,"AAAAAB/tf/I=")</f>
        <v>#VALUE!</v>
      </c>
      <c r="IJ51" t="e">
        <f>AND(medidas!AW80,"AAAAAB/tf/M=")</f>
        <v>#VALUE!</v>
      </c>
      <c r="IK51" t="e">
        <f>AND(medidas!AX80,"AAAAAB/tf/Q=")</f>
        <v>#VALUE!</v>
      </c>
      <c r="IL51" t="e">
        <f>AND(medidas!AY80,"AAAAAB/tf/U=")</f>
        <v>#VALUE!</v>
      </c>
      <c r="IM51" t="e">
        <f>AND(medidas!AZ80,"AAAAAB/tf/Y=")</f>
        <v>#VALUE!</v>
      </c>
      <c r="IN51" t="e">
        <f>AND(medidas!BA80,"AAAAAB/tf/c=")</f>
        <v>#VALUE!</v>
      </c>
      <c r="IO51" t="e">
        <f>AND(medidas!BB80,"AAAAAB/tf/g=")</f>
        <v>#VALUE!</v>
      </c>
      <c r="IP51" t="e">
        <f>AND(medidas!BC80,"AAAAAB/tf/k=")</f>
        <v>#VALUE!</v>
      </c>
      <c r="IQ51" t="e">
        <f>AND(medidas!BD80,"AAAAAB/tf/o=")</f>
        <v>#VALUE!</v>
      </c>
      <c r="IR51" t="e">
        <f>AND(medidas!BE80,"AAAAAB/tf/s=")</f>
        <v>#VALUE!</v>
      </c>
      <c r="IS51" t="e">
        <f>AND(medidas!BF80,"AAAAAB/tf/w=")</f>
        <v>#VALUE!</v>
      </c>
      <c r="IT51" t="e">
        <f>AND(medidas!BG80,"AAAAAB/tf/0=")</f>
        <v>#VALUE!</v>
      </c>
      <c r="IU51" t="e">
        <f>AND(medidas!BH80,"AAAAAB/tf/4=")</f>
        <v>#VALUE!</v>
      </c>
      <c r="IV51" t="e">
        <f>AND(medidas!BI80,"AAAAAB/tf/8=")</f>
        <v>#VALUE!</v>
      </c>
    </row>
    <row r="52" spans="1:256" x14ac:dyDescent="0.2">
      <c r="A52" t="e">
        <f>AND(medidas!BJ80,"AAAAAH+/RgA=")</f>
        <v>#VALUE!</v>
      </c>
      <c r="B52" t="e">
        <f>AND(medidas!BK80,"AAAAAH+/RgE=")</f>
        <v>#VALUE!</v>
      </c>
      <c r="C52" t="e">
        <f>AND(medidas!BL80,"AAAAAH+/RgI=")</f>
        <v>#VALUE!</v>
      </c>
      <c r="D52" t="e">
        <f>AND(medidas!BM80,"AAAAAH+/RgM=")</f>
        <v>#VALUE!</v>
      </c>
      <c r="E52" t="e">
        <f>AND(medidas!BN80,"AAAAAH+/RgQ=")</f>
        <v>#VALUE!</v>
      </c>
      <c r="F52" t="e">
        <f>AND(medidas!BO80,"AAAAAH+/RgU=")</f>
        <v>#VALUE!</v>
      </c>
      <c r="G52" t="e">
        <f>AND(medidas!BP80,"AAAAAH+/RgY=")</f>
        <v>#VALUE!</v>
      </c>
      <c r="H52" t="e">
        <f>AND(medidas!BQ80,"AAAAAH+/Rgc=")</f>
        <v>#VALUE!</v>
      </c>
      <c r="I52" t="e">
        <f>AND(medidas!BR80,"AAAAAH+/Rgg=")</f>
        <v>#VALUE!</v>
      </c>
      <c r="J52" t="e">
        <f>AND(medidas!BS80,"AAAAAH+/Rgk=")</f>
        <v>#VALUE!</v>
      </c>
      <c r="K52" t="e">
        <f>AND(medidas!BT80,"AAAAAH+/Rgo=")</f>
        <v>#VALUE!</v>
      </c>
      <c r="L52" t="e">
        <f>AND(medidas!BU80,"AAAAAH+/Rgs=")</f>
        <v>#VALUE!</v>
      </c>
      <c r="M52" t="e">
        <f>AND(medidas!BV80,"AAAAAH+/Rgw=")</f>
        <v>#VALUE!</v>
      </c>
      <c r="N52" t="e">
        <f>AND(medidas!BW80,"AAAAAH+/Rg0=")</f>
        <v>#VALUE!</v>
      </c>
      <c r="O52" t="e">
        <f>AND(medidas!BX80,"AAAAAH+/Rg4=")</f>
        <v>#VALUE!</v>
      </c>
      <c r="P52" t="e">
        <f>AND(medidas!BY80,"AAAAAH+/Rg8=")</f>
        <v>#VALUE!</v>
      </c>
      <c r="Q52">
        <f>IF(medidas!81:81,"AAAAAH+/RhA=",0)</f>
        <v>0</v>
      </c>
      <c r="R52" t="e">
        <f>AND(medidas!B81,"AAAAAH+/RhE=")</f>
        <v>#VALUE!</v>
      </c>
      <c r="S52" t="e">
        <f>AND(medidas!C81,"AAAAAH+/RhI=")</f>
        <v>#VALUE!</v>
      </c>
      <c r="T52" t="e">
        <f>AND(medidas!D81,"AAAAAH+/RhM=")</f>
        <v>#VALUE!</v>
      </c>
      <c r="U52" t="e">
        <f>AND(medidas!E81,"AAAAAH+/RhQ=")</f>
        <v>#VALUE!</v>
      </c>
      <c r="V52" t="e">
        <f>AND(medidas!F81,"AAAAAH+/RhU=")</f>
        <v>#VALUE!</v>
      </c>
      <c r="W52" t="e">
        <f>AND(medidas!G81,"AAAAAH+/RhY=")</f>
        <v>#VALUE!</v>
      </c>
      <c r="X52" t="e">
        <f>AND(medidas!H81,"AAAAAH+/Rhc=")</f>
        <v>#VALUE!</v>
      </c>
      <c r="Y52" t="e">
        <f>AND(medidas!I81,"AAAAAH+/Rhg=")</f>
        <v>#VALUE!</v>
      </c>
      <c r="Z52" t="e">
        <f>AND(medidas!J81,"AAAAAH+/Rhk=")</f>
        <v>#VALUE!</v>
      </c>
      <c r="AA52" t="e">
        <f>AND(medidas!K81,"AAAAAH+/Rho=")</f>
        <v>#VALUE!</v>
      </c>
      <c r="AB52" t="e">
        <f>AND(medidas!L81,"AAAAAH+/Rhs=")</f>
        <v>#VALUE!</v>
      </c>
      <c r="AC52" t="e">
        <f>AND(medidas!M81,"AAAAAH+/Rhw=")</f>
        <v>#VALUE!</v>
      </c>
      <c r="AD52" t="e">
        <f>AND(medidas!N81,"AAAAAH+/Rh0=")</f>
        <v>#VALUE!</v>
      </c>
      <c r="AE52" t="e">
        <f>AND(medidas!O81,"AAAAAH+/Rh4=")</f>
        <v>#VALUE!</v>
      </c>
      <c r="AF52" t="e">
        <f>AND(medidas!P81,"AAAAAH+/Rh8=")</f>
        <v>#VALUE!</v>
      </c>
      <c r="AG52" t="e">
        <f>AND(medidas!Q81,"AAAAAH+/RiA=")</f>
        <v>#VALUE!</v>
      </c>
      <c r="AH52" t="e">
        <f>AND(medidas!R81,"AAAAAH+/RiE=")</f>
        <v>#VALUE!</v>
      </c>
      <c r="AI52" t="e">
        <f>AND(medidas!S81,"AAAAAH+/RiI=")</f>
        <v>#VALUE!</v>
      </c>
      <c r="AJ52" t="e">
        <f>AND(medidas!T81,"AAAAAH+/RiM=")</f>
        <v>#VALUE!</v>
      </c>
      <c r="AK52" t="e">
        <f>AND(medidas!U81,"AAAAAH+/RiQ=")</f>
        <v>#VALUE!</v>
      </c>
      <c r="AL52" t="e">
        <f>AND(medidas!V81,"AAAAAH+/RiU=")</f>
        <v>#VALUE!</v>
      </c>
      <c r="AM52" t="e">
        <f>AND(medidas!W81,"AAAAAH+/RiY=")</f>
        <v>#VALUE!</v>
      </c>
      <c r="AN52" t="e">
        <f>AND(medidas!X81,"AAAAAH+/Ric=")</f>
        <v>#VALUE!</v>
      </c>
      <c r="AO52" t="e">
        <f>AND(medidas!Y81,"AAAAAH+/Rig=")</f>
        <v>#VALUE!</v>
      </c>
      <c r="AP52" t="e">
        <f>AND(medidas!Z81,"AAAAAH+/Rik=")</f>
        <v>#VALUE!</v>
      </c>
      <c r="AQ52" t="e">
        <f>AND(medidas!AA81,"AAAAAH+/Rio=")</f>
        <v>#VALUE!</v>
      </c>
      <c r="AR52" t="e">
        <f>AND(medidas!AB81,"AAAAAH+/Ris=")</f>
        <v>#VALUE!</v>
      </c>
      <c r="AS52" t="e">
        <f>AND(medidas!AC81,"AAAAAH+/Riw=")</f>
        <v>#VALUE!</v>
      </c>
      <c r="AT52" t="e">
        <f>AND(medidas!AD81,"AAAAAH+/Ri0=")</f>
        <v>#VALUE!</v>
      </c>
      <c r="AU52" t="e">
        <f>AND(medidas!AE81,"AAAAAH+/Ri4=")</f>
        <v>#VALUE!</v>
      </c>
      <c r="AV52" t="e">
        <f>AND(medidas!AF81,"AAAAAH+/Ri8=")</f>
        <v>#VALUE!</v>
      </c>
      <c r="AW52" t="e">
        <f>AND(medidas!AG81,"AAAAAH+/RjA=")</f>
        <v>#VALUE!</v>
      </c>
      <c r="AX52" t="e">
        <f>AND(medidas!AH81,"AAAAAH+/RjE=")</f>
        <v>#VALUE!</v>
      </c>
      <c r="AY52" t="e">
        <f>AND(medidas!AI81,"AAAAAH+/RjI=")</f>
        <v>#VALUE!</v>
      </c>
      <c r="AZ52" t="e">
        <f>AND(medidas!AJ81,"AAAAAH+/RjM=")</f>
        <v>#VALUE!</v>
      </c>
      <c r="BA52" t="e">
        <f>AND(medidas!AK81,"AAAAAH+/RjQ=")</f>
        <v>#VALUE!</v>
      </c>
      <c r="BB52" t="e">
        <f>AND(medidas!AL81,"AAAAAH+/RjU=")</f>
        <v>#VALUE!</v>
      </c>
      <c r="BC52" t="e">
        <f>AND(medidas!AM81,"AAAAAH+/RjY=")</f>
        <v>#VALUE!</v>
      </c>
      <c r="BD52" t="e">
        <f>AND(medidas!AN81,"AAAAAH+/Rjc=")</f>
        <v>#VALUE!</v>
      </c>
      <c r="BE52" t="e">
        <f>AND(medidas!AO81,"AAAAAH+/Rjg=")</f>
        <v>#VALUE!</v>
      </c>
      <c r="BF52" t="e">
        <f>AND(medidas!AP81,"AAAAAH+/Rjk=")</f>
        <v>#VALUE!</v>
      </c>
      <c r="BG52" t="e">
        <f>AND(medidas!AQ81,"AAAAAH+/Rjo=")</f>
        <v>#VALUE!</v>
      </c>
      <c r="BH52" t="e">
        <f>AND(medidas!AR81,"AAAAAH+/Rjs=")</f>
        <v>#VALUE!</v>
      </c>
      <c r="BI52" t="e">
        <f>AND(medidas!AS81,"AAAAAH+/Rjw=")</f>
        <v>#VALUE!</v>
      </c>
      <c r="BJ52" t="e">
        <f>AND(medidas!AT81,"AAAAAH+/Rj0=")</f>
        <v>#VALUE!</v>
      </c>
      <c r="BK52" t="e">
        <f>AND(medidas!AU81,"AAAAAH+/Rj4=")</f>
        <v>#VALUE!</v>
      </c>
      <c r="BL52" t="e">
        <f>AND(medidas!AV81,"AAAAAH+/Rj8=")</f>
        <v>#VALUE!</v>
      </c>
      <c r="BM52" t="e">
        <f>AND(medidas!AW81,"AAAAAH+/RkA=")</f>
        <v>#VALUE!</v>
      </c>
      <c r="BN52" t="e">
        <f>AND(medidas!AX81,"AAAAAH+/RkE=")</f>
        <v>#VALUE!</v>
      </c>
      <c r="BO52" t="e">
        <f>AND(medidas!AY81,"AAAAAH+/RkI=")</f>
        <v>#VALUE!</v>
      </c>
      <c r="BP52" t="e">
        <f>AND(medidas!AZ81,"AAAAAH+/RkM=")</f>
        <v>#VALUE!</v>
      </c>
      <c r="BQ52" t="e">
        <f>AND(medidas!BA81,"AAAAAH+/RkQ=")</f>
        <v>#VALUE!</v>
      </c>
      <c r="BR52" t="e">
        <f>AND(medidas!BB81,"AAAAAH+/RkU=")</f>
        <v>#VALUE!</v>
      </c>
      <c r="BS52" t="e">
        <f>AND(medidas!BC81,"AAAAAH+/RkY=")</f>
        <v>#VALUE!</v>
      </c>
      <c r="BT52" t="e">
        <f>AND(medidas!BD81,"AAAAAH+/Rkc=")</f>
        <v>#VALUE!</v>
      </c>
      <c r="BU52" t="e">
        <f>AND(medidas!BE81,"AAAAAH+/Rkg=")</f>
        <v>#VALUE!</v>
      </c>
      <c r="BV52" t="e">
        <f>AND(medidas!BF81,"AAAAAH+/Rkk=")</f>
        <v>#VALUE!</v>
      </c>
      <c r="BW52" t="e">
        <f>AND(medidas!BG81,"AAAAAH+/Rko=")</f>
        <v>#VALUE!</v>
      </c>
      <c r="BX52" t="e">
        <f>AND(medidas!BH81,"AAAAAH+/Rks=")</f>
        <v>#VALUE!</v>
      </c>
      <c r="BY52" t="e">
        <f>AND(medidas!BI81,"AAAAAH+/Rkw=")</f>
        <v>#VALUE!</v>
      </c>
      <c r="BZ52" t="e">
        <f>AND(medidas!BJ81,"AAAAAH+/Rk0=")</f>
        <v>#VALUE!</v>
      </c>
      <c r="CA52" t="e">
        <f>AND(medidas!BK81,"AAAAAH+/Rk4=")</f>
        <v>#VALUE!</v>
      </c>
      <c r="CB52" t="e">
        <f>AND(medidas!BL81,"AAAAAH+/Rk8=")</f>
        <v>#VALUE!</v>
      </c>
      <c r="CC52" t="e">
        <f>AND(medidas!BM81,"AAAAAH+/RlA=")</f>
        <v>#VALUE!</v>
      </c>
      <c r="CD52" t="e">
        <f>AND(medidas!BN81,"AAAAAH+/RlE=")</f>
        <v>#VALUE!</v>
      </c>
      <c r="CE52" t="e">
        <f>AND(medidas!BO81,"AAAAAH+/RlI=")</f>
        <v>#VALUE!</v>
      </c>
      <c r="CF52" t="e">
        <f>AND(medidas!BP81,"AAAAAH+/RlM=")</f>
        <v>#VALUE!</v>
      </c>
      <c r="CG52" t="e">
        <f>AND(medidas!BQ81,"AAAAAH+/RlQ=")</f>
        <v>#VALUE!</v>
      </c>
      <c r="CH52" t="e">
        <f>AND(medidas!BR81,"AAAAAH+/RlU=")</f>
        <v>#VALUE!</v>
      </c>
      <c r="CI52" t="e">
        <f>AND(medidas!BS81,"AAAAAH+/RlY=")</f>
        <v>#VALUE!</v>
      </c>
      <c r="CJ52" t="e">
        <f>AND(medidas!BT81,"AAAAAH+/Rlc=")</f>
        <v>#VALUE!</v>
      </c>
      <c r="CK52" t="e">
        <f>AND(medidas!BU81,"AAAAAH+/Rlg=")</f>
        <v>#VALUE!</v>
      </c>
      <c r="CL52" t="e">
        <f>AND(medidas!BV81,"AAAAAH+/Rlk=")</f>
        <v>#VALUE!</v>
      </c>
      <c r="CM52" t="e">
        <f>AND(medidas!BW81,"AAAAAH+/Rlo=")</f>
        <v>#VALUE!</v>
      </c>
      <c r="CN52" t="e">
        <f>AND(medidas!BX81,"AAAAAH+/Rls=")</f>
        <v>#VALUE!</v>
      </c>
      <c r="CO52" t="e">
        <f>AND(medidas!BY81,"AAAAAH+/Rlw=")</f>
        <v>#VALUE!</v>
      </c>
      <c r="CP52">
        <f>IF(medidas!82:82,"AAAAAH+/Rl0=",0)</f>
        <v>0</v>
      </c>
      <c r="CQ52" t="e">
        <f>AND(medidas!B82,"AAAAAH+/Rl4=")</f>
        <v>#VALUE!</v>
      </c>
      <c r="CR52" t="e">
        <f>AND(medidas!C82,"AAAAAH+/Rl8=")</f>
        <v>#VALUE!</v>
      </c>
      <c r="CS52" t="e">
        <f>AND(medidas!D82,"AAAAAH+/RmA=")</f>
        <v>#VALUE!</v>
      </c>
      <c r="CT52" t="e">
        <f>AND(medidas!E82,"AAAAAH+/RmE=")</f>
        <v>#VALUE!</v>
      </c>
      <c r="CU52" t="e">
        <f>AND(medidas!F82,"AAAAAH+/RmI=")</f>
        <v>#VALUE!</v>
      </c>
      <c r="CV52" t="e">
        <f>AND(medidas!G82,"AAAAAH+/RmM=")</f>
        <v>#VALUE!</v>
      </c>
      <c r="CW52" t="e">
        <f>AND(medidas!H82,"AAAAAH+/RmQ=")</f>
        <v>#VALUE!</v>
      </c>
      <c r="CX52" t="e">
        <f>AND(medidas!I82,"AAAAAH+/RmU=")</f>
        <v>#VALUE!</v>
      </c>
      <c r="CY52" t="e">
        <f>AND(medidas!J82,"AAAAAH+/RmY=")</f>
        <v>#VALUE!</v>
      </c>
      <c r="CZ52" t="e">
        <f>AND(medidas!K82,"AAAAAH+/Rmc=")</f>
        <v>#VALUE!</v>
      </c>
      <c r="DA52" t="e">
        <f>AND(medidas!L82,"AAAAAH+/Rmg=")</f>
        <v>#VALUE!</v>
      </c>
      <c r="DB52" t="e">
        <f>AND(medidas!M82,"AAAAAH+/Rmk=")</f>
        <v>#VALUE!</v>
      </c>
      <c r="DC52" t="e">
        <f>AND(medidas!N82,"AAAAAH+/Rmo=")</f>
        <v>#VALUE!</v>
      </c>
      <c r="DD52" t="e">
        <f>AND(medidas!O82,"AAAAAH+/Rms=")</f>
        <v>#VALUE!</v>
      </c>
      <c r="DE52" t="e">
        <f>AND(medidas!P82,"AAAAAH+/Rmw=")</f>
        <v>#VALUE!</v>
      </c>
      <c r="DF52" t="e">
        <f>AND(medidas!Q82,"AAAAAH+/Rm0=")</f>
        <v>#VALUE!</v>
      </c>
      <c r="DG52" t="e">
        <f>AND(medidas!R82,"AAAAAH+/Rm4=")</f>
        <v>#VALUE!</v>
      </c>
      <c r="DH52" t="e">
        <f>AND(medidas!S82,"AAAAAH+/Rm8=")</f>
        <v>#VALUE!</v>
      </c>
      <c r="DI52" t="e">
        <f>AND(medidas!T82,"AAAAAH+/RnA=")</f>
        <v>#VALUE!</v>
      </c>
      <c r="DJ52" t="e">
        <f>AND(medidas!U82,"AAAAAH+/RnE=")</f>
        <v>#VALUE!</v>
      </c>
      <c r="DK52" t="e">
        <f>AND(medidas!V82,"AAAAAH+/RnI=")</f>
        <v>#VALUE!</v>
      </c>
      <c r="DL52" t="e">
        <f>AND(medidas!W82,"AAAAAH+/RnM=")</f>
        <v>#VALUE!</v>
      </c>
      <c r="DM52" t="e">
        <f>AND(medidas!X82,"AAAAAH+/RnQ=")</f>
        <v>#VALUE!</v>
      </c>
      <c r="DN52" t="e">
        <f>AND(medidas!Y82,"AAAAAH+/RnU=")</f>
        <v>#VALUE!</v>
      </c>
      <c r="DO52" t="e">
        <f>AND(medidas!Z82,"AAAAAH+/RnY=")</f>
        <v>#VALUE!</v>
      </c>
      <c r="DP52" t="e">
        <f>AND(medidas!AA82,"AAAAAH+/Rnc=")</f>
        <v>#VALUE!</v>
      </c>
      <c r="DQ52" t="e">
        <f>AND(medidas!AB82,"AAAAAH+/Rng=")</f>
        <v>#VALUE!</v>
      </c>
      <c r="DR52" t="e">
        <f>AND(medidas!AC82,"AAAAAH+/Rnk=")</f>
        <v>#VALUE!</v>
      </c>
      <c r="DS52" t="e">
        <f>AND(medidas!AD82,"AAAAAH+/Rno=")</f>
        <v>#VALUE!</v>
      </c>
      <c r="DT52" t="e">
        <f>AND(medidas!AE82,"AAAAAH+/Rns=")</f>
        <v>#VALUE!</v>
      </c>
      <c r="DU52" t="e">
        <f>AND(medidas!AF82,"AAAAAH+/Rnw=")</f>
        <v>#VALUE!</v>
      </c>
      <c r="DV52" t="e">
        <f>AND(medidas!AG82,"AAAAAH+/Rn0=")</f>
        <v>#VALUE!</v>
      </c>
      <c r="DW52" t="e">
        <f>AND(medidas!AH82,"AAAAAH+/Rn4=")</f>
        <v>#VALUE!</v>
      </c>
      <c r="DX52" t="e">
        <f>AND(medidas!AI82,"AAAAAH+/Rn8=")</f>
        <v>#VALUE!</v>
      </c>
      <c r="DY52" t="e">
        <f>AND(medidas!AJ82,"AAAAAH+/RoA=")</f>
        <v>#VALUE!</v>
      </c>
      <c r="DZ52" t="e">
        <f>AND(medidas!AK82,"AAAAAH+/RoE=")</f>
        <v>#VALUE!</v>
      </c>
      <c r="EA52" t="e">
        <f>AND(medidas!AL82,"AAAAAH+/RoI=")</f>
        <v>#VALUE!</v>
      </c>
      <c r="EB52" t="e">
        <f>AND(medidas!AM82,"AAAAAH+/RoM=")</f>
        <v>#VALUE!</v>
      </c>
      <c r="EC52" t="e">
        <f>AND(medidas!AN82,"AAAAAH+/RoQ=")</f>
        <v>#VALUE!</v>
      </c>
      <c r="ED52" t="e">
        <f>AND(medidas!AO82,"AAAAAH+/RoU=")</f>
        <v>#VALUE!</v>
      </c>
      <c r="EE52" t="e">
        <f>AND(medidas!AP82,"AAAAAH+/RoY=")</f>
        <v>#VALUE!</v>
      </c>
      <c r="EF52" t="e">
        <f>AND(medidas!AQ82,"AAAAAH+/Roc=")</f>
        <v>#VALUE!</v>
      </c>
      <c r="EG52" t="e">
        <f>AND(medidas!AR82,"AAAAAH+/Rog=")</f>
        <v>#VALUE!</v>
      </c>
      <c r="EH52" t="e">
        <f>AND(medidas!AS82,"AAAAAH+/Rok=")</f>
        <v>#VALUE!</v>
      </c>
      <c r="EI52" t="e">
        <f>AND(medidas!AT82,"AAAAAH+/Roo=")</f>
        <v>#VALUE!</v>
      </c>
      <c r="EJ52" t="e">
        <f>AND(medidas!AU82,"AAAAAH+/Ros=")</f>
        <v>#VALUE!</v>
      </c>
      <c r="EK52" t="e">
        <f>AND(medidas!AV82,"AAAAAH+/Row=")</f>
        <v>#VALUE!</v>
      </c>
      <c r="EL52" t="e">
        <f>AND(medidas!AW82,"AAAAAH+/Ro0=")</f>
        <v>#VALUE!</v>
      </c>
      <c r="EM52" t="e">
        <f>AND(medidas!AX82,"AAAAAH+/Ro4=")</f>
        <v>#VALUE!</v>
      </c>
      <c r="EN52" t="e">
        <f>AND(medidas!AY82,"AAAAAH+/Ro8=")</f>
        <v>#VALUE!</v>
      </c>
      <c r="EO52" t="e">
        <f>AND(medidas!AZ82,"AAAAAH+/RpA=")</f>
        <v>#VALUE!</v>
      </c>
      <c r="EP52" t="e">
        <f>AND(medidas!BA82,"AAAAAH+/RpE=")</f>
        <v>#VALUE!</v>
      </c>
      <c r="EQ52" t="e">
        <f>AND(medidas!BB82,"AAAAAH+/RpI=")</f>
        <v>#VALUE!</v>
      </c>
      <c r="ER52" t="e">
        <f>AND(medidas!BC82,"AAAAAH+/RpM=")</f>
        <v>#VALUE!</v>
      </c>
      <c r="ES52" t="e">
        <f>AND(medidas!BD82,"AAAAAH+/RpQ=")</f>
        <v>#VALUE!</v>
      </c>
      <c r="ET52" t="e">
        <f>AND(medidas!BE82,"AAAAAH+/RpU=")</f>
        <v>#VALUE!</v>
      </c>
      <c r="EU52" t="e">
        <f>AND(medidas!BF82,"AAAAAH+/RpY=")</f>
        <v>#VALUE!</v>
      </c>
      <c r="EV52" t="e">
        <f>AND(medidas!BG82,"AAAAAH+/Rpc=")</f>
        <v>#VALUE!</v>
      </c>
      <c r="EW52" t="e">
        <f>AND(medidas!BH82,"AAAAAH+/Rpg=")</f>
        <v>#VALUE!</v>
      </c>
      <c r="EX52" t="e">
        <f>AND(medidas!BI82,"AAAAAH+/Rpk=")</f>
        <v>#VALUE!</v>
      </c>
      <c r="EY52" t="e">
        <f>AND(medidas!BJ82,"AAAAAH+/Rpo=")</f>
        <v>#VALUE!</v>
      </c>
      <c r="EZ52" t="e">
        <f>AND(medidas!BK82,"AAAAAH+/Rps=")</f>
        <v>#VALUE!</v>
      </c>
      <c r="FA52" t="e">
        <f>AND(medidas!BL82,"AAAAAH+/Rpw=")</f>
        <v>#VALUE!</v>
      </c>
      <c r="FB52" t="e">
        <f>AND(medidas!BM82,"AAAAAH+/Rp0=")</f>
        <v>#VALUE!</v>
      </c>
      <c r="FC52" t="e">
        <f>AND(medidas!BN82,"AAAAAH+/Rp4=")</f>
        <v>#VALUE!</v>
      </c>
      <c r="FD52" t="e">
        <f>AND(medidas!BO82,"AAAAAH+/Rp8=")</f>
        <v>#VALUE!</v>
      </c>
      <c r="FE52" t="e">
        <f>AND(medidas!BP82,"AAAAAH+/RqA=")</f>
        <v>#VALUE!</v>
      </c>
      <c r="FF52" t="e">
        <f>AND(medidas!BQ82,"AAAAAH+/RqE=")</f>
        <v>#VALUE!</v>
      </c>
      <c r="FG52" t="e">
        <f>AND(medidas!BR82,"AAAAAH+/RqI=")</f>
        <v>#VALUE!</v>
      </c>
      <c r="FH52" t="e">
        <f>AND(medidas!BS82,"AAAAAH+/RqM=")</f>
        <v>#VALUE!</v>
      </c>
      <c r="FI52" t="e">
        <f>AND(medidas!BT82,"AAAAAH+/RqQ=")</f>
        <v>#VALUE!</v>
      </c>
      <c r="FJ52" t="e">
        <f>AND(medidas!BU82,"AAAAAH+/RqU=")</f>
        <v>#VALUE!</v>
      </c>
      <c r="FK52" t="e">
        <f>AND(medidas!BV82,"AAAAAH+/RqY=")</f>
        <v>#VALUE!</v>
      </c>
      <c r="FL52" t="e">
        <f>AND(medidas!BW82,"AAAAAH+/Rqc=")</f>
        <v>#VALUE!</v>
      </c>
      <c r="FM52" t="e">
        <f>AND(medidas!BX82,"AAAAAH+/Rqg=")</f>
        <v>#VALUE!</v>
      </c>
      <c r="FN52" t="e">
        <f>AND(medidas!BY82,"AAAAAH+/Rqk=")</f>
        <v>#VALUE!</v>
      </c>
      <c r="FO52">
        <f>IF(medidas!83:83,"AAAAAH+/Rqo=",0)</f>
        <v>0</v>
      </c>
      <c r="FP52" t="e">
        <f>AND(medidas!B83,"AAAAAH+/Rqs=")</f>
        <v>#VALUE!</v>
      </c>
      <c r="FQ52" t="e">
        <f>AND(medidas!C83,"AAAAAH+/Rqw=")</f>
        <v>#VALUE!</v>
      </c>
      <c r="FR52" t="e">
        <f>AND(medidas!D83,"AAAAAH+/Rq0=")</f>
        <v>#VALUE!</v>
      </c>
      <c r="FS52" t="e">
        <f>AND(medidas!E83,"AAAAAH+/Rq4=")</f>
        <v>#VALUE!</v>
      </c>
      <c r="FT52" t="e">
        <f>AND(medidas!F83,"AAAAAH+/Rq8=")</f>
        <v>#VALUE!</v>
      </c>
      <c r="FU52" t="e">
        <f>AND(medidas!G83,"AAAAAH+/RrA=")</f>
        <v>#VALUE!</v>
      </c>
      <c r="FV52" t="e">
        <f>AND(medidas!H83,"AAAAAH+/RrE=")</f>
        <v>#VALUE!</v>
      </c>
      <c r="FW52" t="e">
        <f>AND(medidas!I83,"AAAAAH+/RrI=")</f>
        <v>#VALUE!</v>
      </c>
      <c r="FX52" t="e">
        <f>AND(medidas!J83,"AAAAAH+/RrM=")</f>
        <v>#VALUE!</v>
      </c>
      <c r="FY52" t="e">
        <f>AND(medidas!K83,"AAAAAH+/RrQ=")</f>
        <v>#VALUE!</v>
      </c>
      <c r="FZ52" t="e">
        <f>AND(medidas!L83,"AAAAAH+/RrU=")</f>
        <v>#VALUE!</v>
      </c>
      <c r="GA52" t="e">
        <f>AND(medidas!M83,"AAAAAH+/RrY=")</f>
        <v>#VALUE!</v>
      </c>
      <c r="GB52" t="e">
        <f>AND(medidas!N83,"AAAAAH+/Rrc=")</f>
        <v>#VALUE!</v>
      </c>
      <c r="GC52" t="e">
        <f>AND(medidas!O83,"AAAAAH+/Rrg=")</f>
        <v>#VALUE!</v>
      </c>
      <c r="GD52" t="e">
        <f>AND(medidas!P83,"AAAAAH+/Rrk=")</f>
        <v>#VALUE!</v>
      </c>
      <c r="GE52" t="e">
        <f>AND(medidas!Q83,"AAAAAH+/Rro=")</f>
        <v>#VALUE!</v>
      </c>
      <c r="GF52" t="e">
        <f>AND(medidas!R83,"AAAAAH+/Rrs=")</f>
        <v>#VALUE!</v>
      </c>
      <c r="GG52" t="e">
        <f>AND(medidas!S83,"AAAAAH+/Rrw=")</f>
        <v>#VALUE!</v>
      </c>
      <c r="GH52" t="e">
        <f>AND(medidas!T83,"AAAAAH+/Rr0=")</f>
        <v>#VALUE!</v>
      </c>
      <c r="GI52" t="e">
        <f>AND(medidas!U83,"AAAAAH+/Rr4=")</f>
        <v>#VALUE!</v>
      </c>
      <c r="GJ52" t="e">
        <f>AND(medidas!V83,"AAAAAH+/Rr8=")</f>
        <v>#VALUE!</v>
      </c>
      <c r="GK52" t="e">
        <f>AND(medidas!W83,"AAAAAH+/RsA=")</f>
        <v>#VALUE!</v>
      </c>
      <c r="GL52" t="e">
        <f>AND(medidas!X83,"AAAAAH+/RsE=")</f>
        <v>#VALUE!</v>
      </c>
      <c r="GM52" t="e">
        <f>AND(medidas!Y83,"AAAAAH+/RsI=")</f>
        <v>#VALUE!</v>
      </c>
      <c r="GN52" t="e">
        <f>AND(medidas!Z83,"AAAAAH+/RsM=")</f>
        <v>#VALUE!</v>
      </c>
      <c r="GO52" t="e">
        <f>AND(medidas!AA83,"AAAAAH+/RsQ=")</f>
        <v>#VALUE!</v>
      </c>
      <c r="GP52" t="e">
        <f>AND(medidas!AB83,"AAAAAH+/RsU=")</f>
        <v>#VALUE!</v>
      </c>
      <c r="GQ52" t="e">
        <f>AND(medidas!AC83,"AAAAAH+/RsY=")</f>
        <v>#VALUE!</v>
      </c>
      <c r="GR52" t="e">
        <f>AND(medidas!AD83,"AAAAAH+/Rsc=")</f>
        <v>#VALUE!</v>
      </c>
      <c r="GS52" t="e">
        <f>AND(medidas!AE83,"AAAAAH+/Rsg=")</f>
        <v>#VALUE!</v>
      </c>
      <c r="GT52" t="e">
        <f>AND(medidas!AF83,"AAAAAH+/Rsk=")</f>
        <v>#VALUE!</v>
      </c>
      <c r="GU52" t="e">
        <f>AND(medidas!AG83,"AAAAAH+/Rso=")</f>
        <v>#VALUE!</v>
      </c>
      <c r="GV52" t="e">
        <f>AND(medidas!AH83,"AAAAAH+/Rss=")</f>
        <v>#VALUE!</v>
      </c>
      <c r="GW52" t="e">
        <f>AND(medidas!AI83,"AAAAAH+/Rsw=")</f>
        <v>#VALUE!</v>
      </c>
      <c r="GX52" t="e">
        <f>AND(medidas!AJ83,"AAAAAH+/Rs0=")</f>
        <v>#VALUE!</v>
      </c>
      <c r="GY52" t="e">
        <f>AND(medidas!AK83,"AAAAAH+/Rs4=")</f>
        <v>#VALUE!</v>
      </c>
      <c r="GZ52" t="e">
        <f>AND(medidas!AL83,"AAAAAH+/Rs8=")</f>
        <v>#VALUE!</v>
      </c>
      <c r="HA52" t="e">
        <f>AND(medidas!AM83,"AAAAAH+/RtA=")</f>
        <v>#VALUE!</v>
      </c>
      <c r="HB52" t="e">
        <f>AND(medidas!AN83,"AAAAAH+/RtE=")</f>
        <v>#VALUE!</v>
      </c>
      <c r="HC52" t="e">
        <f>AND(medidas!AO83,"AAAAAH+/RtI=")</f>
        <v>#VALUE!</v>
      </c>
      <c r="HD52" t="e">
        <f>AND(medidas!AP83,"AAAAAH+/RtM=")</f>
        <v>#VALUE!</v>
      </c>
      <c r="HE52" t="e">
        <f>AND(medidas!AQ83,"AAAAAH+/RtQ=")</f>
        <v>#VALUE!</v>
      </c>
      <c r="HF52" t="e">
        <f>AND(medidas!AR83,"AAAAAH+/RtU=")</f>
        <v>#VALUE!</v>
      </c>
      <c r="HG52" t="e">
        <f>AND(medidas!AS83,"AAAAAH+/RtY=")</f>
        <v>#VALUE!</v>
      </c>
      <c r="HH52" t="e">
        <f>AND(medidas!AT83,"AAAAAH+/Rtc=")</f>
        <v>#VALUE!</v>
      </c>
      <c r="HI52" t="e">
        <f>AND(medidas!AU83,"AAAAAH+/Rtg=")</f>
        <v>#VALUE!</v>
      </c>
      <c r="HJ52" t="e">
        <f>AND(medidas!AV83,"AAAAAH+/Rtk=")</f>
        <v>#VALUE!</v>
      </c>
      <c r="HK52" t="e">
        <f>AND(medidas!AW83,"AAAAAH+/Rto=")</f>
        <v>#VALUE!</v>
      </c>
      <c r="HL52" t="e">
        <f>AND(medidas!AX83,"AAAAAH+/Rts=")</f>
        <v>#VALUE!</v>
      </c>
      <c r="HM52" t="e">
        <f>AND(medidas!AY83,"AAAAAH+/Rtw=")</f>
        <v>#VALUE!</v>
      </c>
      <c r="HN52" t="e">
        <f>AND(medidas!AZ83,"AAAAAH+/Rt0=")</f>
        <v>#VALUE!</v>
      </c>
      <c r="HO52" t="e">
        <f>AND(medidas!BA83,"AAAAAH+/Rt4=")</f>
        <v>#VALUE!</v>
      </c>
      <c r="HP52" t="e">
        <f>AND(medidas!BB83,"AAAAAH+/Rt8=")</f>
        <v>#VALUE!</v>
      </c>
      <c r="HQ52" t="e">
        <f>AND(medidas!BC83,"AAAAAH+/RuA=")</f>
        <v>#VALUE!</v>
      </c>
      <c r="HR52" t="e">
        <f>AND(medidas!BD83,"AAAAAH+/RuE=")</f>
        <v>#VALUE!</v>
      </c>
      <c r="HS52" t="e">
        <f>AND(medidas!BE83,"AAAAAH+/RuI=")</f>
        <v>#VALUE!</v>
      </c>
      <c r="HT52" t="e">
        <f>AND(medidas!BF83,"AAAAAH+/RuM=")</f>
        <v>#VALUE!</v>
      </c>
      <c r="HU52" t="e">
        <f>AND(medidas!BG83,"AAAAAH+/RuQ=")</f>
        <v>#VALUE!</v>
      </c>
      <c r="HV52" t="e">
        <f>AND(medidas!BH83,"AAAAAH+/RuU=")</f>
        <v>#VALUE!</v>
      </c>
      <c r="HW52" t="e">
        <f>AND(medidas!BI83,"AAAAAH+/RuY=")</f>
        <v>#VALUE!</v>
      </c>
      <c r="HX52" t="e">
        <f>AND(medidas!BJ83,"AAAAAH+/Ruc=")</f>
        <v>#VALUE!</v>
      </c>
      <c r="HY52" t="e">
        <f>AND(medidas!BK83,"AAAAAH+/Rug=")</f>
        <v>#VALUE!</v>
      </c>
      <c r="HZ52" t="e">
        <f>AND(medidas!BL83,"AAAAAH+/Ruk=")</f>
        <v>#VALUE!</v>
      </c>
      <c r="IA52" t="e">
        <f>AND(medidas!BM83,"AAAAAH+/Ruo=")</f>
        <v>#VALUE!</v>
      </c>
      <c r="IB52" t="e">
        <f>AND(medidas!BN83,"AAAAAH+/Rus=")</f>
        <v>#VALUE!</v>
      </c>
      <c r="IC52" t="e">
        <f>AND(medidas!BO83,"AAAAAH+/Ruw=")</f>
        <v>#VALUE!</v>
      </c>
      <c r="ID52" t="e">
        <f>AND(medidas!BP83,"AAAAAH+/Ru0=")</f>
        <v>#VALUE!</v>
      </c>
      <c r="IE52" t="e">
        <f>AND(medidas!BQ83,"AAAAAH+/Ru4=")</f>
        <v>#VALUE!</v>
      </c>
      <c r="IF52" t="e">
        <f>AND(medidas!BR83,"AAAAAH+/Ru8=")</f>
        <v>#VALUE!</v>
      </c>
      <c r="IG52" t="e">
        <f>AND(medidas!BS83,"AAAAAH+/RvA=")</f>
        <v>#VALUE!</v>
      </c>
      <c r="IH52" t="e">
        <f>AND(medidas!BT83,"AAAAAH+/RvE=")</f>
        <v>#VALUE!</v>
      </c>
      <c r="II52" t="e">
        <f>AND(medidas!BU83,"AAAAAH+/RvI=")</f>
        <v>#VALUE!</v>
      </c>
      <c r="IJ52" t="e">
        <f>AND(medidas!BV83,"AAAAAH+/RvM=")</f>
        <v>#VALUE!</v>
      </c>
      <c r="IK52" t="e">
        <f>AND(medidas!BW83,"AAAAAH+/RvQ=")</f>
        <v>#VALUE!</v>
      </c>
      <c r="IL52" t="e">
        <f>AND(medidas!BX83,"AAAAAH+/RvU=")</f>
        <v>#VALUE!</v>
      </c>
      <c r="IM52" t="e">
        <f>AND(medidas!BY83,"AAAAAH+/RvY=")</f>
        <v>#VALUE!</v>
      </c>
      <c r="IN52">
        <f>IF(medidas!84:84,"AAAAAH+/Rvc=",0)</f>
        <v>0</v>
      </c>
      <c r="IO52" t="e">
        <f>AND(medidas!B84,"AAAAAH+/Rvg=")</f>
        <v>#VALUE!</v>
      </c>
      <c r="IP52" t="e">
        <f>AND(medidas!C84,"AAAAAH+/Rvk=")</f>
        <v>#VALUE!</v>
      </c>
      <c r="IQ52" t="e">
        <f>AND(medidas!D84,"AAAAAH+/Rvo=")</f>
        <v>#VALUE!</v>
      </c>
      <c r="IR52" t="e">
        <f>AND(medidas!E84,"AAAAAH+/Rvs=")</f>
        <v>#VALUE!</v>
      </c>
      <c r="IS52" t="e">
        <f>AND(medidas!F84,"AAAAAH+/Rvw=")</f>
        <v>#VALUE!</v>
      </c>
      <c r="IT52" t="e">
        <f>AND(medidas!G84,"AAAAAH+/Rv0=")</f>
        <v>#VALUE!</v>
      </c>
      <c r="IU52" t="e">
        <f>AND(medidas!H84,"AAAAAH+/Rv4=")</f>
        <v>#VALUE!</v>
      </c>
      <c r="IV52" t="e">
        <f>AND(medidas!I84,"AAAAAH+/Rv8=")</f>
        <v>#VALUE!</v>
      </c>
    </row>
    <row r="53" spans="1:256" x14ac:dyDescent="0.2">
      <c r="A53" t="e">
        <f>AND(medidas!J84,"AAAAAE+e/gA=")</f>
        <v>#VALUE!</v>
      </c>
      <c r="B53" t="e">
        <f>AND(medidas!K84,"AAAAAE+e/gE=")</f>
        <v>#VALUE!</v>
      </c>
      <c r="C53" t="e">
        <f>AND(medidas!L84,"AAAAAE+e/gI=")</f>
        <v>#VALUE!</v>
      </c>
      <c r="D53" t="e">
        <f>AND(medidas!M84,"AAAAAE+e/gM=")</f>
        <v>#VALUE!</v>
      </c>
      <c r="E53" t="e">
        <f>AND(medidas!N84,"AAAAAE+e/gQ=")</f>
        <v>#VALUE!</v>
      </c>
      <c r="F53" t="e">
        <f>AND(medidas!O84,"AAAAAE+e/gU=")</f>
        <v>#VALUE!</v>
      </c>
      <c r="G53" t="e">
        <f>AND(medidas!P84,"AAAAAE+e/gY=")</f>
        <v>#VALUE!</v>
      </c>
      <c r="H53" t="e">
        <f>AND(medidas!Q84,"AAAAAE+e/gc=")</f>
        <v>#VALUE!</v>
      </c>
      <c r="I53" t="e">
        <f>AND(medidas!R84,"AAAAAE+e/gg=")</f>
        <v>#VALUE!</v>
      </c>
      <c r="J53" t="e">
        <f>AND(medidas!S84,"AAAAAE+e/gk=")</f>
        <v>#VALUE!</v>
      </c>
      <c r="K53" t="e">
        <f>AND(medidas!T84,"AAAAAE+e/go=")</f>
        <v>#VALUE!</v>
      </c>
      <c r="L53" t="e">
        <f>AND(medidas!U84,"AAAAAE+e/gs=")</f>
        <v>#VALUE!</v>
      </c>
      <c r="M53" t="e">
        <f>AND(medidas!V84,"AAAAAE+e/gw=")</f>
        <v>#VALUE!</v>
      </c>
      <c r="N53" t="e">
        <f>AND(medidas!W84,"AAAAAE+e/g0=")</f>
        <v>#VALUE!</v>
      </c>
      <c r="O53" t="e">
        <f>AND(medidas!X84,"AAAAAE+e/g4=")</f>
        <v>#VALUE!</v>
      </c>
      <c r="P53" t="e">
        <f>AND(medidas!Y84,"AAAAAE+e/g8=")</f>
        <v>#VALUE!</v>
      </c>
      <c r="Q53" t="e">
        <f>AND(medidas!Z84,"AAAAAE+e/hA=")</f>
        <v>#VALUE!</v>
      </c>
      <c r="R53" t="e">
        <f>AND(medidas!AA84,"AAAAAE+e/hE=")</f>
        <v>#VALUE!</v>
      </c>
      <c r="S53" t="e">
        <f>AND(medidas!AB84,"AAAAAE+e/hI=")</f>
        <v>#VALUE!</v>
      </c>
      <c r="T53" t="e">
        <f>AND(medidas!AC84,"AAAAAE+e/hM=")</f>
        <v>#VALUE!</v>
      </c>
      <c r="U53" t="e">
        <f>AND(medidas!AD84,"AAAAAE+e/hQ=")</f>
        <v>#VALUE!</v>
      </c>
      <c r="V53" t="e">
        <f>AND(medidas!AE84,"AAAAAE+e/hU=")</f>
        <v>#VALUE!</v>
      </c>
      <c r="W53" t="e">
        <f>AND(medidas!AF84,"AAAAAE+e/hY=")</f>
        <v>#VALUE!</v>
      </c>
      <c r="X53" t="e">
        <f>AND(medidas!AG84,"AAAAAE+e/hc=")</f>
        <v>#VALUE!</v>
      </c>
      <c r="Y53" t="e">
        <f>AND(medidas!AH84,"AAAAAE+e/hg=")</f>
        <v>#VALUE!</v>
      </c>
      <c r="Z53" t="e">
        <f>AND(medidas!AI84,"AAAAAE+e/hk=")</f>
        <v>#VALUE!</v>
      </c>
      <c r="AA53" t="e">
        <f>AND(medidas!AJ84,"AAAAAE+e/ho=")</f>
        <v>#VALUE!</v>
      </c>
      <c r="AB53" t="e">
        <f>AND(medidas!AK84,"AAAAAE+e/hs=")</f>
        <v>#VALUE!</v>
      </c>
      <c r="AC53" t="e">
        <f>AND(medidas!AL84,"AAAAAE+e/hw=")</f>
        <v>#VALUE!</v>
      </c>
      <c r="AD53" t="e">
        <f>AND(medidas!AM84,"AAAAAE+e/h0=")</f>
        <v>#VALUE!</v>
      </c>
      <c r="AE53" t="e">
        <f>AND(medidas!AN84,"AAAAAE+e/h4=")</f>
        <v>#VALUE!</v>
      </c>
      <c r="AF53" t="e">
        <f>AND(medidas!AO84,"AAAAAE+e/h8=")</f>
        <v>#VALUE!</v>
      </c>
      <c r="AG53" t="e">
        <f>AND(medidas!AP84,"AAAAAE+e/iA=")</f>
        <v>#VALUE!</v>
      </c>
      <c r="AH53" t="e">
        <f>AND(medidas!AQ84,"AAAAAE+e/iE=")</f>
        <v>#VALUE!</v>
      </c>
      <c r="AI53" t="e">
        <f>AND(medidas!AR84,"AAAAAE+e/iI=")</f>
        <v>#VALUE!</v>
      </c>
      <c r="AJ53" t="e">
        <f>AND(medidas!AS84,"AAAAAE+e/iM=")</f>
        <v>#VALUE!</v>
      </c>
      <c r="AK53" t="e">
        <f>AND(medidas!AT84,"AAAAAE+e/iQ=")</f>
        <v>#VALUE!</v>
      </c>
      <c r="AL53" t="e">
        <f>AND(medidas!AU84,"AAAAAE+e/iU=")</f>
        <v>#VALUE!</v>
      </c>
      <c r="AM53" t="e">
        <f>AND(medidas!AV84,"AAAAAE+e/iY=")</f>
        <v>#VALUE!</v>
      </c>
      <c r="AN53" t="e">
        <f>AND(medidas!AW84,"AAAAAE+e/ic=")</f>
        <v>#VALUE!</v>
      </c>
      <c r="AO53" t="e">
        <f>AND(medidas!AX84,"AAAAAE+e/ig=")</f>
        <v>#VALUE!</v>
      </c>
      <c r="AP53" t="e">
        <f>AND(medidas!AY84,"AAAAAE+e/ik=")</f>
        <v>#VALUE!</v>
      </c>
      <c r="AQ53" t="e">
        <f>AND(medidas!AZ84,"AAAAAE+e/io=")</f>
        <v>#VALUE!</v>
      </c>
      <c r="AR53" t="e">
        <f>AND(medidas!BA84,"AAAAAE+e/is=")</f>
        <v>#VALUE!</v>
      </c>
      <c r="AS53" t="e">
        <f>AND(medidas!BB84,"AAAAAE+e/iw=")</f>
        <v>#VALUE!</v>
      </c>
      <c r="AT53" t="e">
        <f>AND(medidas!BC84,"AAAAAE+e/i0=")</f>
        <v>#VALUE!</v>
      </c>
      <c r="AU53" t="e">
        <f>AND(medidas!BD84,"AAAAAE+e/i4=")</f>
        <v>#VALUE!</v>
      </c>
      <c r="AV53" t="e">
        <f>AND(medidas!BE84,"AAAAAE+e/i8=")</f>
        <v>#VALUE!</v>
      </c>
      <c r="AW53" t="e">
        <f>AND(medidas!BF84,"AAAAAE+e/jA=")</f>
        <v>#VALUE!</v>
      </c>
      <c r="AX53" t="e">
        <f>AND(medidas!BG84,"AAAAAE+e/jE=")</f>
        <v>#VALUE!</v>
      </c>
      <c r="AY53" t="e">
        <f>AND(medidas!BH84,"AAAAAE+e/jI=")</f>
        <v>#VALUE!</v>
      </c>
      <c r="AZ53" t="e">
        <f>AND(medidas!BI84,"AAAAAE+e/jM=")</f>
        <v>#VALUE!</v>
      </c>
      <c r="BA53" t="e">
        <f>AND(medidas!BJ84,"AAAAAE+e/jQ=")</f>
        <v>#VALUE!</v>
      </c>
      <c r="BB53" t="e">
        <f>AND(medidas!BK84,"AAAAAE+e/jU=")</f>
        <v>#VALUE!</v>
      </c>
      <c r="BC53" t="e">
        <f>AND(medidas!BL84,"AAAAAE+e/jY=")</f>
        <v>#VALUE!</v>
      </c>
      <c r="BD53" t="e">
        <f>AND(medidas!BM84,"AAAAAE+e/jc=")</f>
        <v>#VALUE!</v>
      </c>
      <c r="BE53" t="e">
        <f>AND(medidas!BN84,"AAAAAE+e/jg=")</f>
        <v>#VALUE!</v>
      </c>
      <c r="BF53" t="e">
        <f>AND(medidas!BO84,"AAAAAE+e/jk=")</f>
        <v>#VALUE!</v>
      </c>
      <c r="BG53" t="e">
        <f>AND(medidas!BP84,"AAAAAE+e/jo=")</f>
        <v>#VALUE!</v>
      </c>
      <c r="BH53" t="e">
        <f>AND(medidas!BQ84,"AAAAAE+e/js=")</f>
        <v>#VALUE!</v>
      </c>
      <c r="BI53" t="e">
        <f>AND(medidas!BR84,"AAAAAE+e/jw=")</f>
        <v>#VALUE!</v>
      </c>
      <c r="BJ53" t="e">
        <f>AND(medidas!BS84,"AAAAAE+e/j0=")</f>
        <v>#VALUE!</v>
      </c>
      <c r="BK53" t="e">
        <f>AND(medidas!BT84,"AAAAAE+e/j4=")</f>
        <v>#VALUE!</v>
      </c>
      <c r="BL53" t="e">
        <f>AND(medidas!BU84,"AAAAAE+e/j8=")</f>
        <v>#VALUE!</v>
      </c>
      <c r="BM53" t="e">
        <f>AND(medidas!BV84,"AAAAAE+e/kA=")</f>
        <v>#VALUE!</v>
      </c>
      <c r="BN53" t="e">
        <f>AND(medidas!BW84,"AAAAAE+e/kE=")</f>
        <v>#VALUE!</v>
      </c>
      <c r="BO53" t="e">
        <f>AND(medidas!BX84,"AAAAAE+e/kI=")</f>
        <v>#VALUE!</v>
      </c>
      <c r="BP53" t="e">
        <f>AND(medidas!BY84,"AAAAAE+e/kM=")</f>
        <v>#VALUE!</v>
      </c>
      <c r="BQ53">
        <f>IF(medidas!85:85,"AAAAAE+e/kQ=",0)</f>
        <v>0</v>
      </c>
      <c r="BR53" t="e">
        <f>AND(medidas!B85,"AAAAAE+e/kU=")</f>
        <v>#VALUE!</v>
      </c>
      <c r="BS53" t="e">
        <f>AND(medidas!C85,"AAAAAE+e/kY=")</f>
        <v>#VALUE!</v>
      </c>
      <c r="BT53" t="e">
        <f>AND(medidas!D85,"AAAAAE+e/kc=")</f>
        <v>#VALUE!</v>
      </c>
      <c r="BU53" t="e">
        <f>AND(medidas!E85,"AAAAAE+e/kg=")</f>
        <v>#VALUE!</v>
      </c>
      <c r="BV53" t="e">
        <f>AND(medidas!F85,"AAAAAE+e/kk=")</f>
        <v>#VALUE!</v>
      </c>
      <c r="BW53" t="e">
        <f>AND(medidas!G85,"AAAAAE+e/ko=")</f>
        <v>#VALUE!</v>
      </c>
      <c r="BX53" t="e">
        <f>AND(medidas!H85,"AAAAAE+e/ks=")</f>
        <v>#VALUE!</v>
      </c>
      <c r="BY53" t="e">
        <f>AND(medidas!I85,"AAAAAE+e/kw=")</f>
        <v>#VALUE!</v>
      </c>
      <c r="BZ53" t="e">
        <f>AND(medidas!J85,"AAAAAE+e/k0=")</f>
        <v>#VALUE!</v>
      </c>
      <c r="CA53" t="e">
        <f>AND(medidas!K85,"AAAAAE+e/k4=")</f>
        <v>#VALUE!</v>
      </c>
      <c r="CB53" t="e">
        <f>AND(medidas!L85,"AAAAAE+e/k8=")</f>
        <v>#VALUE!</v>
      </c>
      <c r="CC53" t="e">
        <f>AND(medidas!M85,"AAAAAE+e/lA=")</f>
        <v>#VALUE!</v>
      </c>
      <c r="CD53" t="e">
        <f>AND(medidas!N85,"AAAAAE+e/lE=")</f>
        <v>#VALUE!</v>
      </c>
      <c r="CE53" t="e">
        <f>AND(medidas!O85,"AAAAAE+e/lI=")</f>
        <v>#VALUE!</v>
      </c>
      <c r="CF53" t="e">
        <f>AND(medidas!P85,"AAAAAE+e/lM=")</f>
        <v>#VALUE!</v>
      </c>
      <c r="CG53" t="e">
        <f>AND(medidas!Q85,"AAAAAE+e/lQ=")</f>
        <v>#VALUE!</v>
      </c>
      <c r="CH53" t="e">
        <f>AND(medidas!R85,"AAAAAE+e/lU=")</f>
        <v>#VALUE!</v>
      </c>
      <c r="CI53" t="e">
        <f>AND(medidas!S85,"AAAAAE+e/lY=")</f>
        <v>#VALUE!</v>
      </c>
      <c r="CJ53" t="e">
        <f>AND(medidas!T85,"AAAAAE+e/lc=")</f>
        <v>#VALUE!</v>
      </c>
      <c r="CK53" t="e">
        <f>AND(medidas!U85,"AAAAAE+e/lg=")</f>
        <v>#VALUE!</v>
      </c>
      <c r="CL53" t="e">
        <f>AND(medidas!V85,"AAAAAE+e/lk=")</f>
        <v>#VALUE!</v>
      </c>
      <c r="CM53" t="e">
        <f>AND(medidas!W85,"AAAAAE+e/lo=")</f>
        <v>#VALUE!</v>
      </c>
      <c r="CN53" t="e">
        <f>AND(medidas!X85,"AAAAAE+e/ls=")</f>
        <v>#VALUE!</v>
      </c>
      <c r="CO53" t="e">
        <f>AND(medidas!Y85,"AAAAAE+e/lw=")</f>
        <v>#VALUE!</v>
      </c>
      <c r="CP53" t="e">
        <f>AND(medidas!Z85,"AAAAAE+e/l0=")</f>
        <v>#VALUE!</v>
      </c>
      <c r="CQ53" t="e">
        <f>AND(medidas!AA85,"AAAAAE+e/l4=")</f>
        <v>#VALUE!</v>
      </c>
      <c r="CR53" t="e">
        <f>AND(medidas!AB85,"AAAAAE+e/l8=")</f>
        <v>#VALUE!</v>
      </c>
      <c r="CS53" t="e">
        <f>AND(medidas!AC85,"AAAAAE+e/mA=")</f>
        <v>#VALUE!</v>
      </c>
      <c r="CT53" t="e">
        <f>AND(medidas!AD85,"AAAAAE+e/mE=")</f>
        <v>#VALUE!</v>
      </c>
      <c r="CU53" t="e">
        <f>AND(medidas!AE85,"AAAAAE+e/mI=")</f>
        <v>#VALUE!</v>
      </c>
      <c r="CV53" t="e">
        <f>AND(medidas!AF85,"AAAAAE+e/mM=")</f>
        <v>#VALUE!</v>
      </c>
      <c r="CW53" t="e">
        <f>AND(medidas!AG85,"AAAAAE+e/mQ=")</f>
        <v>#VALUE!</v>
      </c>
      <c r="CX53" t="e">
        <f>AND(medidas!AH85,"AAAAAE+e/mU=")</f>
        <v>#VALUE!</v>
      </c>
      <c r="CY53" t="e">
        <f>AND(medidas!AI85,"AAAAAE+e/mY=")</f>
        <v>#VALUE!</v>
      </c>
      <c r="CZ53" t="e">
        <f>AND(medidas!AJ85,"AAAAAE+e/mc=")</f>
        <v>#VALUE!</v>
      </c>
      <c r="DA53" t="e">
        <f>AND(medidas!AK85,"AAAAAE+e/mg=")</f>
        <v>#VALUE!</v>
      </c>
      <c r="DB53" t="e">
        <f>AND(medidas!AL85,"AAAAAE+e/mk=")</f>
        <v>#VALUE!</v>
      </c>
      <c r="DC53" t="e">
        <f>AND(medidas!AM85,"AAAAAE+e/mo=")</f>
        <v>#VALUE!</v>
      </c>
      <c r="DD53" t="e">
        <f>AND(medidas!AN85,"AAAAAE+e/ms=")</f>
        <v>#VALUE!</v>
      </c>
      <c r="DE53" t="e">
        <f>AND(medidas!AO85,"AAAAAE+e/mw=")</f>
        <v>#VALUE!</v>
      </c>
      <c r="DF53" t="e">
        <f>AND(medidas!AP85,"AAAAAE+e/m0=")</f>
        <v>#VALUE!</v>
      </c>
      <c r="DG53" t="e">
        <f>AND(medidas!AQ85,"AAAAAE+e/m4=")</f>
        <v>#VALUE!</v>
      </c>
      <c r="DH53" t="e">
        <f>AND(medidas!AR85,"AAAAAE+e/m8=")</f>
        <v>#VALUE!</v>
      </c>
      <c r="DI53" t="e">
        <f>AND(medidas!AS85,"AAAAAE+e/nA=")</f>
        <v>#VALUE!</v>
      </c>
      <c r="DJ53" t="e">
        <f>AND(medidas!AT85,"AAAAAE+e/nE=")</f>
        <v>#VALUE!</v>
      </c>
      <c r="DK53" t="e">
        <f>AND(medidas!AU85,"AAAAAE+e/nI=")</f>
        <v>#VALUE!</v>
      </c>
      <c r="DL53" t="e">
        <f>AND(medidas!AV85,"AAAAAE+e/nM=")</f>
        <v>#VALUE!</v>
      </c>
      <c r="DM53" t="e">
        <f>AND(medidas!AW85,"AAAAAE+e/nQ=")</f>
        <v>#VALUE!</v>
      </c>
      <c r="DN53" t="e">
        <f>AND(medidas!AX85,"AAAAAE+e/nU=")</f>
        <v>#VALUE!</v>
      </c>
      <c r="DO53" t="e">
        <f>AND(medidas!AY85,"AAAAAE+e/nY=")</f>
        <v>#VALUE!</v>
      </c>
      <c r="DP53" t="e">
        <f>AND(medidas!AZ85,"AAAAAE+e/nc=")</f>
        <v>#VALUE!</v>
      </c>
      <c r="DQ53" t="e">
        <f>AND(medidas!BA85,"AAAAAE+e/ng=")</f>
        <v>#VALUE!</v>
      </c>
      <c r="DR53" t="e">
        <f>AND(medidas!BB85,"AAAAAE+e/nk=")</f>
        <v>#VALUE!</v>
      </c>
      <c r="DS53" t="e">
        <f>AND(medidas!BC85,"AAAAAE+e/no=")</f>
        <v>#VALUE!</v>
      </c>
      <c r="DT53" t="e">
        <f>AND(medidas!BD85,"AAAAAE+e/ns=")</f>
        <v>#VALUE!</v>
      </c>
      <c r="DU53" t="e">
        <f>AND(medidas!BE85,"AAAAAE+e/nw=")</f>
        <v>#VALUE!</v>
      </c>
      <c r="DV53" t="e">
        <f>AND(medidas!BF85,"AAAAAE+e/n0=")</f>
        <v>#VALUE!</v>
      </c>
      <c r="DW53" t="e">
        <f>AND(medidas!BG85,"AAAAAE+e/n4=")</f>
        <v>#VALUE!</v>
      </c>
      <c r="DX53" t="e">
        <f>AND(medidas!BH85,"AAAAAE+e/n8=")</f>
        <v>#VALUE!</v>
      </c>
      <c r="DY53" t="e">
        <f>AND(medidas!BI85,"AAAAAE+e/oA=")</f>
        <v>#VALUE!</v>
      </c>
      <c r="DZ53" t="e">
        <f>AND(medidas!BJ85,"AAAAAE+e/oE=")</f>
        <v>#VALUE!</v>
      </c>
      <c r="EA53" t="e">
        <f>AND(medidas!BK85,"AAAAAE+e/oI=")</f>
        <v>#VALUE!</v>
      </c>
      <c r="EB53" t="e">
        <f>AND(medidas!BL85,"AAAAAE+e/oM=")</f>
        <v>#VALUE!</v>
      </c>
      <c r="EC53" t="e">
        <f>AND(medidas!BM85,"AAAAAE+e/oQ=")</f>
        <v>#VALUE!</v>
      </c>
      <c r="ED53" t="e">
        <f>AND(medidas!BN85,"AAAAAE+e/oU=")</f>
        <v>#VALUE!</v>
      </c>
      <c r="EE53" t="e">
        <f>AND(medidas!BO85,"AAAAAE+e/oY=")</f>
        <v>#VALUE!</v>
      </c>
      <c r="EF53" t="e">
        <f>AND(medidas!BP85,"AAAAAE+e/oc=")</f>
        <v>#VALUE!</v>
      </c>
      <c r="EG53" t="e">
        <f>AND(medidas!BQ85,"AAAAAE+e/og=")</f>
        <v>#VALUE!</v>
      </c>
      <c r="EH53" t="e">
        <f>AND(medidas!BR85,"AAAAAE+e/ok=")</f>
        <v>#VALUE!</v>
      </c>
      <c r="EI53" t="e">
        <f>AND(medidas!BS85,"AAAAAE+e/oo=")</f>
        <v>#VALUE!</v>
      </c>
      <c r="EJ53" t="e">
        <f>AND(medidas!BT85,"AAAAAE+e/os=")</f>
        <v>#VALUE!</v>
      </c>
      <c r="EK53" t="e">
        <f>AND(medidas!BU85,"AAAAAE+e/ow=")</f>
        <v>#VALUE!</v>
      </c>
      <c r="EL53" t="e">
        <f>AND(medidas!BV85,"AAAAAE+e/o0=")</f>
        <v>#VALUE!</v>
      </c>
      <c r="EM53" t="e">
        <f>AND(medidas!BW85,"AAAAAE+e/o4=")</f>
        <v>#VALUE!</v>
      </c>
      <c r="EN53" t="e">
        <f>AND(medidas!BX85,"AAAAAE+e/o8=")</f>
        <v>#VALUE!</v>
      </c>
      <c r="EO53" t="e">
        <f>AND(medidas!BY85,"AAAAAE+e/pA=")</f>
        <v>#VALUE!</v>
      </c>
      <c r="EP53">
        <f>IF(medidas!86:86,"AAAAAE+e/pE=",0)</f>
        <v>0</v>
      </c>
      <c r="EQ53" t="e">
        <f>AND(medidas!B86,"AAAAAE+e/pI=")</f>
        <v>#VALUE!</v>
      </c>
      <c r="ER53" t="e">
        <f>AND(medidas!C86,"AAAAAE+e/pM=")</f>
        <v>#VALUE!</v>
      </c>
      <c r="ES53" t="e">
        <f>AND(medidas!D86,"AAAAAE+e/pQ=")</f>
        <v>#VALUE!</v>
      </c>
      <c r="ET53" t="e">
        <f>AND(medidas!E86,"AAAAAE+e/pU=")</f>
        <v>#VALUE!</v>
      </c>
      <c r="EU53" t="e">
        <f>AND(medidas!F86,"AAAAAE+e/pY=")</f>
        <v>#VALUE!</v>
      </c>
      <c r="EV53" t="e">
        <f>AND(medidas!G86,"AAAAAE+e/pc=")</f>
        <v>#VALUE!</v>
      </c>
      <c r="EW53" t="e">
        <f>AND(medidas!H86,"AAAAAE+e/pg=")</f>
        <v>#VALUE!</v>
      </c>
      <c r="EX53" t="e">
        <f>AND(medidas!I86,"AAAAAE+e/pk=")</f>
        <v>#VALUE!</v>
      </c>
      <c r="EY53" t="e">
        <f>AND(medidas!J86,"AAAAAE+e/po=")</f>
        <v>#VALUE!</v>
      </c>
      <c r="EZ53" t="e">
        <f>AND(medidas!K86,"AAAAAE+e/ps=")</f>
        <v>#VALUE!</v>
      </c>
      <c r="FA53" t="e">
        <f>AND(medidas!L86,"AAAAAE+e/pw=")</f>
        <v>#VALUE!</v>
      </c>
      <c r="FB53" t="e">
        <f>AND(medidas!M86,"AAAAAE+e/p0=")</f>
        <v>#VALUE!</v>
      </c>
      <c r="FC53" t="e">
        <f>AND(medidas!N86,"AAAAAE+e/p4=")</f>
        <v>#VALUE!</v>
      </c>
      <c r="FD53" t="e">
        <f>AND(medidas!O86,"AAAAAE+e/p8=")</f>
        <v>#VALUE!</v>
      </c>
      <c r="FE53" t="e">
        <f>AND(medidas!P86,"AAAAAE+e/qA=")</f>
        <v>#VALUE!</v>
      </c>
      <c r="FF53" t="e">
        <f>AND(medidas!Q86,"AAAAAE+e/qE=")</f>
        <v>#VALUE!</v>
      </c>
      <c r="FG53" t="e">
        <f>AND(medidas!R86,"AAAAAE+e/qI=")</f>
        <v>#VALUE!</v>
      </c>
      <c r="FH53" t="e">
        <f>AND(medidas!S86,"AAAAAE+e/qM=")</f>
        <v>#VALUE!</v>
      </c>
      <c r="FI53" t="e">
        <f>AND(medidas!T86,"AAAAAE+e/qQ=")</f>
        <v>#VALUE!</v>
      </c>
      <c r="FJ53" t="e">
        <f>AND(medidas!U86,"AAAAAE+e/qU=")</f>
        <v>#VALUE!</v>
      </c>
      <c r="FK53" t="e">
        <f>AND(medidas!V86,"AAAAAE+e/qY=")</f>
        <v>#VALUE!</v>
      </c>
      <c r="FL53" t="e">
        <f>AND(medidas!W86,"AAAAAE+e/qc=")</f>
        <v>#VALUE!</v>
      </c>
      <c r="FM53" t="e">
        <f>AND(medidas!X86,"AAAAAE+e/qg=")</f>
        <v>#VALUE!</v>
      </c>
      <c r="FN53" t="e">
        <f>AND(medidas!Y86,"AAAAAE+e/qk=")</f>
        <v>#VALUE!</v>
      </c>
      <c r="FO53" t="e">
        <f>AND(medidas!Z86,"AAAAAE+e/qo=")</f>
        <v>#VALUE!</v>
      </c>
      <c r="FP53" t="e">
        <f>AND(medidas!AA86,"AAAAAE+e/qs=")</f>
        <v>#VALUE!</v>
      </c>
      <c r="FQ53" t="e">
        <f>AND(medidas!AB86,"AAAAAE+e/qw=")</f>
        <v>#VALUE!</v>
      </c>
      <c r="FR53" t="e">
        <f>AND(medidas!AC86,"AAAAAE+e/q0=")</f>
        <v>#VALUE!</v>
      </c>
      <c r="FS53" t="e">
        <f>AND(medidas!AD86,"AAAAAE+e/q4=")</f>
        <v>#VALUE!</v>
      </c>
      <c r="FT53" t="e">
        <f>AND(medidas!AE86,"AAAAAE+e/q8=")</f>
        <v>#VALUE!</v>
      </c>
      <c r="FU53" t="e">
        <f>AND(medidas!AF86,"AAAAAE+e/rA=")</f>
        <v>#VALUE!</v>
      </c>
      <c r="FV53" t="e">
        <f>AND(medidas!AG86,"AAAAAE+e/rE=")</f>
        <v>#VALUE!</v>
      </c>
      <c r="FW53" t="e">
        <f>AND(medidas!AH86,"AAAAAE+e/rI=")</f>
        <v>#VALUE!</v>
      </c>
      <c r="FX53" t="e">
        <f>AND(medidas!AI86,"AAAAAE+e/rM=")</f>
        <v>#VALUE!</v>
      </c>
      <c r="FY53" t="e">
        <f>AND(medidas!AJ86,"AAAAAE+e/rQ=")</f>
        <v>#VALUE!</v>
      </c>
      <c r="FZ53" t="e">
        <f>AND(medidas!AK86,"AAAAAE+e/rU=")</f>
        <v>#VALUE!</v>
      </c>
      <c r="GA53" t="e">
        <f>AND(medidas!AL86,"AAAAAE+e/rY=")</f>
        <v>#VALUE!</v>
      </c>
      <c r="GB53" t="e">
        <f>AND(medidas!AM86,"AAAAAE+e/rc=")</f>
        <v>#VALUE!</v>
      </c>
      <c r="GC53" t="e">
        <f>AND(medidas!AN86,"AAAAAE+e/rg=")</f>
        <v>#VALUE!</v>
      </c>
      <c r="GD53" t="e">
        <f>AND(medidas!AO86,"AAAAAE+e/rk=")</f>
        <v>#VALUE!</v>
      </c>
      <c r="GE53" t="e">
        <f>AND(medidas!AP86,"AAAAAE+e/ro=")</f>
        <v>#VALUE!</v>
      </c>
      <c r="GF53" t="e">
        <f>AND(medidas!AQ86,"AAAAAE+e/rs=")</f>
        <v>#VALUE!</v>
      </c>
      <c r="GG53" t="e">
        <f>AND(medidas!AR86,"AAAAAE+e/rw=")</f>
        <v>#VALUE!</v>
      </c>
      <c r="GH53" t="e">
        <f>AND(medidas!AS86,"AAAAAE+e/r0=")</f>
        <v>#VALUE!</v>
      </c>
      <c r="GI53" t="e">
        <f>AND(medidas!AT86,"AAAAAE+e/r4=")</f>
        <v>#VALUE!</v>
      </c>
      <c r="GJ53" t="e">
        <f>AND(medidas!AU86,"AAAAAE+e/r8=")</f>
        <v>#VALUE!</v>
      </c>
      <c r="GK53" t="e">
        <f>AND(medidas!AV86,"AAAAAE+e/sA=")</f>
        <v>#VALUE!</v>
      </c>
      <c r="GL53" t="e">
        <f>AND(medidas!AW86,"AAAAAE+e/sE=")</f>
        <v>#VALUE!</v>
      </c>
      <c r="GM53" t="e">
        <f>AND(medidas!AX86,"AAAAAE+e/sI=")</f>
        <v>#VALUE!</v>
      </c>
      <c r="GN53" t="e">
        <f>AND(medidas!AY86,"AAAAAE+e/sM=")</f>
        <v>#VALUE!</v>
      </c>
      <c r="GO53" t="e">
        <f>AND(medidas!AZ86,"AAAAAE+e/sQ=")</f>
        <v>#VALUE!</v>
      </c>
      <c r="GP53" t="e">
        <f>AND(medidas!BA86,"AAAAAE+e/sU=")</f>
        <v>#VALUE!</v>
      </c>
      <c r="GQ53" t="e">
        <f>AND(medidas!BB86,"AAAAAE+e/sY=")</f>
        <v>#VALUE!</v>
      </c>
      <c r="GR53" t="e">
        <f>AND(medidas!BC86,"AAAAAE+e/sc=")</f>
        <v>#VALUE!</v>
      </c>
      <c r="GS53" t="e">
        <f>AND(medidas!BD86,"AAAAAE+e/sg=")</f>
        <v>#VALUE!</v>
      </c>
      <c r="GT53" t="e">
        <f>AND(medidas!BE86,"AAAAAE+e/sk=")</f>
        <v>#VALUE!</v>
      </c>
      <c r="GU53" t="e">
        <f>AND(medidas!BF86,"AAAAAE+e/so=")</f>
        <v>#VALUE!</v>
      </c>
      <c r="GV53" t="e">
        <f>AND(medidas!BG86,"AAAAAE+e/ss=")</f>
        <v>#VALUE!</v>
      </c>
      <c r="GW53" t="e">
        <f>AND(medidas!BH86,"AAAAAE+e/sw=")</f>
        <v>#VALUE!</v>
      </c>
      <c r="GX53" t="e">
        <f>AND(medidas!BI86,"AAAAAE+e/s0=")</f>
        <v>#VALUE!</v>
      </c>
      <c r="GY53" t="e">
        <f>AND(medidas!BJ86,"AAAAAE+e/s4=")</f>
        <v>#VALUE!</v>
      </c>
      <c r="GZ53" t="e">
        <f>AND(medidas!BK86,"AAAAAE+e/s8=")</f>
        <v>#VALUE!</v>
      </c>
      <c r="HA53" t="e">
        <f>AND(medidas!BL86,"AAAAAE+e/tA=")</f>
        <v>#VALUE!</v>
      </c>
      <c r="HB53" t="e">
        <f>AND(medidas!BM86,"AAAAAE+e/tE=")</f>
        <v>#VALUE!</v>
      </c>
      <c r="HC53" t="e">
        <f>AND(medidas!BN86,"AAAAAE+e/tI=")</f>
        <v>#VALUE!</v>
      </c>
      <c r="HD53" t="e">
        <f>AND(medidas!BO86,"AAAAAE+e/tM=")</f>
        <v>#VALUE!</v>
      </c>
      <c r="HE53" t="e">
        <f>AND(medidas!BP86,"AAAAAE+e/tQ=")</f>
        <v>#VALUE!</v>
      </c>
      <c r="HF53" t="e">
        <f>AND(medidas!BQ86,"AAAAAE+e/tU=")</f>
        <v>#VALUE!</v>
      </c>
      <c r="HG53" t="e">
        <f>AND(medidas!BR86,"AAAAAE+e/tY=")</f>
        <v>#VALUE!</v>
      </c>
      <c r="HH53" t="e">
        <f>AND(medidas!BS86,"AAAAAE+e/tc=")</f>
        <v>#VALUE!</v>
      </c>
      <c r="HI53" t="e">
        <f>AND(medidas!BT86,"AAAAAE+e/tg=")</f>
        <v>#VALUE!</v>
      </c>
      <c r="HJ53" t="e">
        <f>AND(medidas!BU86,"AAAAAE+e/tk=")</f>
        <v>#VALUE!</v>
      </c>
      <c r="HK53" t="e">
        <f>AND(medidas!BV86,"AAAAAE+e/to=")</f>
        <v>#VALUE!</v>
      </c>
      <c r="HL53" t="e">
        <f>AND(medidas!BW86,"AAAAAE+e/ts=")</f>
        <v>#VALUE!</v>
      </c>
      <c r="HM53" t="e">
        <f>AND(medidas!BX86,"AAAAAE+e/tw=")</f>
        <v>#VALUE!</v>
      </c>
      <c r="HN53" t="e">
        <f>AND(medidas!BY86,"AAAAAE+e/t0=")</f>
        <v>#VALUE!</v>
      </c>
      <c r="HO53">
        <f>IF(medidas!87:87,"AAAAAE+e/t4=",0)</f>
        <v>0</v>
      </c>
      <c r="HP53" t="e">
        <f>AND(medidas!B87,"AAAAAE+e/t8=")</f>
        <v>#VALUE!</v>
      </c>
      <c r="HQ53" t="e">
        <f>AND(medidas!C87,"AAAAAE+e/uA=")</f>
        <v>#VALUE!</v>
      </c>
      <c r="HR53" t="e">
        <f>AND(medidas!D87,"AAAAAE+e/uE=")</f>
        <v>#VALUE!</v>
      </c>
      <c r="HS53" t="e">
        <f>AND(medidas!E87,"AAAAAE+e/uI=")</f>
        <v>#VALUE!</v>
      </c>
      <c r="HT53" t="e">
        <f>AND(medidas!F87,"AAAAAE+e/uM=")</f>
        <v>#VALUE!</v>
      </c>
      <c r="HU53" t="e">
        <f>AND(medidas!G87,"AAAAAE+e/uQ=")</f>
        <v>#VALUE!</v>
      </c>
      <c r="HV53" t="e">
        <f>AND(medidas!H87,"AAAAAE+e/uU=")</f>
        <v>#VALUE!</v>
      </c>
      <c r="HW53" t="e">
        <f>AND(medidas!I87,"AAAAAE+e/uY=")</f>
        <v>#VALUE!</v>
      </c>
      <c r="HX53" t="e">
        <f>AND(medidas!J87,"AAAAAE+e/uc=")</f>
        <v>#VALUE!</v>
      </c>
      <c r="HY53" t="e">
        <f>AND(medidas!K87,"AAAAAE+e/ug=")</f>
        <v>#VALUE!</v>
      </c>
      <c r="HZ53" t="e">
        <f>AND(medidas!L87,"AAAAAE+e/uk=")</f>
        <v>#VALUE!</v>
      </c>
      <c r="IA53" t="e">
        <f>AND(medidas!M87,"AAAAAE+e/uo=")</f>
        <v>#VALUE!</v>
      </c>
      <c r="IB53" t="e">
        <f>AND(medidas!N87,"AAAAAE+e/us=")</f>
        <v>#VALUE!</v>
      </c>
      <c r="IC53" t="e">
        <f>AND(medidas!O87,"AAAAAE+e/uw=")</f>
        <v>#VALUE!</v>
      </c>
      <c r="ID53" t="e">
        <f>AND(medidas!P87,"AAAAAE+e/u0=")</f>
        <v>#VALUE!</v>
      </c>
      <c r="IE53" t="e">
        <f>AND(medidas!Q87,"AAAAAE+e/u4=")</f>
        <v>#VALUE!</v>
      </c>
      <c r="IF53" t="e">
        <f>AND(medidas!R87,"AAAAAE+e/u8=")</f>
        <v>#VALUE!</v>
      </c>
      <c r="IG53" t="e">
        <f>AND(medidas!S87,"AAAAAE+e/vA=")</f>
        <v>#VALUE!</v>
      </c>
      <c r="IH53" t="e">
        <f>AND(medidas!T87,"AAAAAE+e/vE=")</f>
        <v>#VALUE!</v>
      </c>
      <c r="II53" t="e">
        <f>AND(medidas!U87,"AAAAAE+e/vI=")</f>
        <v>#VALUE!</v>
      </c>
      <c r="IJ53" t="e">
        <f>AND(medidas!V87,"AAAAAE+e/vM=")</f>
        <v>#VALUE!</v>
      </c>
      <c r="IK53" t="e">
        <f>AND(medidas!W87,"AAAAAE+e/vQ=")</f>
        <v>#VALUE!</v>
      </c>
      <c r="IL53" t="e">
        <f>AND(medidas!X87,"AAAAAE+e/vU=")</f>
        <v>#VALUE!</v>
      </c>
      <c r="IM53" t="e">
        <f>AND(medidas!Y87,"AAAAAE+e/vY=")</f>
        <v>#VALUE!</v>
      </c>
      <c r="IN53" t="e">
        <f>AND(medidas!Z87,"AAAAAE+e/vc=")</f>
        <v>#VALUE!</v>
      </c>
      <c r="IO53" t="e">
        <f>AND(medidas!AA87,"AAAAAE+e/vg=")</f>
        <v>#VALUE!</v>
      </c>
      <c r="IP53" t="e">
        <f>AND(medidas!AB87,"AAAAAE+e/vk=")</f>
        <v>#VALUE!</v>
      </c>
      <c r="IQ53" t="e">
        <f>AND(medidas!AC87,"AAAAAE+e/vo=")</f>
        <v>#VALUE!</v>
      </c>
      <c r="IR53" t="e">
        <f>AND(medidas!AD87,"AAAAAE+e/vs=")</f>
        <v>#VALUE!</v>
      </c>
      <c r="IS53" t="e">
        <f>AND(medidas!AE87,"AAAAAE+e/vw=")</f>
        <v>#VALUE!</v>
      </c>
      <c r="IT53" t="e">
        <f>AND(medidas!AF87,"AAAAAE+e/v0=")</f>
        <v>#VALUE!</v>
      </c>
      <c r="IU53" t="e">
        <f>AND(medidas!AG87,"AAAAAE+e/v4=")</f>
        <v>#VALUE!</v>
      </c>
      <c r="IV53" t="e">
        <f>AND(medidas!AH87,"AAAAAE+e/v8=")</f>
        <v>#VALUE!</v>
      </c>
    </row>
    <row r="54" spans="1:256" x14ac:dyDescent="0.2">
      <c r="A54" t="e">
        <f>AND(medidas!AI87,"AAAAAF//6wA=")</f>
        <v>#VALUE!</v>
      </c>
      <c r="B54" t="e">
        <f>AND(medidas!AJ87,"AAAAAF//6wE=")</f>
        <v>#VALUE!</v>
      </c>
      <c r="C54" t="e">
        <f>AND(medidas!AK87,"AAAAAF//6wI=")</f>
        <v>#VALUE!</v>
      </c>
      <c r="D54" t="e">
        <f>AND(medidas!AL87,"AAAAAF//6wM=")</f>
        <v>#VALUE!</v>
      </c>
      <c r="E54" t="e">
        <f>AND(medidas!AM87,"AAAAAF//6wQ=")</f>
        <v>#VALUE!</v>
      </c>
      <c r="F54" t="e">
        <f>AND(medidas!AN87,"AAAAAF//6wU=")</f>
        <v>#VALUE!</v>
      </c>
      <c r="G54" t="e">
        <f>AND(medidas!AO87,"AAAAAF//6wY=")</f>
        <v>#VALUE!</v>
      </c>
      <c r="H54" t="e">
        <f>AND(medidas!AP87,"AAAAAF//6wc=")</f>
        <v>#VALUE!</v>
      </c>
      <c r="I54" t="e">
        <f>AND(medidas!AQ87,"AAAAAF//6wg=")</f>
        <v>#VALUE!</v>
      </c>
      <c r="J54" t="e">
        <f>AND(medidas!AR87,"AAAAAF//6wk=")</f>
        <v>#VALUE!</v>
      </c>
      <c r="K54" t="e">
        <f>AND(medidas!AS87,"AAAAAF//6wo=")</f>
        <v>#VALUE!</v>
      </c>
      <c r="L54" t="e">
        <f>AND(medidas!AT87,"AAAAAF//6ws=")</f>
        <v>#VALUE!</v>
      </c>
      <c r="M54" t="e">
        <f>AND(medidas!AU87,"AAAAAF//6ww=")</f>
        <v>#VALUE!</v>
      </c>
      <c r="N54" t="e">
        <f>AND(medidas!AV87,"AAAAAF//6w0=")</f>
        <v>#VALUE!</v>
      </c>
      <c r="O54" t="e">
        <f>AND(medidas!AW87,"AAAAAF//6w4=")</f>
        <v>#VALUE!</v>
      </c>
      <c r="P54" t="e">
        <f>AND(medidas!AX87,"AAAAAF//6w8=")</f>
        <v>#VALUE!</v>
      </c>
      <c r="Q54" t="e">
        <f>AND(medidas!AY87,"AAAAAF//6xA=")</f>
        <v>#VALUE!</v>
      </c>
      <c r="R54" t="e">
        <f>AND(medidas!AZ87,"AAAAAF//6xE=")</f>
        <v>#VALUE!</v>
      </c>
      <c r="S54" t="e">
        <f>AND(medidas!BA87,"AAAAAF//6xI=")</f>
        <v>#VALUE!</v>
      </c>
      <c r="T54" t="e">
        <f>AND(medidas!BB87,"AAAAAF//6xM=")</f>
        <v>#VALUE!</v>
      </c>
      <c r="U54" t="e">
        <f>AND(medidas!BC87,"AAAAAF//6xQ=")</f>
        <v>#VALUE!</v>
      </c>
      <c r="V54" t="e">
        <f>AND(medidas!BD87,"AAAAAF//6xU=")</f>
        <v>#VALUE!</v>
      </c>
      <c r="W54" t="e">
        <f>AND(medidas!BE87,"AAAAAF//6xY=")</f>
        <v>#VALUE!</v>
      </c>
      <c r="X54" t="e">
        <f>AND(medidas!BF87,"AAAAAF//6xc=")</f>
        <v>#VALUE!</v>
      </c>
      <c r="Y54" t="e">
        <f>AND(medidas!BG87,"AAAAAF//6xg=")</f>
        <v>#VALUE!</v>
      </c>
      <c r="Z54" t="e">
        <f>AND(medidas!BH87,"AAAAAF//6xk=")</f>
        <v>#VALUE!</v>
      </c>
      <c r="AA54" t="e">
        <f>AND(medidas!BI87,"AAAAAF//6xo=")</f>
        <v>#VALUE!</v>
      </c>
      <c r="AB54" t="e">
        <f>AND(medidas!BJ87,"AAAAAF//6xs=")</f>
        <v>#VALUE!</v>
      </c>
      <c r="AC54" t="e">
        <f>AND(medidas!BK87,"AAAAAF//6xw=")</f>
        <v>#VALUE!</v>
      </c>
      <c r="AD54" t="e">
        <f>AND(medidas!BL87,"AAAAAF//6x0=")</f>
        <v>#VALUE!</v>
      </c>
      <c r="AE54" t="e">
        <f>AND(medidas!BM87,"AAAAAF//6x4=")</f>
        <v>#VALUE!</v>
      </c>
      <c r="AF54" t="e">
        <f>AND(medidas!BN87,"AAAAAF//6x8=")</f>
        <v>#VALUE!</v>
      </c>
      <c r="AG54" t="e">
        <f>AND(medidas!BO87,"AAAAAF//6yA=")</f>
        <v>#VALUE!</v>
      </c>
      <c r="AH54" t="e">
        <f>AND(medidas!BP87,"AAAAAF//6yE=")</f>
        <v>#VALUE!</v>
      </c>
      <c r="AI54" t="e">
        <f>AND(medidas!BQ87,"AAAAAF//6yI=")</f>
        <v>#VALUE!</v>
      </c>
      <c r="AJ54" t="e">
        <f>AND(medidas!BR87,"AAAAAF//6yM=")</f>
        <v>#VALUE!</v>
      </c>
      <c r="AK54" t="e">
        <f>AND(medidas!BS87,"AAAAAF//6yQ=")</f>
        <v>#VALUE!</v>
      </c>
      <c r="AL54" t="e">
        <f>AND(medidas!BT87,"AAAAAF//6yU=")</f>
        <v>#VALUE!</v>
      </c>
      <c r="AM54" t="e">
        <f>AND(medidas!BU87,"AAAAAF//6yY=")</f>
        <v>#VALUE!</v>
      </c>
      <c r="AN54" t="e">
        <f>AND(medidas!BV87,"AAAAAF//6yc=")</f>
        <v>#VALUE!</v>
      </c>
      <c r="AO54" t="e">
        <f>AND(medidas!BW87,"AAAAAF//6yg=")</f>
        <v>#VALUE!</v>
      </c>
      <c r="AP54" t="e">
        <f>AND(medidas!BX87,"AAAAAF//6yk=")</f>
        <v>#VALUE!</v>
      </c>
      <c r="AQ54" t="e">
        <f>AND(medidas!BY87,"AAAAAF//6yo=")</f>
        <v>#VALUE!</v>
      </c>
      <c r="AR54">
        <f>IF(medidas!88:88,"AAAAAF//6ys=",0)</f>
        <v>0</v>
      </c>
      <c r="AS54" t="e">
        <f>AND(medidas!B88,"AAAAAF//6yw=")</f>
        <v>#VALUE!</v>
      </c>
      <c r="AT54" t="e">
        <f>AND(medidas!C88,"AAAAAF//6y0=")</f>
        <v>#VALUE!</v>
      </c>
      <c r="AU54" t="e">
        <f>AND(medidas!D88,"AAAAAF//6y4=")</f>
        <v>#VALUE!</v>
      </c>
      <c r="AV54" t="e">
        <f>AND(medidas!E88,"AAAAAF//6y8=")</f>
        <v>#VALUE!</v>
      </c>
      <c r="AW54" t="e">
        <f>AND(medidas!F88,"AAAAAF//6zA=")</f>
        <v>#VALUE!</v>
      </c>
      <c r="AX54" t="e">
        <f>AND(medidas!G88,"AAAAAF//6zE=")</f>
        <v>#VALUE!</v>
      </c>
      <c r="AY54" t="e">
        <f>AND(medidas!H88,"AAAAAF//6zI=")</f>
        <v>#VALUE!</v>
      </c>
      <c r="AZ54" t="e">
        <f>AND(medidas!I88,"AAAAAF//6zM=")</f>
        <v>#VALUE!</v>
      </c>
      <c r="BA54" t="e">
        <f>AND(medidas!J88,"AAAAAF//6zQ=")</f>
        <v>#VALUE!</v>
      </c>
      <c r="BB54" t="e">
        <f>AND(medidas!K88,"AAAAAF//6zU=")</f>
        <v>#VALUE!</v>
      </c>
      <c r="BC54" t="e">
        <f>AND(medidas!L88,"AAAAAF//6zY=")</f>
        <v>#VALUE!</v>
      </c>
      <c r="BD54" t="e">
        <f>AND(medidas!M88,"AAAAAF//6zc=")</f>
        <v>#VALUE!</v>
      </c>
      <c r="BE54" t="e">
        <f>AND(medidas!N88,"AAAAAF//6zg=")</f>
        <v>#VALUE!</v>
      </c>
      <c r="BF54" t="e">
        <f>AND(medidas!O88,"AAAAAF//6zk=")</f>
        <v>#VALUE!</v>
      </c>
      <c r="BG54" t="e">
        <f>AND(medidas!P88,"AAAAAF//6zo=")</f>
        <v>#VALUE!</v>
      </c>
      <c r="BH54" t="e">
        <f>AND(medidas!Q88,"AAAAAF//6zs=")</f>
        <v>#VALUE!</v>
      </c>
      <c r="BI54" t="e">
        <f>AND(medidas!R88,"AAAAAF//6zw=")</f>
        <v>#VALUE!</v>
      </c>
      <c r="BJ54" t="e">
        <f>AND(medidas!S88,"AAAAAF//6z0=")</f>
        <v>#VALUE!</v>
      </c>
      <c r="BK54" t="e">
        <f>AND(medidas!T88,"AAAAAF//6z4=")</f>
        <v>#VALUE!</v>
      </c>
      <c r="BL54" t="e">
        <f>AND(medidas!U88,"AAAAAF//6z8=")</f>
        <v>#VALUE!</v>
      </c>
      <c r="BM54" t="e">
        <f>AND(medidas!V88,"AAAAAF//60A=")</f>
        <v>#VALUE!</v>
      </c>
      <c r="BN54" t="e">
        <f>AND(medidas!W88,"AAAAAF//60E=")</f>
        <v>#VALUE!</v>
      </c>
      <c r="BO54" t="e">
        <f>AND(medidas!X88,"AAAAAF//60I=")</f>
        <v>#VALUE!</v>
      </c>
      <c r="BP54" t="e">
        <f>AND(medidas!Y88,"AAAAAF//60M=")</f>
        <v>#VALUE!</v>
      </c>
      <c r="BQ54" t="e">
        <f>AND(medidas!Z88,"AAAAAF//60Q=")</f>
        <v>#VALUE!</v>
      </c>
      <c r="BR54" t="e">
        <f>AND(medidas!AA88,"AAAAAF//60U=")</f>
        <v>#VALUE!</v>
      </c>
      <c r="BS54" t="e">
        <f>AND(medidas!AB88,"AAAAAF//60Y=")</f>
        <v>#VALUE!</v>
      </c>
      <c r="BT54" t="e">
        <f>AND(medidas!AC88,"AAAAAF//60c=")</f>
        <v>#VALUE!</v>
      </c>
      <c r="BU54" t="e">
        <f>AND(medidas!AD88,"AAAAAF//60g=")</f>
        <v>#VALUE!</v>
      </c>
      <c r="BV54" t="e">
        <f>AND(medidas!AE88,"AAAAAF//60k=")</f>
        <v>#VALUE!</v>
      </c>
      <c r="BW54" t="e">
        <f>AND(medidas!AF88,"AAAAAF//60o=")</f>
        <v>#VALUE!</v>
      </c>
      <c r="BX54" t="e">
        <f>AND(medidas!AG88,"AAAAAF//60s=")</f>
        <v>#VALUE!</v>
      </c>
      <c r="BY54" t="e">
        <f>AND(medidas!AH88,"AAAAAF//60w=")</f>
        <v>#VALUE!</v>
      </c>
      <c r="BZ54" t="e">
        <f>AND(medidas!AI88,"AAAAAF//600=")</f>
        <v>#VALUE!</v>
      </c>
      <c r="CA54" t="e">
        <f>AND(medidas!AJ88,"AAAAAF//604=")</f>
        <v>#VALUE!</v>
      </c>
      <c r="CB54" t="e">
        <f>AND(medidas!AK88,"AAAAAF//608=")</f>
        <v>#VALUE!</v>
      </c>
      <c r="CC54" t="e">
        <f>AND(medidas!AL88,"AAAAAF//61A=")</f>
        <v>#VALUE!</v>
      </c>
      <c r="CD54" t="e">
        <f>AND(medidas!AM88,"AAAAAF//61E=")</f>
        <v>#VALUE!</v>
      </c>
      <c r="CE54" t="e">
        <f>AND(medidas!AN88,"AAAAAF//61I=")</f>
        <v>#VALUE!</v>
      </c>
      <c r="CF54" t="e">
        <f>AND(medidas!AO88,"AAAAAF//61M=")</f>
        <v>#VALUE!</v>
      </c>
      <c r="CG54" t="e">
        <f>AND(medidas!AP88,"AAAAAF//61Q=")</f>
        <v>#VALUE!</v>
      </c>
      <c r="CH54" t="e">
        <f>AND(medidas!AQ88,"AAAAAF//61U=")</f>
        <v>#VALUE!</v>
      </c>
      <c r="CI54" t="e">
        <f>AND(medidas!AR88,"AAAAAF//61Y=")</f>
        <v>#VALUE!</v>
      </c>
      <c r="CJ54" t="e">
        <f>AND(medidas!AS88,"AAAAAF//61c=")</f>
        <v>#VALUE!</v>
      </c>
      <c r="CK54" t="e">
        <f>AND(medidas!AT88,"AAAAAF//61g=")</f>
        <v>#VALUE!</v>
      </c>
      <c r="CL54" t="e">
        <f>AND(medidas!AU88,"AAAAAF//61k=")</f>
        <v>#VALUE!</v>
      </c>
      <c r="CM54" t="e">
        <f>AND(medidas!AV88,"AAAAAF//61o=")</f>
        <v>#VALUE!</v>
      </c>
      <c r="CN54" t="e">
        <f>AND(medidas!AW88,"AAAAAF//61s=")</f>
        <v>#VALUE!</v>
      </c>
      <c r="CO54" t="e">
        <f>AND(medidas!AX88,"AAAAAF//61w=")</f>
        <v>#VALUE!</v>
      </c>
      <c r="CP54" t="e">
        <f>AND(medidas!AY88,"AAAAAF//610=")</f>
        <v>#VALUE!</v>
      </c>
      <c r="CQ54" t="e">
        <f>AND(medidas!AZ88,"AAAAAF//614=")</f>
        <v>#VALUE!</v>
      </c>
      <c r="CR54" t="e">
        <f>AND(medidas!BA88,"AAAAAF//618=")</f>
        <v>#VALUE!</v>
      </c>
      <c r="CS54" t="e">
        <f>AND(medidas!BB88,"AAAAAF//62A=")</f>
        <v>#VALUE!</v>
      </c>
      <c r="CT54" t="e">
        <f>AND(medidas!BC88,"AAAAAF//62E=")</f>
        <v>#VALUE!</v>
      </c>
      <c r="CU54" t="e">
        <f>AND(medidas!BD88,"AAAAAF//62I=")</f>
        <v>#VALUE!</v>
      </c>
      <c r="CV54" t="e">
        <f>AND(medidas!BE88,"AAAAAF//62M=")</f>
        <v>#VALUE!</v>
      </c>
      <c r="CW54" t="e">
        <f>AND(medidas!BF88,"AAAAAF//62Q=")</f>
        <v>#VALUE!</v>
      </c>
      <c r="CX54" t="e">
        <f>AND(medidas!BG88,"AAAAAF//62U=")</f>
        <v>#VALUE!</v>
      </c>
      <c r="CY54" t="e">
        <f>AND(medidas!BH88,"AAAAAF//62Y=")</f>
        <v>#VALUE!</v>
      </c>
      <c r="CZ54" t="e">
        <f>AND(medidas!BI88,"AAAAAF//62c=")</f>
        <v>#VALUE!</v>
      </c>
      <c r="DA54" t="e">
        <f>AND(medidas!BJ88,"AAAAAF//62g=")</f>
        <v>#VALUE!</v>
      </c>
      <c r="DB54" t="e">
        <f>AND(medidas!BK88,"AAAAAF//62k=")</f>
        <v>#VALUE!</v>
      </c>
      <c r="DC54" t="e">
        <f>AND(medidas!BL88,"AAAAAF//62o=")</f>
        <v>#VALUE!</v>
      </c>
      <c r="DD54" t="e">
        <f>AND(medidas!BM88,"AAAAAF//62s=")</f>
        <v>#VALUE!</v>
      </c>
      <c r="DE54" t="e">
        <f>AND(medidas!BN88,"AAAAAF//62w=")</f>
        <v>#VALUE!</v>
      </c>
      <c r="DF54" t="e">
        <f>AND(medidas!BO88,"AAAAAF//620=")</f>
        <v>#VALUE!</v>
      </c>
      <c r="DG54" t="e">
        <f>AND(medidas!BP88,"AAAAAF//624=")</f>
        <v>#VALUE!</v>
      </c>
      <c r="DH54" t="e">
        <f>AND(medidas!BQ88,"AAAAAF//628=")</f>
        <v>#VALUE!</v>
      </c>
      <c r="DI54" t="e">
        <f>AND(medidas!BR88,"AAAAAF//63A=")</f>
        <v>#VALUE!</v>
      </c>
      <c r="DJ54" t="e">
        <f>AND(medidas!BS88,"AAAAAF//63E=")</f>
        <v>#VALUE!</v>
      </c>
      <c r="DK54" t="e">
        <f>AND(medidas!BT88,"AAAAAF//63I=")</f>
        <v>#VALUE!</v>
      </c>
      <c r="DL54" t="e">
        <f>AND(medidas!BU88,"AAAAAF//63M=")</f>
        <v>#VALUE!</v>
      </c>
      <c r="DM54" t="e">
        <f>AND(medidas!BV88,"AAAAAF//63Q=")</f>
        <v>#VALUE!</v>
      </c>
      <c r="DN54" t="e">
        <f>AND(medidas!BW88,"AAAAAF//63U=")</f>
        <v>#VALUE!</v>
      </c>
      <c r="DO54" t="e">
        <f>AND(medidas!BX88,"AAAAAF//63Y=")</f>
        <v>#VALUE!</v>
      </c>
      <c r="DP54" t="e">
        <f>AND(medidas!BY88,"AAAAAF//63c=")</f>
        <v>#VALUE!</v>
      </c>
      <c r="DQ54">
        <f>IF(medidas!89:89,"AAAAAF//63g=",0)</f>
        <v>0</v>
      </c>
      <c r="DR54" t="e">
        <f>AND(medidas!B89,"AAAAAF//63k=")</f>
        <v>#VALUE!</v>
      </c>
      <c r="DS54" t="e">
        <f>AND(medidas!C89,"AAAAAF//63o=")</f>
        <v>#VALUE!</v>
      </c>
      <c r="DT54" t="e">
        <f>AND(medidas!D89,"AAAAAF//63s=")</f>
        <v>#VALUE!</v>
      </c>
      <c r="DU54" t="e">
        <f>AND(medidas!E89,"AAAAAF//63w=")</f>
        <v>#VALUE!</v>
      </c>
      <c r="DV54" t="e">
        <f>AND(medidas!F89,"AAAAAF//630=")</f>
        <v>#VALUE!</v>
      </c>
      <c r="DW54" t="e">
        <f>AND(medidas!G89,"AAAAAF//634=")</f>
        <v>#VALUE!</v>
      </c>
      <c r="DX54" t="e">
        <f>AND(medidas!H89,"AAAAAF//638=")</f>
        <v>#VALUE!</v>
      </c>
      <c r="DY54" t="e">
        <f>AND(medidas!I89,"AAAAAF//64A=")</f>
        <v>#VALUE!</v>
      </c>
      <c r="DZ54" t="e">
        <f>AND(medidas!J89,"AAAAAF//64E=")</f>
        <v>#VALUE!</v>
      </c>
      <c r="EA54" t="e">
        <f>AND(medidas!K89,"AAAAAF//64I=")</f>
        <v>#VALUE!</v>
      </c>
      <c r="EB54" t="e">
        <f>AND(medidas!L89,"AAAAAF//64M=")</f>
        <v>#VALUE!</v>
      </c>
      <c r="EC54" t="e">
        <f>AND(medidas!M89,"AAAAAF//64Q=")</f>
        <v>#VALUE!</v>
      </c>
      <c r="ED54" t="e">
        <f>AND(medidas!N89,"AAAAAF//64U=")</f>
        <v>#VALUE!</v>
      </c>
      <c r="EE54" t="e">
        <f>AND(medidas!O89,"AAAAAF//64Y=")</f>
        <v>#VALUE!</v>
      </c>
      <c r="EF54" t="e">
        <f>AND(medidas!P89,"AAAAAF//64c=")</f>
        <v>#VALUE!</v>
      </c>
      <c r="EG54" t="e">
        <f>AND(medidas!Q89,"AAAAAF//64g=")</f>
        <v>#VALUE!</v>
      </c>
      <c r="EH54" t="e">
        <f>AND(medidas!R89,"AAAAAF//64k=")</f>
        <v>#VALUE!</v>
      </c>
      <c r="EI54" t="e">
        <f>AND(medidas!S89,"AAAAAF//64o=")</f>
        <v>#VALUE!</v>
      </c>
      <c r="EJ54" t="e">
        <f>AND(medidas!T89,"AAAAAF//64s=")</f>
        <v>#VALUE!</v>
      </c>
      <c r="EK54" t="e">
        <f>AND(medidas!U89,"AAAAAF//64w=")</f>
        <v>#VALUE!</v>
      </c>
      <c r="EL54" t="e">
        <f>AND(medidas!V89,"AAAAAF//640=")</f>
        <v>#VALUE!</v>
      </c>
      <c r="EM54" t="e">
        <f>AND(medidas!W89,"AAAAAF//644=")</f>
        <v>#VALUE!</v>
      </c>
      <c r="EN54" t="e">
        <f>AND(medidas!X89,"AAAAAF//648=")</f>
        <v>#VALUE!</v>
      </c>
      <c r="EO54" t="e">
        <f>AND(medidas!Y89,"AAAAAF//65A=")</f>
        <v>#VALUE!</v>
      </c>
      <c r="EP54" t="e">
        <f>AND(medidas!Z89,"AAAAAF//65E=")</f>
        <v>#VALUE!</v>
      </c>
      <c r="EQ54" t="e">
        <f>AND(medidas!AA89,"AAAAAF//65I=")</f>
        <v>#VALUE!</v>
      </c>
      <c r="ER54" t="e">
        <f>AND(medidas!AB89,"AAAAAF//65M=")</f>
        <v>#VALUE!</v>
      </c>
      <c r="ES54" t="e">
        <f>AND(medidas!AC89,"AAAAAF//65Q=")</f>
        <v>#VALUE!</v>
      </c>
      <c r="ET54" t="e">
        <f>AND(medidas!AD89,"AAAAAF//65U=")</f>
        <v>#VALUE!</v>
      </c>
      <c r="EU54" t="e">
        <f>AND(medidas!AE89,"AAAAAF//65Y=")</f>
        <v>#VALUE!</v>
      </c>
      <c r="EV54" t="e">
        <f>AND(medidas!AF89,"AAAAAF//65c=")</f>
        <v>#VALUE!</v>
      </c>
      <c r="EW54" t="e">
        <f>AND(medidas!AG89,"AAAAAF//65g=")</f>
        <v>#VALUE!</v>
      </c>
      <c r="EX54" t="e">
        <f>AND(medidas!AH89,"AAAAAF//65k=")</f>
        <v>#VALUE!</v>
      </c>
      <c r="EY54" t="e">
        <f>AND(medidas!AI89,"AAAAAF//65o=")</f>
        <v>#VALUE!</v>
      </c>
      <c r="EZ54" t="e">
        <f>AND(medidas!AJ89,"AAAAAF//65s=")</f>
        <v>#VALUE!</v>
      </c>
      <c r="FA54" t="e">
        <f>AND(medidas!AK89,"AAAAAF//65w=")</f>
        <v>#VALUE!</v>
      </c>
      <c r="FB54" t="e">
        <f>AND(medidas!AL89,"AAAAAF//650=")</f>
        <v>#VALUE!</v>
      </c>
      <c r="FC54" t="e">
        <f>AND(medidas!AM89,"AAAAAF//654=")</f>
        <v>#VALUE!</v>
      </c>
      <c r="FD54" t="e">
        <f>AND(medidas!AN89,"AAAAAF//658=")</f>
        <v>#VALUE!</v>
      </c>
      <c r="FE54" t="e">
        <f>AND(medidas!AO89,"AAAAAF//66A=")</f>
        <v>#VALUE!</v>
      </c>
      <c r="FF54" t="e">
        <f>AND(medidas!AP89,"AAAAAF//66E=")</f>
        <v>#VALUE!</v>
      </c>
      <c r="FG54" t="e">
        <f>AND(medidas!AQ89,"AAAAAF//66I=")</f>
        <v>#VALUE!</v>
      </c>
      <c r="FH54" t="e">
        <f>AND(medidas!AR89,"AAAAAF//66M=")</f>
        <v>#VALUE!</v>
      </c>
      <c r="FI54" t="e">
        <f>AND(medidas!AS89,"AAAAAF//66Q=")</f>
        <v>#VALUE!</v>
      </c>
      <c r="FJ54" t="e">
        <f>AND(medidas!AT89,"AAAAAF//66U=")</f>
        <v>#VALUE!</v>
      </c>
      <c r="FK54" t="e">
        <f>AND(medidas!AU89,"AAAAAF//66Y=")</f>
        <v>#VALUE!</v>
      </c>
      <c r="FL54" t="e">
        <f>AND(medidas!AV89,"AAAAAF//66c=")</f>
        <v>#VALUE!</v>
      </c>
      <c r="FM54" t="e">
        <f>AND(medidas!AW89,"AAAAAF//66g=")</f>
        <v>#VALUE!</v>
      </c>
      <c r="FN54" t="e">
        <f>AND(medidas!AX89,"AAAAAF//66k=")</f>
        <v>#VALUE!</v>
      </c>
      <c r="FO54" t="e">
        <f>AND(medidas!AY89,"AAAAAF//66o=")</f>
        <v>#VALUE!</v>
      </c>
      <c r="FP54" t="e">
        <f>AND(medidas!AZ89,"AAAAAF//66s=")</f>
        <v>#VALUE!</v>
      </c>
      <c r="FQ54" t="e">
        <f>AND(medidas!BA89,"AAAAAF//66w=")</f>
        <v>#VALUE!</v>
      </c>
      <c r="FR54" t="e">
        <f>AND(medidas!BB89,"AAAAAF//660=")</f>
        <v>#VALUE!</v>
      </c>
      <c r="FS54" t="e">
        <f>AND(medidas!BC89,"AAAAAF//664=")</f>
        <v>#VALUE!</v>
      </c>
      <c r="FT54" t="e">
        <f>AND(medidas!BD89,"AAAAAF//668=")</f>
        <v>#VALUE!</v>
      </c>
      <c r="FU54" t="e">
        <f>AND(medidas!BE89,"AAAAAF//67A=")</f>
        <v>#VALUE!</v>
      </c>
      <c r="FV54" t="e">
        <f>AND(medidas!BF89,"AAAAAF//67E=")</f>
        <v>#VALUE!</v>
      </c>
      <c r="FW54" t="e">
        <f>AND(medidas!BG89,"AAAAAF//67I=")</f>
        <v>#VALUE!</v>
      </c>
      <c r="FX54" t="e">
        <f>AND(medidas!BH89,"AAAAAF//67M=")</f>
        <v>#VALUE!</v>
      </c>
      <c r="FY54" t="e">
        <f>AND(medidas!BI89,"AAAAAF//67Q=")</f>
        <v>#VALUE!</v>
      </c>
      <c r="FZ54" t="e">
        <f>AND(medidas!BJ89,"AAAAAF//67U=")</f>
        <v>#VALUE!</v>
      </c>
      <c r="GA54" t="e">
        <f>AND(medidas!BK89,"AAAAAF//67Y=")</f>
        <v>#VALUE!</v>
      </c>
      <c r="GB54" t="e">
        <f>AND(medidas!BL89,"AAAAAF//67c=")</f>
        <v>#VALUE!</v>
      </c>
      <c r="GC54" t="e">
        <f>AND(medidas!BM89,"AAAAAF//67g=")</f>
        <v>#VALUE!</v>
      </c>
      <c r="GD54" t="e">
        <f>AND(medidas!BN89,"AAAAAF//67k=")</f>
        <v>#VALUE!</v>
      </c>
      <c r="GE54" t="e">
        <f>AND(medidas!BO89,"AAAAAF//67o=")</f>
        <v>#VALUE!</v>
      </c>
      <c r="GF54" t="e">
        <f>AND(medidas!BP89,"AAAAAF//67s=")</f>
        <v>#VALUE!</v>
      </c>
      <c r="GG54" t="e">
        <f>AND(medidas!BQ89,"AAAAAF//67w=")</f>
        <v>#VALUE!</v>
      </c>
      <c r="GH54" t="e">
        <f>AND(medidas!BR89,"AAAAAF//670=")</f>
        <v>#VALUE!</v>
      </c>
      <c r="GI54" t="e">
        <f>AND(medidas!BS89,"AAAAAF//674=")</f>
        <v>#VALUE!</v>
      </c>
      <c r="GJ54" t="e">
        <f>AND(medidas!BT89,"AAAAAF//678=")</f>
        <v>#VALUE!</v>
      </c>
      <c r="GK54" t="e">
        <f>AND(medidas!BU89,"AAAAAF//68A=")</f>
        <v>#VALUE!</v>
      </c>
      <c r="GL54" t="e">
        <f>AND(medidas!BV89,"AAAAAF//68E=")</f>
        <v>#VALUE!</v>
      </c>
      <c r="GM54" t="e">
        <f>AND(medidas!BW89,"AAAAAF//68I=")</f>
        <v>#VALUE!</v>
      </c>
      <c r="GN54" t="e">
        <f>AND(medidas!BX89,"AAAAAF//68M=")</f>
        <v>#VALUE!</v>
      </c>
      <c r="GO54" t="e">
        <f>AND(medidas!BY89,"AAAAAF//68Q=")</f>
        <v>#VALUE!</v>
      </c>
      <c r="GP54">
        <f>IF(medidas!90:90,"AAAAAF//68U=",0)</f>
        <v>0</v>
      </c>
      <c r="GQ54" t="e">
        <f>AND(medidas!B90,"AAAAAF//68Y=")</f>
        <v>#VALUE!</v>
      </c>
      <c r="GR54" t="e">
        <f>AND(medidas!C90,"AAAAAF//68c=")</f>
        <v>#VALUE!</v>
      </c>
      <c r="GS54" t="e">
        <f>AND(medidas!D90,"AAAAAF//68g=")</f>
        <v>#VALUE!</v>
      </c>
      <c r="GT54" t="e">
        <f>AND(medidas!E90,"AAAAAF//68k=")</f>
        <v>#VALUE!</v>
      </c>
      <c r="GU54" t="e">
        <f>AND(medidas!F90,"AAAAAF//68o=")</f>
        <v>#VALUE!</v>
      </c>
      <c r="GV54" t="e">
        <f>AND(medidas!G90,"AAAAAF//68s=")</f>
        <v>#VALUE!</v>
      </c>
      <c r="GW54" t="e">
        <f>AND(medidas!H90,"AAAAAF//68w=")</f>
        <v>#VALUE!</v>
      </c>
      <c r="GX54" t="e">
        <f>AND(medidas!I90,"AAAAAF//680=")</f>
        <v>#VALUE!</v>
      </c>
      <c r="GY54" t="e">
        <f>AND(medidas!J90,"AAAAAF//684=")</f>
        <v>#VALUE!</v>
      </c>
      <c r="GZ54" t="e">
        <f>AND(medidas!K90,"AAAAAF//688=")</f>
        <v>#VALUE!</v>
      </c>
      <c r="HA54" t="e">
        <f>AND(medidas!L90,"AAAAAF//69A=")</f>
        <v>#VALUE!</v>
      </c>
      <c r="HB54" t="e">
        <f>AND(medidas!M90,"AAAAAF//69E=")</f>
        <v>#VALUE!</v>
      </c>
      <c r="HC54" t="e">
        <f>AND(medidas!N90,"AAAAAF//69I=")</f>
        <v>#VALUE!</v>
      </c>
      <c r="HD54" t="e">
        <f>AND(medidas!O90,"AAAAAF//69M=")</f>
        <v>#VALUE!</v>
      </c>
      <c r="HE54" t="e">
        <f>AND(medidas!P90,"AAAAAF//69Q=")</f>
        <v>#VALUE!</v>
      </c>
      <c r="HF54" t="e">
        <f>AND(medidas!Q90,"AAAAAF//69U=")</f>
        <v>#VALUE!</v>
      </c>
      <c r="HG54" t="e">
        <f>AND(medidas!R90,"AAAAAF//69Y=")</f>
        <v>#VALUE!</v>
      </c>
      <c r="HH54" t="e">
        <f>AND(medidas!S90,"AAAAAF//69c=")</f>
        <v>#VALUE!</v>
      </c>
      <c r="HI54" t="e">
        <f>AND(medidas!T90,"AAAAAF//69g=")</f>
        <v>#VALUE!</v>
      </c>
      <c r="HJ54" t="e">
        <f>AND(medidas!U90,"AAAAAF//69k=")</f>
        <v>#VALUE!</v>
      </c>
      <c r="HK54" t="e">
        <f>AND(medidas!V90,"AAAAAF//69o=")</f>
        <v>#VALUE!</v>
      </c>
      <c r="HL54" t="e">
        <f>AND(medidas!W90,"AAAAAF//69s=")</f>
        <v>#VALUE!</v>
      </c>
      <c r="HM54" t="e">
        <f>AND(medidas!X90,"AAAAAF//69w=")</f>
        <v>#VALUE!</v>
      </c>
      <c r="HN54" t="e">
        <f>AND(medidas!Y90,"AAAAAF//690=")</f>
        <v>#VALUE!</v>
      </c>
      <c r="HO54" t="e">
        <f>AND(medidas!Z90,"AAAAAF//694=")</f>
        <v>#VALUE!</v>
      </c>
      <c r="HP54" t="e">
        <f>AND(medidas!AA90,"AAAAAF//698=")</f>
        <v>#VALUE!</v>
      </c>
      <c r="HQ54" t="e">
        <f>AND(medidas!AB90,"AAAAAF//6+A=")</f>
        <v>#VALUE!</v>
      </c>
      <c r="HR54" t="e">
        <f>AND(medidas!AC90,"AAAAAF//6+E=")</f>
        <v>#VALUE!</v>
      </c>
      <c r="HS54" t="e">
        <f>AND(medidas!AD90,"AAAAAF//6+I=")</f>
        <v>#VALUE!</v>
      </c>
      <c r="HT54" t="e">
        <f>AND(medidas!AE90,"AAAAAF//6+M=")</f>
        <v>#VALUE!</v>
      </c>
      <c r="HU54" t="e">
        <f>AND(medidas!AF90,"AAAAAF//6+Q=")</f>
        <v>#VALUE!</v>
      </c>
      <c r="HV54" t="e">
        <f>AND(medidas!AG90,"AAAAAF//6+U=")</f>
        <v>#VALUE!</v>
      </c>
      <c r="HW54" t="e">
        <f>AND(medidas!AH90,"AAAAAF//6+Y=")</f>
        <v>#VALUE!</v>
      </c>
      <c r="HX54" t="e">
        <f>AND(medidas!AI90,"AAAAAF//6+c=")</f>
        <v>#VALUE!</v>
      </c>
      <c r="HY54" t="e">
        <f>AND(medidas!AJ90,"AAAAAF//6+g=")</f>
        <v>#VALUE!</v>
      </c>
      <c r="HZ54" t="e">
        <f>AND(medidas!AK90,"AAAAAF//6+k=")</f>
        <v>#VALUE!</v>
      </c>
      <c r="IA54" t="e">
        <f>AND(medidas!AL90,"AAAAAF//6+o=")</f>
        <v>#VALUE!</v>
      </c>
      <c r="IB54" t="e">
        <f>AND(medidas!AM90,"AAAAAF//6+s=")</f>
        <v>#VALUE!</v>
      </c>
      <c r="IC54" t="e">
        <f>AND(medidas!AN90,"AAAAAF//6+w=")</f>
        <v>#VALUE!</v>
      </c>
      <c r="ID54" t="e">
        <f>AND(medidas!AO90,"AAAAAF//6+0=")</f>
        <v>#VALUE!</v>
      </c>
      <c r="IE54" t="e">
        <f>AND(medidas!AP90,"AAAAAF//6+4=")</f>
        <v>#VALUE!</v>
      </c>
      <c r="IF54" t="e">
        <f>AND(medidas!AQ90,"AAAAAF//6+8=")</f>
        <v>#VALUE!</v>
      </c>
      <c r="IG54" t="e">
        <f>AND(medidas!AR90,"AAAAAF//6/A=")</f>
        <v>#VALUE!</v>
      </c>
      <c r="IH54" t="e">
        <f>AND(medidas!AS90,"AAAAAF//6/E=")</f>
        <v>#VALUE!</v>
      </c>
      <c r="II54" t="e">
        <f>AND(medidas!AT90,"AAAAAF//6/I=")</f>
        <v>#VALUE!</v>
      </c>
      <c r="IJ54" t="e">
        <f>AND(medidas!AU90,"AAAAAF//6/M=")</f>
        <v>#VALUE!</v>
      </c>
      <c r="IK54" t="e">
        <f>AND(medidas!AV90,"AAAAAF//6/Q=")</f>
        <v>#VALUE!</v>
      </c>
      <c r="IL54" t="e">
        <f>AND(medidas!AW90,"AAAAAF//6/U=")</f>
        <v>#VALUE!</v>
      </c>
      <c r="IM54" t="e">
        <f>AND(medidas!AX90,"AAAAAF//6/Y=")</f>
        <v>#VALUE!</v>
      </c>
      <c r="IN54" t="e">
        <f>AND(medidas!AY90,"AAAAAF//6/c=")</f>
        <v>#VALUE!</v>
      </c>
      <c r="IO54" t="e">
        <f>AND(medidas!AZ90,"AAAAAF//6/g=")</f>
        <v>#VALUE!</v>
      </c>
      <c r="IP54" t="e">
        <f>AND(medidas!BA90,"AAAAAF//6/k=")</f>
        <v>#VALUE!</v>
      </c>
      <c r="IQ54" t="e">
        <f>AND(medidas!BB90,"AAAAAF//6/o=")</f>
        <v>#VALUE!</v>
      </c>
      <c r="IR54" t="e">
        <f>AND(medidas!BC90,"AAAAAF//6/s=")</f>
        <v>#VALUE!</v>
      </c>
      <c r="IS54" t="e">
        <f>AND(medidas!BD90,"AAAAAF//6/w=")</f>
        <v>#VALUE!</v>
      </c>
      <c r="IT54" t="e">
        <f>AND(medidas!BE90,"AAAAAF//6/0=")</f>
        <v>#VALUE!</v>
      </c>
      <c r="IU54" t="e">
        <f>AND(medidas!BF90,"AAAAAF//6/4=")</f>
        <v>#VALUE!</v>
      </c>
      <c r="IV54" t="e">
        <f>AND(medidas!BG90,"AAAAAF//6/8=")</f>
        <v>#VALUE!</v>
      </c>
    </row>
    <row r="55" spans="1:256" x14ac:dyDescent="0.2">
      <c r="A55" t="e">
        <f>AND(medidas!BH90,"AAAAAE2b/QA=")</f>
        <v>#VALUE!</v>
      </c>
      <c r="B55" t="e">
        <f>AND(medidas!BI90,"AAAAAE2b/QE=")</f>
        <v>#VALUE!</v>
      </c>
      <c r="C55" t="e">
        <f>AND(medidas!BJ90,"AAAAAE2b/QI=")</f>
        <v>#VALUE!</v>
      </c>
      <c r="D55" t="e">
        <f>AND(medidas!BK90,"AAAAAE2b/QM=")</f>
        <v>#VALUE!</v>
      </c>
      <c r="E55" t="e">
        <f>AND(medidas!BL90,"AAAAAE2b/QQ=")</f>
        <v>#VALUE!</v>
      </c>
      <c r="F55" t="e">
        <f>AND(medidas!BM90,"AAAAAE2b/QU=")</f>
        <v>#VALUE!</v>
      </c>
      <c r="G55" t="e">
        <f>AND(medidas!BN90,"AAAAAE2b/QY=")</f>
        <v>#VALUE!</v>
      </c>
      <c r="H55" t="e">
        <f>AND(medidas!BO90,"AAAAAE2b/Qc=")</f>
        <v>#VALUE!</v>
      </c>
      <c r="I55" t="e">
        <f>AND(medidas!BP90,"AAAAAE2b/Qg=")</f>
        <v>#VALUE!</v>
      </c>
      <c r="J55" t="e">
        <f>AND(medidas!BQ90,"AAAAAE2b/Qk=")</f>
        <v>#VALUE!</v>
      </c>
      <c r="K55" t="e">
        <f>AND(medidas!BR90,"AAAAAE2b/Qo=")</f>
        <v>#VALUE!</v>
      </c>
      <c r="L55" t="e">
        <f>AND(medidas!BS90,"AAAAAE2b/Qs=")</f>
        <v>#VALUE!</v>
      </c>
      <c r="M55" t="e">
        <f>AND(medidas!BT90,"AAAAAE2b/Qw=")</f>
        <v>#VALUE!</v>
      </c>
      <c r="N55" t="e">
        <f>AND(medidas!BU90,"AAAAAE2b/Q0=")</f>
        <v>#VALUE!</v>
      </c>
      <c r="O55" t="e">
        <f>AND(medidas!BV90,"AAAAAE2b/Q4=")</f>
        <v>#VALUE!</v>
      </c>
      <c r="P55" t="e">
        <f>AND(medidas!BW90,"AAAAAE2b/Q8=")</f>
        <v>#VALUE!</v>
      </c>
      <c r="Q55" t="e">
        <f>AND(medidas!BX90,"AAAAAE2b/RA=")</f>
        <v>#VALUE!</v>
      </c>
      <c r="R55" t="e">
        <f>AND(medidas!BY90,"AAAAAE2b/RE=")</f>
        <v>#VALUE!</v>
      </c>
      <c r="S55">
        <f>IF(medidas!91:91,"AAAAAE2b/RI=",0)</f>
        <v>0</v>
      </c>
      <c r="T55" t="e">
        <f>AND(medidas!B91,"AAAAAE2b/RM=")</f>
        <v>#VALUE!</v>
      </c>
      <c r="U55" t="e">
        <f>AND(medidas!C91,"AAAAAE2b/RQ=")</f>
        <v>#VALUE!</v>
      </c>
      <c r="V55" t="e">
        <f>AND(medidas!D91,"AAAAAE2b/RU=")</f>
        <v>#VALUE!</v>
      </c>
      <c r="W55" t="e">
        <f>AND(medidas!E91,"AAAAAE2b/RY=")</f>
        <v>#VALUE!</v>
      </c>
      <c r="X55" t="e">
        <f>AND(medidas!F91,"AAAAAE2b/Rc=")</f>
        <v>#VALUE!</v>
      </c>
      <c r="Y55" t="e">
        <f>AND(medidas!G91,"AAAAAE2b/Rg=")</f>
        <v>#VALUE!</v>
      </c>
      <c r="Z55" t="e">
        <f>AND(medidas!H91,"AAAAAE2b/Rk=")</f>
        <v>#VALUE!</v>
      </c>
      <c r="AA55" t="e">
        <f>AND(medidas!I91,"AAAAAE2b/Ro=")</f>
        <v>#VALUE!</v>
      </c>
      <c r="AB55" t="e">
        <f>AND(medidas!J91,"AAAAAE2b/Rs=")</f>
        <v>#VALUE!</v>
      </c>
      <c r="AC55" t="e">
        <f>AND(medidas!K91,"AAAAAE2b/Rw=")</f>
        <v>#VALUE!</v>
      </c>
      <c r="AD55" t="e">
        <f>AND(medidas!L91,"AAAAAE2b/R0=")</f>
        <v>#VALUE!</v>
      </c>
      <c r="AE55" t="e">
        <f>AND(medidas!M91,"AAAAAE2b/R4=")</f>
        <v>#VALUE!</v>
      </c>
      <c r="AF55" t="e">
        <f>AND(medidas!N91,"AAAAAE2b/R8=")</f>
        <v>#VALUE!</v>
      </c>
      <c r="AG55" t="e">
        <f>AND(medidas!O91,"AAAAAE2b/SA=")</f>
        <v>#VALUE!</v>
      </c>
      <c r="AH55" t="e">
        <f>AND(medidas!P91,"AAAAAE2b/SE=")</f>
        <v>#VALUE!</v>
      </c>
      <c r="AI55" t="e">
        <f>AND(medidas!Q91,"AAAAAE2b/SI=")</f>
        <v>#VALUE!</v>
      </c>
      <c r="AJ55" t="e">
        <f>AND(medidas!R91,"AAAAAE2b/SM=")</f>
        <v>#VALUE!</v>
      </c>
      <c r="AK55" t="e">
        <f>AND(medidas!S91,"AAAAAE2b/SQ=")</f>
        <v>#VALUE!</v>
      </c>
      <c r="AL55" t="e">
        <f>AND(medidas!T91,"AAAAAE2b/SU=")</f>
        <v>#VALUE!</v>
      </c>
      <c r="AM55" t="e">
        <f>AND(medidas!U91,"AAAAAE2b/SY=")</f>
        <v>#VALUE!</v>
      </c>
      <c r="AN55" t="e">
        <f>AND(medidas!V91,"AAAAAE2b/Sc=")</f>
        <v>#VALUE!</v>
      </c>
      <c r="AO55" t="e">
        <f>AND(medidas!W91,"AAAAAE2b/Sg=")</f>
        <v>#VALUE!</v>
      </c>
      <c r="AP55" t="e">
        <f>AND(medidas!X91,"AAAAAE2b/Sk=")</f>
        <v>#VALUE!</v>
      </c>
      <c r="AQ55" t="e">
        <f>AND(medidas!Y91,"AAAAAE2b/So=")</f>
        <v>#VALUE!</v>
      </c>
      <c r="AR55" t="e">
        <f>AND(medidas!Z91,"AAAAAE2b/Ss=")</f>
        <v>#VALUE!</v>
      </c>
      <c r="AS55" t="e">
        <f>AND(medidas!AA91,"AAAAAE2b/Sw=")</f>
        <v>#VALUE!</v>
      </c>
      <c r="AT55" t="e">
        <f>AND(medidas!AB91,"AAAAAE2b/S0=")</f>
        <v>#VALUE!</v>
      </c>
      <c r="AU55" t="e">
        <f>AND(medidas!AC91,"AAAAAE2b/S4=")</f>
        <v>#VALUE!</v>
      </c>
      <c r="AV55" t="e">
        <f>AND(medidas!AD91,"AAAAAE2b/S8=")</f>
        <v>#VALUE!</v>
      </c>
      <c r="AW55" t="e">
        <f>AND(medidas!AE91,"AAAAAE2b/TA=")</f>
        <v>#VALUE!</v>
      </c>
      <c r="AX55" t="e">
        <f>AND(medidas!AF91,"AAAAAE2b/TE=")</f>
        <v>#VALUE!</v>
      </c>
      <c r="AY55" t="e">
        <f>AND(medidas!AG91,"AAAAAE2b/TI=")</f>
        <v>#VALUE!</v>
      </c>
      <c r="AZ55" t="e">
        <f>AND(medidas!AH91,"AAAAAE2b/TM=")</f>
        <v>#VALUE!</v>
      </c>
      <c r="BA55" t="e">
        <f>AND(medidas!AI91,"AAAAAE2b/TQ=")</f>
        <v>#VALUE!</v>
      </c>
      <c r="BB55" t="e">
        <f>AND(medidas!AJ91,"AAAAAE2b/TU=")</f>
        <v>#VALUE!</v>
      </c>
      <c r="BC55" t="e">
        <f>AND(medidas!AK91,"AAAAAE2b/TY=")</f>
        <v>#VALUE!</v>
      </c>
      <c r="BD55" t="e">
        <f>AND(medidas!AL91,"AAAAAE2b/Tc=")</f>
        <v>#VALUE!</v>
      </c>
      <c r="BE55" t="e">
        <f>AND(medidas!AM91,"AAAAAE2b/Tg=")</f>
        <v>#VALUE!</v>
      </c>
      <c r="BF55" t="e">
        <f>AND(medidas!AN91,"AAAAAE2b/Tk=")</f>
        <v>#VALUE!</v>
      </c>
      <c r="BG55" t="e">
        <f>AND(medidas!AO91,"AAAAAE2b/To=")</f>
        <v>#VALUE!</v>
      </c>
      <c r="BH55" t="e">
        <f>AND(medidas!AP91,"AAAAAE2b/Ts=")</f>
        <v>#VALUE!</v>
      </c>
      <c r="BI55" t="e">
        <f>AND(medidas!AQ91,"AAAAAE2b/Tw=")</f>
        <v>#VALUE!</v>
      </c>
      <c r="BJ55" t="e">
        <f>AND(medidas!AR91,"AAAAAE2b/T0=")</f>
        <v>#VALUE!</v>
      </c>
      <c r="BK55" t="e">
        <f>AND(medidas!AS91,"AAAAAE2b/T4=")</f>
        <v>#VALUE!</v>
      </c>
      <c r="BL55" t="e">
        <f>AND(medidas!AT91,"AAAAAE2b/T8=")</f>
        <v>#VALUE!</v>
      </c>
      <c r="BM55" t="e">
        <f>AND(medidas!AU91,"AAAAAE2b/UA=")</f>
        <v>#VALUE!</v>
      </c>
      <c r="BN55" t="e">
        <f>AND(medidas!AV91,"AAAAAE2b/UE=")</f>
        <v>#VALUE!</v>
      </c>
      <c r="BO55" t="e">
        <f>AND(medidas!AW91,"AAAAAE2b/UI=")</f>
        <v>#VALUE!</v>
      </c>
      <c r="BP55" t="e">
        <f>AND(medidas!AX91,"AAAAAE2b/UM=")</f>
        <v>#VALUE!</v>
      </c>
      <c r="BQ55" t="e">
        <f>AND(medidas!AY91,"AAAAAE2b/UQ=")</f>
        <v>#VALUE!</v>
      </c>
      <c r="BR55" t="e">
        <f>AND(medidas!AZ91,"AAAAAE2b/UU=")</f>
        <v>#VALUE!</v>
      </c>
      <c r="BS55" t="e">
        <f>AND(medidas!BA91,"AAAAAE2b/UY=")</f>
        <v>#VALUE!</v>
      </c>
      <c r="BT55" t="e">
        <f>AND(medidas!BB91,"AAAAAE2b/Uc=")</f>
        <v>#VALUE!</v>
      </c>
      <c r="BU55" t="e">
        <f>AND(medidas!BC91,"AAAAAE2b/Ug=")</f>
        <v>#VALUE!</v>
      </c>
      <c r="BV55" t="e">
        <f>AND(medidas!BD91,"AAAAAE2b/Uk=")</f>
        <v>#VALUE!</v>
      </c>
      <c r="BW55" t="e">
        <f>AND(medidas!BE91,"AAAAAE2b/Uo=")</f>
        <v>#VALUE!</v>
      </c>
      <c r="BX55" t="e">
        <f>AND(medidas!BF91,"AAAAAE2b/Us=")</f>
        <v>#VALUE!</v>
      </c>
      <c r="BY55" t="e">
        <f>AND(medidas!BG91,"AAAAAE2b/Uw=")</f>
        <v>#VALUE!</v>
      </c>
      <c r="BZ55" t="e">
        <f>AND(medidas!BH91,"AAAAAE2b/U0=")</f>
        <v>#VALUE!</v>
      </c>
      <c r="CA55" t="e">
        <f>AND(medidas!BI91,"AAAAAE2b/U4=")</f>
        <v>#VALUE!</v>
      </c>
      <c r="CB55" t="e">
        <f>AND(medidas!BJ91,"AAAAAE2b/U8=")</f>
        <v>#VALUE!</v>
      </c>
      <c r="CC55" t="e">
        <f>AND(medidas!BK91,"AAAAAE2b/VA=")</f>
        <v>#VALUE!</v>
      </c>
      <c r="CD55" t="e">
        <f>AND(medidas!BL91,"AAAAAE2b/VE=")</f>
        <v>#VALUE!</v>
      </c>
      <c r="CE55" t="e">
        <f>AND(medidas!BM91,"AAAAAE2b/VI=")</f>
        <v>#VALUE!</v>
      </c>
      <c r="CF55" t="e">
        <f>AND(medidas!BN91,"AAAAAE2b/VM=")</f>
        <v>#VALUE!</v>
      </c>
      <c r="CG55" t="e">
        <f>AND(medidas!BO91,"AAAAAE2b/VQ=")</f>
        <v>#VALUE!</v>
      </c>
      <c r="CH55" t="e">
        <f>AND(medidas!BP91,"AAAAAE2b/VU=")</f>
        <v>#VALUE!</v>
      </c>
      <c r="CI55" t="e">
        <f>AND(medidas!BQ91,"AAAAAE2b/VY=")</f>
        <v>#VALUE!</v>
      </c>
      <c r="CJ55" t="e">
        <f>AND(medidas!BR91,"AAAAAE2b/Vc=")</f>
        <v>#VALUE!</v>
      </c>
      <c r="CK55" t="e">
        <f>AND(medidas!BS91,"AAAAAE2b/Vg=")</f>
        <v>#VALUE!</v>
      </c>
      <c r="CL55" t="e">
        <f>AND(medidas!BT91,"AAAAAE2b/Vk=")</f>
        <v>#VALUE!</v>
      </c>
      <c r="CM55" t="e">
        <f>AND(medidas!BU91,"AAAAAE2b/Vo=")</f>
        <v>#VALUE!</v>
      </c>
      <c r="CN55" t="e">
        <f>AND(medidas!BV91,"AAAAAE2b/Vs=")</f>
        <v>#VALUE!</v>
      </c>
      <c r="CO55" t="e">
        <f>AND(medidas!BW91,"AAAAAE2b/Vw=")</f>
        <v>#VALUE!</v>
      </c>
      <c r="CP55" t="e">
        <f>AND(medidas!BX91,"AAAAAE2b/V0=")</f>
        <v>#VALUE!</v>
      </c>
      <c r="CQ55" t="e">
        <f>AND(medidas!BY91,"AAAAAE2b/V4=")</f>
        <v>#VALUE!</v>
      </c>
      <c r="CR55">
        <f>IF(medidas!92:92,"AAAAAE2b/V8=",0)</f>
        <v>0</v>
      </c>
      <c r="CS55" t="e">
        <f>AND(medidas!B92,"AAAAAE2b/WA=")</f>
        <v>#VALUE!</v>
      </c>
      <c r="CT55" t="e">
        <f>AND(medidas!C92,"AAAAAE2b/WE=")</f>
        <v>#VALUE!</v>
      </c>
      <c r="CU55" t="e">
        <f>AND(medidas!D92,"AAAAAE2b/WI=")</f>
        <v>#VALUE!</v>
      </c>
      <c r="CV55" t="e">
        <f>AND(medidas!E92,"AAAAAE2b/WM=")</f>
        <v>#VALUE!</v>
      </c>
      <c r="CW55" t="e">
        <f>AND(medidas!F92,"AAAAAE2b/WQ=")</f>
        <v>#VALUE!</v>
      </c>
      <c r="CX55" t="e">
        <f>AND(medidas!G92,"AAAAAE2b/WU=")</f>
        <v>#VALUE!</v>
      </c>
      <c r="CY55" t="e">
        <f>AND(medidas!H92,"AAAAAE2b/WY=")</f>
        <v>#VALUE!</v>
      </c>
      <c r="CZ55" t="e">
        <f>AND(medidas!I92,"AAAAAE2b/Wc=")</f>
        <v>#VALUE!</v>
      </c>
      <c r="DA55" t="e">
        <f>AND(medidas!J92,"AAAAAE2b/Wg=")</f>
        <v>#VALUE!</v>
      </c>
      <c r="DB55" t="e">
        <f>AND(medidas!K92,"AAAAAE2b/Wk=")</f>
        <v>#VALUE!</v>
      </c>
      <c r="DC55" t="e">
        <f>AND(medidas!L92,"AAAAAE2b/Wo=")</f>
        <v>#VALUE!</v>
      </c>
      <c r="DD55" t="e">
        <f>AND(medidas!M92,"AAAAAE2b/Ws=")</f>
        <v>#VALUE!</v>
      </c>
      <c r="DE55" t="e">
        <f>AND(medidas!N92,"AAAAAE2b/Ww=")</f>
        <v>#VALUE!</v>
      </c>
      <c r="DF55" t="e">
        <f>AND(medidas!O92,"AAAAAE2b/W0=")</f>
        <v>#VALUE!</v>
      </c>
      <c r="DG55" t="e">
        <f>AND(medidas!P92,"AAAAAE2b/W4=")</f>
        <v>#VALUE!</v>
      </c>
      <c r="DH55" t="e">
        <f>AND(medidas!Q92,"AAAAAE2b/W8=")</f>
        <v>#VALUE!</v>
      </c>
      <c r="DI55" t="e">
        <f>AND(medidas!R92,"AAAAAE2b/XA=")</f>
        <v>#VALUE!</v>
      </c>
      <c r="DJ55" t="e">
        <f>AND(medidas!S92,"AAAAAE2b/XE=")</f>
        <v>#VALUE!</v>
      </c>
      <c r="DK55" t="e">
        <f>AND(medidas!T92,"AAAAAE2b/XI=")</f>
        <v>#VALUE!</v>
      </c>
      <c r="DL55" t="e">
        <f>AND(medidas!U92,"AAAAAE2b/XM=")</f>
        <v>#VALUE!</v>
      </c>
      <c r="DM55" t="e">
        <f>AND(medidas!V92,"AAAAAE2b/XQ=")</f>
        <v>#VALUE!</v>
      </c>
      <c r="DN55" t="e">
        <f>AND(medidas!W92,"AAAAAE2b/XU=")</f>
        <v>#VALUE!</v>
      </c>
      <c r="DO55" t="e">
        <f>AND(medidas!X92,"AAAAAE2b/XY=")</f>
        <v>#VALUE!</v>
      </c>
      <c r="DP55" t="e">
        <f>AND(medidas!Y92,"AAAAAE2b/Xc=")</f>
        <v>#VALUE!</v>
      </c>
      <c r="DQ55" t="e">
        <f>AND(medidas!Z92,"AAAAAE2b/Xg=")</f>
        <v>#VALUE!</v>
      </c>
      <c r="DR55" t="e">
        <f>AND(medidas!AA92,"AAAAAE2b/Xk=")</f>
        <v>#VALUE!</v>
      </c>
      <c r="DS55" t="e">
        <f>AND(medidas!AB92,"AAAAAE2b/Xo=")</f>
        <v>#VALUE!</v>
      </c>
      <c r="DT55" t="e">
        <f>AND(medidas!AC92,"AAAAAE2b/Xs=")</f>
        <v>#VALUE!</v>
      </c>
      <c r="DU55" t="e">
        <f>AND(medidas!AD92,"AAAAAE2b/Xw=")</f>
        <v>#VALUE!</v>
      </c>
      <c r="DV55" t="e">
        <f>AND(medidas!AE92,"AAAAAE2b/X0=")</f>
        <v>#VALUE!</v>
      </c>
      <c r="DW55" t="e">
        <f>AND(medidas!AF92,"AAAAAE2b/X4=")</f>
        <v>#VALUE!</v>
      </c>
      <c r="DX55" t="e">
        <f>AND(medidas!AG92,"AAAAAE2b/X8=")</f>
        <v>#VALUE!</v>
      </c>
      <c r="DY55" t="e">
        <f>AND(medidas!AH92,"AAAAAE2b/YA=")</f>
        <v>#VALUE!</v>
      </c>
      <c r="DZ55" t="e">
        <f>AND(medidas!AI92,"AAAAAE2b/YE=")</f>
        <v>#VALUE!</v>
      </c>
      <c r="EA55" t="e">
        <f>AND(medidas!AJ92,"AAAAAE2b/YI=")</f>
        <v>#VALUE!</v>
      </c>
      <c r="EB55" t="e">
        <f>AND(medidas!AK92,"AAAAAE2b/YM=")</f>
        <v>#VALUE!</v>
      </c>
      <c r="EC55" t="e">
        <f>AND(medidas!AL92,"AAAAAE2b/YQ=")</f>
        <v>#VALUE!</v>
      </c>
      <c r="ED55" t="e">
        <f>AND(medidas!AM92,"AAAAAE2b/YU=")</f>
        <v>#VALUE!</v>
      </c>
      <c r="EE55" t="e">
        <f>AND(medidas!AN92,"AAAAAE2b/YY=")</f>
        <v>#VALUE!</v>
      </c>
      <c r="EF55" t="e">
        <f>AND(medidas!AO92,"AAAAAE2b/Yc=")</f>
        <v>#VALUE!</v>
      </c>
      <c r="EG55" t="e">
        <f>AND(medidas!AP92,"AAAAAE2b/Yg=")</f>
        <v>#VALUE!</v>
      </c>
      <c r="EH55" t="e">
        <f>AND(medidas!AQ92,"AAAAAE2b/Yk=")</f>
        <v>#VALUE!</v>
      </c>
      <c r="EI55" t="e">
        <f>AND(medidas!AR92,"AAAAAE2b/Yo=")</f>
        <v>#VALUE!</v>
      </c>
      <c r="EJ55" t="e">
        <f>AND(medidas!AS92,"AAAAAE2b/Ys=")</f>
        <v>#VALUE!</v>
      </c>
      <c r="EK55" t="e">
        <f>AND(medidas!AT92,"AAAAAE2b/Yw=")</f>
        <v>#VALUE!</v>
      </c>
      <c r="EL55" t="e">
        <f>AND(medidas!AU92,"AAAAAE2b/Y0=")</f>
        <v>#VALUE!</v>
      </c>
      <c r="EM55" t="e">
        <f>AND(medidas!AV92,"AAAAAE2b/Y4=")</f>
        <v>#VALUE!</v>
      </c>
      <c r="EN55" t="e">
        <f>AND(medidas!AW92,"AAAAAE2b/Y8=")</f>
        <v>#VALUE!</v>
      </c>
      <c r="EO55" t="e">
        <f>AND(medidas!AX92,"AAAAAE2b/ZA=")</f>
        <v>#VALUE!</v>
      </c>
      <c r="EP55" t="e">
        <f>AND(medidas!AY92,"AAAAAE2b/ZE=")</f>
        <v>#VALUE!</v>
      </c>
      <c r="EQ55" t="e">
        <f>AND(medidas!AZ92,"AAAAAE2b/ZI=")</f>
        <v>#VALUE!</v>
      </c>
      <c r="ER55" t="e">
        <f>AND(medidas!BA92,"AAAAAE2b/ZM=")</f>
        <v>#VALUE!</v>
      </c>
      <c r="ES55" t="e">
        <f>AND(medidas!BB92,"AAAAAE2b/ZQ=")</f>
        <v>#VALUE!</v>
      </c>
      <c r="ET55" t="e">
        <f>AND(medidas!BC92,"AAAAAE2b/ZU=")</f>
        <v>#VALUE!</v>
      </c>
      <c r="EU55" t="e">
        <f>AND(medidas!BD92,"AAAAAE2b/ZY=")</f>
        <v>#VALUE!</v>
      </c>
      <c r="EV55" t="e">
        <f>AND(medidas!BE92,"AAAAAE2b/Zc=")</f>
        <v>#VALUE!</v>
      </c>
      <c r="EW55" t="e">
        <f>AND(medidas!BF92,"AAAAAE2b/Zg=")</f>
        <v>#VALUE!</v>
      </c>
      <c r="EX55" t="e">
        <f>AND(medidas!BG92,"AAAAAE2b/Zk=")</f>
        <v>#VALUE!</v>
      </c>
      <c r="EY55" t="e">
        <f>AND(medidas!BH92,"AAAAAE2b/Zo=")</f>
        <v>#VALUE!</v>
      </c>
      <c r="EZ55" t="e">
        <f>AND(medidas!BI92,"AAAAAE2b/Zs=")</f>
        <v>#VALUE!</v>
      </c>
      <c r="FA55" t="e">
        <f>AND(medidas!BJ92,"AAAAAE2b/Zw=")</f>
        <v>#VALUE!</v>
      </c>
      <c r="FB55" t="e">
        <f>AND(medidas!BK92,"AAAAAE2b/Z0=")</f>
        <v>#VALUE!</v>
      </c>
      <c r="FC55" t="e">
        <f>AND(medidas!BL92,"AAAAAE2b/Z4=")</f>
        <v>#VALUE!</v>
      </c>
      <c r="FD55" t="e">
        <f>AND(medidas!BM92,"AAAAAE2b/Z8=")</f>
        <v>#VALUE!</v>
      </c>
      <c r="FE55" t="e">
        <f>AND(medidas!BN92,"AAAAAE2b/aA=")</f>
        <v>#VALUE!</v>
      </c>
      <c r="FF55" t="e">
        <f>AND(medidas!BO92,"AAAAAE2b/aE=")</f>
        <v>#VALUE!</v>
      </c>
      <c r="FG55" t="e">
        <f>AND(medidas!BP92,"AAAAAE2b/aI=")</f>
        <v>#VALUE!</v>
      </c>
      <c r="FH55" t="e">
        <f>AND(medidas!BQ92,"AAAAAE2b/aM=")</f>
        <v>#VALUE!</v>
      </c>
      <c r="FI55" t="e">
        <f>AND(medidas!BR92,"AAAAAE2b/aQ=")</f>
        <v>#VALUE!</v>
      </c>
      <c r="FJ55" t="e">
        <f>AND(medidas!BS92,"AAAAAE2b/aU=")</f>
        <v>#VALUE!</v>
      </c>
      <c r="FK55" t="e">
        <f>AND(medidas!BT92,"AAAAAE2b/aY=")</f>
        <v>#VALUE!</v>
      </c>
      <c r="FL55" t="e">
        <f>AND(medidas!BU92,"AAAAAE2b/ac=")</f>
        <v>#VALUE!</v>
      </c>
      <c r="FM55" t="e">
        <f>AND(medidas!BV92,"AAAAAE2b/ag=")</f>
        <v>#VALUE!</v>
      </c>
      <c r="FN55" t="e">
        <f>AND(medidas!BW92,"AAAAAE2b/ak=")</f>
        <v>#VALUE!</v>
      </c>
      <c r="FO55" t="e">
        <f>AND(medidas!BX92,"AAAAAE2b/ao=")</f>
        <v>#VALUE!</v>
      </c>
      <c r="FP55" t="e">
        <f>AND(medidas!BY92,"AAAAAE2b/as=")</f>
        <v>#VALUE!</v>
      </c>
      <c r="FQ55">
        <f>IF(medidas!93:93,"AAAAAE2b/aw=",0)</f>
        <v>0</v>
      </c>
      <c r="FR55" t="e">
        <f>AND(medidas!B93,"AAAAAE2b/a0=")</f>
        <v>#VALUE!</v>
      </c>
      <c r="FS55" t="e">
        <f>AND(medidas!C93,"AAAAAE2b/a4=")</f>
        <v>#VALUE!</v>
      </c>
      <c r="FT55" t="e">
        <f>AND(medidas!D93,"AAAAAE2b/a8=")</f>
        <v>#VALUE!</v>
      </c>
      <c r="FU55" t="e">
        <f>AND(medidas!E93,"AAAAAE2b/bA=")</f>
        <v>#VALUE!</v>
      </c>
      <c r="FV55" t="e">
        <f>AND(medidas!F93,"AAAAAE2b/bE=")</f>
        <v>#VALUE!</v>
      </c>
      <c r="FW55" t="e">
        <f>AND(medidas!G93,"AAAAAE2b/bI=")</f>
        <v>#VALUE!</v>
      </c>
      <c r="FX55" t="e">
        <f>AND(medidas!H93,"AAAAAE2b/bM=")</f>
        <v>#VALUE!</v>
      </c>
      <c r="FY55" t="e">
        <f>AND(medidas!I93,"AAAAAE2b/bQ=")</f>
        <v>#VALUE!</v>
      </c>
      <c r="FZ55" t="e">
        <f>AND(medidas!J93,"AAAAAE2b/bU=")</f>
        <v>#VALUE!</v>
      </c>
      <c r="GA55" t="e">
        <f>AND(medidas!K93,"AAAAAE2b/bY=")</f>
        <v>#VALUE!</v>
      </c>
      <c r="GB55" t="e">
        <f>AND(medidas!L93,"AAAAAE2b/bc=")</f>
        <v>#VALUE!</v>
      </c>
      <c r="GC55" t="e">
        <f>AND(medidas!M93,"AAAAAE2b/bg=")</f>
        <v>#VALUE!</v>
      </c>
      <c r="GD55" t="e">
        <f>AND(medidas!N93,"AAAAAE2b/bk=")</f>
        <v>#VALUE!</v>
      </c>
      <c r="GE55" t="e">
        <f>AND(medidas!O93,"AAAAAE2b/bo=")</f>
        <v>#VALUE!</v>
      </c>
      <c r="GF55" t="e">
        <f>AND(medidas!P93,"AAAAAE2b/bs=")</f>
        <v>#VALUE!</v>
      </c>
      <c r="GG55" t="e">
        <f>AND(medidas!Q93,"AAAAAE2b/bw=")</f>
        <v>#VALUE!</v>
      </c>
      <c r="GH55" t="e">
        <f>AND(medidas!R93,"AAAAAE2b/b0=")</f>
        <v>#VALUE!</v>
      </c>
      <c r="GI55" t="e">
        <f>AND(medidas!S93,"AAAAAE2b/b4=")</f>
        <v>#VALUE!</v>
      </c>
      <c r="GJ55" t="e">
        <f>AND(medidas!T93,"AAAAAE2b/b8=")</f>
        <v>#VALUE!</v>
      </c>
      <c r="GK55" t="e">
        <f>AND(medidas!U93,"AAAAAE2b/cA=")</f>
        <v>#VALUE!</v>
      </c>
      <c r="GL55" t="e">
        <f>AND(medidas!V93,"AAAAAE2b/cE=")</f>
        <v>#VALUE!</v>
      </c>
      <c r="GM55" t="e">
        <f>AND(medidas!W93,"AAAAAE2b/cI=")</f>
        <v>#VALUE!</v>
      </c>
      <c r="GN55" t="e">
        <f>AND(medidas!X93,"AAAAAE2b/cM=")</f>
        <v>#VALUE!</v>
      </c>
      <c r="GO55" t="e">
        <f>AND(medidas!Y93,"AAAAAE2b/cQ=")</f>
        <v>#VALUE!</v>
      </c>
      <c r="GP55" t="e">
        <f>AND(medidas!Z93,"AAAAAE2b/cU=")</f>
        <v>#VALUE!</v>
      </c>
      <c r="GQ55" t="e">
        <f>AND(medidas!AA93,"AAAAAE2b/cY=")</f>
        <v>#VALUE!</v>
      </c>
      <c r="GR55" t="e">
        <f>AND(medidas!AB93,"AAAAAE2b/cc=")</f>
        <v>#VALUE!</v>
      </c>
      <c r="GS55" t="e">
        <f>AND(medidas!AC93,"AAAAAE2b/cg=")</f>
        <v>#VALUE!</v>
      </c>
      <c r="GT55" t="e">
        <f>AND(medidas!AD93,"AAAAAE2b/ck=")</f>
        <v>#VALUE!</v>
      </c>
      <c r="GU55" t="e">
        <f>AND(medidas!AE93,"AAAAAE2b/co=")</f>
        <v>#VALUE!</v>
      </c>
      <c r="GV55" t="e">
        <f>AND(medidas!AF93,"AAAAAE2b/cs=")</f>
        <v>#VALUE!</v>
      </c>
      <c r="GW55" t="e">
        <f>AND(medidas!AG93,"AAAAAE2b/cw=")</f>
        <v>#VALUE!</v>
      </c>
      <c r="GX55" t="e">
        <f>AND(medidas!AH93,"AAAAAE2b/c0=")</f>
        <v>#VALUE!</v>
      </c>
      <c r="GY55" t="e">
        <f>AND(medidas!AI93,"AAAAAE2b/c4=")</f>
        <v>#VALUE!</v>
      </c>
      <c r="GZ55" t="e">
        <f>AND(medidas!AJ93,"AAAAAE2b/c8=")</f>
        <v>#VALUE!</v>
      </c>
      <c r="HA55" t="e">
        <f>AND(medidas!AK93,"AAAAAE2b/dA=")</f>
        <v>#VALUE!</v>
      </c>
      <c r="HB55" t="e">
        <f>AND(medidas!AL93,"AAAAAE2b/dE=")</f>
        <v>#VALUE!</v>
      </c>
      <c r="HC55" t="e">
        <f>AND(medidas!AM93,"AAAAAE2b/dI=")</f>
        <v>#VALUE!</v>
      </c>
      <c r="HD55" t="e">
        <f>AND(medidas!AN93,"AAAAAE2b/dM=")</f>
        <v>#VALUE!</v>
      </c>
      <c r="HE55" t="e">
        <f>AND(medidas!AO93,"AAAAAE2b/dQ=")</f>
        <v>#VALUE!</v>
      </c>
      <c r="HF55" t="e">
        <f>AND(medidas!AP93,"AAAAAE2b/dU=")</f>
        <v>#VALUE!</v>
      </c>
      <c r="HG55" t="e">
        <f>AND(medidas!AQ93,"AAAAAE2b/dY=")</f>
        <v>#VALUE!</v>
      </c>
      <c r="HH55" t="e">
        <f>AND(medidas!AR93,"AAAAAE2b/dc=")</f>
        <v>#VALUE!</v>
      </c>
      <c r="HI55" t="e">
        <f>AND(medidas!AS93,"AAAAAE2b/dg=")</f>
        <v>#VALUE!</v>
      </c>
      <c r="HJ55" t="e">
        <f>AND(medidas!AT93,"AAAAAE2b/dk=")</f>
        <v>#VALUE!</v>
      </c>
      <c r="HK55" t="e">
        <f>AND(medidas!AU93,"AAAAAE2b/do=")</f>
        <v>#VALUE!</v>
      </c>
      <c r="HL55" t="e">
        <f>AND(medidas!AV93,"AAAAAE2b/ds=")</f>
        <v>#VALUE!</v>
      </c>
      <c r="HM55" t="e">
        <f>AND(medidas!AW93,"AAAAAE2b/dw=")</f>
        <v>#VALUE!</v>
      </c>
      <c r="HN55" t="e">
        <f>AND(medidas!AX93,"AAAAAE2b/d0=")</f>
        <v>#VALUE!</v>
      </c>
      <c r="HO55" t="e">
        <f>AND(medidas!AY93,"AAAAAE2b/d4=")</f>
        <v>#VALUE!</v>
      </c>
      <c r="HP55" t="e">
        <f>AND(medidas!AZ93,"AAAAAE2b/d8=")</f>
        <v>#VALUE!</v>
      </c>
      <c r="HQ55" t="e">
        <f>AND(medidas!BA93,"AAAAAE2b/eA=")</f>
        <v>#VALUE!</v>
      </c>
      <c r="HR55" t="e">
        <f>AND(medidas!BB93,"AAAAAE2b/eE=")</f>
        <v>#VALUE!</v>
      </c>
      <c r="HS55" t="e">
        <f>AND(medidas!BC93,"AAAAAE2b/eI=")</f>
        <v>#VALUE!</v>
      </c>
      <c r="HT55" t="e">
        <f>AND(medidas!BD93,"AAAAAE2b/eM=")</f>
        <v>#VALUE!</v>
      </c>
      <c r="HU55" t="e">
        <f>AND(medidas!BE93,"AAAAAE2b/eQ=")</f>
        <v>#VALUE!</v>
      </c>
      <c r="HV55" t="e">
        <f>AND(medidas!BF93,"AAAAAE2b/eU=")</f>
        <v>#VALUE!</v>
      </c>
      <c r="HW55" t="e">
        <f>AND(medidas!BG93,"AAAAAE2b/eY=")</f>
        <v>#VALUE!</v>
      </c>
      <c r="HX55" t="e">
        <f>AND(medidas!BH93,"AAAAAE2b/ec=")</f>
        <v>#VALUE!</v>
      </c>
      <c r="HY55" t="e">
        <f>AND(medidas!BI93,"AAAAAE2b/eg=")</f>
        <v>#VALUE!</v>
      </c>
      <c r="HZ55" t="e">
        <f>AND(medidas!BJ93,"AAAAAE2b/ek=")</f>
        <v>#VALUE!</v>
      </c>
      <c r="IA55" t="e">
        <f>AND(medidas!BK93,"AAAAAE2b/eo=")</f>
        <v>#VALUE!</v>
      </c>
      <c r="IB55" t="e">
        <f>AND(medidas!BL93,"AAAAAE2b/es=")</f>
        <v>#VALUE!</v>
      </c>
      <c r="IC55" t="e">
        <f>AND(medidas!BM93,"AAAAAE2b/ew=")</f>
        <v>#VALUE!</v>
      </c>
      <c r="ID55" t="e">
        <f>AND(medidas!BN93,"AAAAAE2b/e0=")</f>
        <v>#VALUE!</v>
      </c>
      <c r="IE55" t="e">
        <f>AND(medidas!BO93,"AAAAAE2b/e4=")</f>
        <v>#VALUE!</v>
      </c>
      <c r="IF55" t="e">
        <f>AND(medidas!BP93,"AAAAAE2b/e8=")</f>
        <v>#VALUE!</v>
      </c>
      <c r="IG55" t="e">
        <f>AND(medidas!BQ93,"AAAAAE2b/fA=")</f>
        <v>#VALUE!</v>
      </c>
      <c r="IH55" t="e">
        <f>AND(medidas!BR93,"AAAAAE2b/fE=")</f>
        <v>#VALUE!</v>
      </c>
      <c r="II55" t="e">
        <f>AND(medidas!BS93,"AAAAAE2b/fI=")</f>
        <v>#VALUE!</v>
      </c>
      <c r="IJ55" t="e">
        <f>AND(medidas!BT93,"AAAAAE2b/fM=")</f>
        <v>#VALUE!</v>
      </c>
      <c r="IK55" t="e">
        <f>AND(medidas!BU93,"AAAAAE2b/fQ=")</f>
        <v>#VALUE!</v>
      </c>
      <c r="IL55" t="e">
        <f>AND(medidas!BV93,"AAAAAE2b/fU=")</f>
        <v>#VALUE!</v>
      </c>
      <c r="IM55" t="e">
        <f>AND(medidas!BW93,"AAAAAE2b/fY=")</f>
        <v>#VALUE!</v>
      </c>
      <c r="IN55" t="e">
        <f>AND(medidas!BX93,"AAAAAE2b/fc=")</f>
        <v>#VALUE!</v>
      </c>
      <c r="IO55" t="e">
        <f>AND(medidas!BY93,"AAAAAE2b/fg=")</f>
        <v>#VALUE!</v>
      </c>
      <c r="IP55">
        <f>IF(medidas!94:94,"AAAAAE2b/fk=",0)</f>
        <v>0</v>
      </c>
      <c r="IQ55" t="e">
        <f>AND(medidas!B94,"AAAAAE2b/fo=")</f>
        <v>#VALUE!</v>
      </c>
      <c r="IR55" t="e">
        <f>AND(medidas!C94,"AAAAAE2b/fs=")</f>
        <v>#VALUE!</v>
      </c>
      <c r="IS55" t="e">
        <f>AND(medidas!D94,"AAAAAE2b/fw=")</f>
        <v>#VALUE!</v>
      </c>
      <c r="IT55" t="e">
        <f>AND(medidas!E94,"AAAAAE2b/f0=")</f>
        <v>#VALUE!</v>
      </c>
      <c r="IU55" t="e">
        <f>AND(medidas!F94,"AAAAAE2b/f4=")</f>
        <v>#VALUE!</v>
      </c>
      <c r="IV55" t="e">
        <f>AND(medidas!G94,"AAAAAE2b/f8=")</f>
        <v>#VALUE!</v>
      </c>
    </row>
    <row r="56" spans="1:256" x14ac:dyDescent="0.2">
      <c r="A56" t="e">
        <f>AND(medidas!H94,"AAAAABd3/wA=")</f>
        <v>#VALUE!</v>
      </c>
      <c r="B56" t="e">
        <f>AND(medidas!I94,"AAAAABd3/wE=")</f>
        <v>#VALUE!</v>
      </c>
      <c r="C56" t="e">
        <f>AND(medidas!J94,"AAAAABd3/wI=")</f>
        <v>#VALUE!</v>
      </c>
      <c r="D56" t="e">
        <f>AND(medidas!K94,"AAAAABd3/wM=")</f>
        <v>#VALUE!</v>
      </c>
      <c r="E56" t="e">
        <f>AND(medidas!L94,"AAAAABd3/wQ=")</f>
        <v>#VALUE!</v>
      </c>
      <c r="F56" t="e">
        <f>AND(medidas!M94,"AAAAABd3/wU=")</f>
        <v>#VALUE!</v>
      </c>
      <c r="G56" t="e">
        <f>AND(medidas!N94,"AAAAABd3/wY=")</f>
        <v>#VALUE!</v>
      </c>
      <c r="H56" t="e">
        <f>AND(medidas!O94,"AAAAABd3/wc=")</f>
        <v>#VALUE!</v>
      </c>
      <c r="I56" t="e">
        <f>AND(medidas!P94,"AAAAABd3/wg=")</f>
        <v>#VALUE!</v>
      </c>
      <c r="J56" t="e">
        <f>AND(medidas!Q94,"AAAAABd3/wk=")</f>
        <v>#VALUE!</v>
      </c>
      <c r="K56" t="e">
        <f>AND(medidas!R94,"AAAAABd3/wo=")</f>
        <v>#VALUE!</v>
      </c>
      <c r="L56" t="e">
        <f>AND(medidas!S94,"AAAAABd3/ws=")</f>
        <v>#VALUE!</v>
      </c>
      <c r="M56" t="e">
        <f>AND(medidas!T94,"AAAAABd3/ww=")</f>
        <v>#VALUE!</v>
      </c>
      <c r="N56" t="e">
        <f>AND(medidas!U94,"AAAAABd3/w0=")</f>
        <v>#VALUE!</v>
      </c>
      <c r="O56" t="e">
        <f>AND(medidas!V94,"AAAAABd3/w4=")</f>
        <v>#VALUE!</v>
      </c>
      <c r="P56" t="e">
        <f>AND(medidas!W94,"AAAAABd3/w8=")</f>
        <v>#VALUE!</v>
      </c>
      <c r="Q56" t="e">
        <f>AND(medidas!X94,"AAAAABd3/xA=")</f>
        <v>#VALUE!</v>
      </c>
      <c r="R56" t="e">
        <f>AND(medidas!Y94,"AAAAABd3/xE=")</f>
        <v>#VALUE!</v>
      </c>
      <c r="S56" t="e">
        <f>AND(medidas!Z94,"AAAAABd3/xI=")</f>
        <v>#VALUE!</v>
      </c>
      <c r="T56" t="e">
        <f>AND(medidas!AA94,"AAAAABd3/xM=")</f>
        <v>#VALUE!</v>
      </c>
      <c r="U56" t="e">
        <f>AND(medidas!AB94,"AAAAABd3/xQ=")</f>
        <v>#VALUE!</v>
      </c>
      <c r="V56" t="e">
        <f>AND(medidas!AC94,"AAAAABd3/xU=")</f>
        <v>#VALUE!</v>
      </c>
      <c r="W56" t="e">
        <f>AND(medidas!AD94,"AAAAABd3/xY=")</f>
        <v>#VALUE!</v>
      </c>
      <c r="X56" t="e">
        <f>AND(medidas!AE94,"AAAAABd3/xc=")</f>
        <v>#VALUE!</v>
      </c>
      <c r="Y56" t="e">
        <f>AND(medidas!AF94,"AAAAABd3/xg=")</f>
        <v>#VALUE!</v>
      </c>
      <c r="Z56" t="e">
        <f>AND(medidas!AG94,"AAAAABd3/xk=")</f>
        <v>#VALUE!</v>
      </c>
      <c r="AA56" t="e">
        <f>AND(medidas!AH94,"AAAAABd3/xo=")</f>
        <v>#VALUE!</v>
      </c>
      <c r="AB56" t="e">
        <f>AND(medidas!AI94,"AAAAABd3/xs=")</f>
        <v>#VALUE!</v>
      </c>
      <c r="AC56" t="e">
        <f>AND(medidas!AJ94,"AAAAABd3/xw=")</f>
        <v>#VALUE!</v>
      </c>
      <c r="AD56" t="e">
        <f>AND(medidas!AK94,"AAAAABd3/x0=")</f>
        <v>#VALUE!</v>
      </c>
      <c r="AE56" t="e">
        <f>AND(medidas!AL94,"AAAAABd3/x4=")</f>
        <v>#VALUE!</v>
      </c>
      <c r="AF56" t="e">
        <f>AND(medidas!AM94,"AAAAABd3/x8=")</f>
        <v>#VALUE!</v>
      </c>
      <c r="AG56" t="e">
        <f>AND(medidas!AN94,"AAAAABd3/yA=")</f>
        <v>#VALUE!</v>
      </c>
      <c r="AH56" t="e">
        <f>AND(medidas!AO94,"AAAAABd3/yE=")</f>
        <v>#VALUE!</v>
      </c>
      <c r="AI56" t="e">
        <f>AND(medidas!AP94,"AAAAABd3/yI=")</f>
        <v>#VALUE!</v>
      </c>
      <c r="AJ56" t="e">
        <f>AND(medidas!AQ94,"AAAAABd3/yM=")</f>
        <v>#VALUE!</v>
      </c>
      <c r="AK56" t="e">
        <f>AND(medidas!AR94,"AAAAABd3/yQ=")</f>
        <v>#VALUE!</v>
      </c>
      <c r="AL56" t="e">
        <f>AND(medidas!AS94,"AAAAABd3/yU=")</f>
        <v>#VALUE!</v>
      </c>
      <c r="AM56" t="e">
        <f>AND(medidas!AT94,"AAAAABd3/yY=")</f>
        <v>#VALUE!</v>
      </c>
      <c r="AN56" t="e">
        <f>AND(medidas!AU94,"AAAAABd3/yc=")</f>
        <v>#VALUE!</v>
      </c>
      <c r="AO56" t="e">
        <f>AND(medidas!AV94,"AAAAABd3/yg=")</f>
        <v>#VALUE!</v>
      </c>
      <c r="AP56" t="e">
        <f>AND(medidas!AW94,"AAAAABd3/yk=")</f>
        <v>#VALUE!</v>
      </c>
      <c r="AQ56" t="e">
        <f>AND(medidas!AX94,"AAAAABd3/yo=")</f>
        <v>#VALUE!</v>
      </c>
      <c r="AR56" t="e">
        <f>AND(medidas!AY94,"AAAAABd3/ys=")</f>
        <v>#VALUE!</v>
      </c>
      <c r="AS56" t="e">
        <f>AND(medidas!AZ94,"AAAAABd3/yw=")</f>
        <v>#VALUE!</v>
      </c>
      <c r="AT56" t="e">
        <f>AND(medidas!BA94,"AAAAABd3/y0=")</f>
        <v>#VALUE!</v>
      </c>
      <c r="AU56" t="e">
        <f>AND(medidas!BB94,"AAAAABd3/y4=")</f>
        <v>#VALUE!</v>
      </c>
      <c r="AV56" t="e">
        <f>AND(medidas!BC94,"AAAAABd3/y8=")</f>
        <v>#VALUE!</v>
      </c>
      <c r="AW56" t="e">
        <f>AND(medidas!BD94,"AAAAABd3/zA=")</f>
        <v>#VALUE!</v>
      </c>
      <c r="AX56" t="e">
        <f>AND(medidas!BE94,"AAAAABd3/zE=")</f>
        <v>#VALUE!</v>
      </c>
      <c r="AY56" t="e">
        <f>AND(medidas!BF94,"AAAAABd3/zI=")</f>
        <v>#VALUE!</v>
      </c>
      <c r="AZ56" t="e">
        <f>AND(medidas!BG94,"AAAAABd3/zM=")</f>
        <v>#VALUE!</v>
      </c>
      <c r="BA56" t="e">
        <f>AND(medidas!BH94,"AAAAABd3/zQ=")</f>
        <v>#VALUE!</v>
      </c>
      <c r="BB56" t="e">
        <f>AND(medidas!BI94,"AAAAABd3/zU=")</f>
        <v>#VALUE!</v>
      </c>
      <c r="BC56" t="e">
        <f>AND(medidas!BJ94,"AAAAABd3/zY=")</f>
        <v>#VALUE!</v>
      </c>
      <c r="BD56" t="e">
        <f>AND(medidas!BK94,"AAAAABd3/zc=")</f>
        <v>#VALUE!</v>
      </c>
      <c r="BE56" t="e">
        <f>AND(medidas!BL94,"AAAAABd3/zg=")</f>
        <v>#VALUE!</v>
      </c>
      <c r="BF56" t="e">
        <f>AND(medidas!BM94,"AAAAABd3/zk=")</f>
        <v>#VALUE!</v>
      </c>
      <c r="BG56" t="e">
        <f>AND(medidas!BN94,"AAAAABd3/zo=")</f>
        <v>#VALUE!</v>
      </c>
      <c r="BH56" t="e">
        <f>AND(medidas!BO94,"AAAAABd3/zs=")</f>
        <v>#VALUE!</v>
      </c>
      <c r="BI56" t="e">
        <f>AND(medidas!BP94,"AAAAABd3/zw=")</f>
        <v>#VALUE!</v>
      </c>
      <c r="BJ56" t="e">
        <f>AND(medidas!BQ94,"AAAAABd3/z0=")</f>
        <v>#VALUE!</v>
      </c>
      <c r="BK56" t="e">
        <f>AND(medidas!BR94,"AAAAABd3/z4=")</f>
        <v>#VALUE!</v>
      </c>
      <c r="BL56" t="e">
        <f>AND(medidas!BS94,"AAAAABd3/z8=")</f>
        <v>#VALUE!</v>
      </c>
      <c r="BM56" t="e">
        <f>AND(medidas!BT94,"AAAAABd3/0A=")</f>
        <v>#VALUE!</v>
      </c>
      <c r="BN56" t="e">
        <f>AND(medidas!BU94,"AAAAABd3/0E=")</f>
        <v>#VALUE!</v>
      </c>
      <c r="BO56" t="e">
        <f>AND(medidas!BV94,"AAAAABd3/0I=")</f>
        <v>#VALUE!</v>
      </c>
      <c r="BP56" t="e">
        <f>AND(medidas!BW94,"AAAAABd3/0M=")</f>
        <v>#VALUE!</v>
      </c>
      <c r="BQ56" t="e">
        <f>AND(medidas!BX94,"AAAAABd3/0Q=")</f>
        <v>#VALUE!</v>
      </c>
      <c r="BR56" t="e">
        <f>AND(medidas!BY94,"AAAAABd3/0U=")</f>
        <v>#VALUE!</v>
      </c>
      <c r="BS56">
        <f>IF(medidas!95:95,"AAAAABd3/0Y=",0)</f>
        <v>0</v>
      </c>
      <c r="BT56" t="e">
        <f>AND(medidas!B95,"AAAAABd3/0c=")</f>
        <v>#VALUE!</v>
      </c>
      <c r="BU56" t="e">
        <f>AND(medidas!C95,"AAAAABd3/0g=")</f>
        <v>#VALUE!</v>
      </c>
      <c r="BV56" t="e">
        <f>AND(medidas!D95,"AAAAABd3/0k=")</f>
        <v>#VALUE!</v>
      </c>
      <c r="BW56" t="e">
        <f>AND(medidas!E95,"AAAAABd3/0o=")</f>
        <v>#VALUE!</v>
      </c>
      <c r="BX56" t="e">
        <f>AND(medidas!F95,"AAAAABd3/0s=")</f>
        <v>#VALUE!</v>
      </c>
      <c r="BY56" t="e">
        <f>AND(medidas!G95,"AAAAABd3/0w=")</f>
        <v>#VALUE!</v>
      </c>
      <c r="BZ56" t="e">
        <f>AND(medidas!H95,"AAAAABd3/00=")</f>
        <v>#VALUE!</v>
      </c>
      <c r="CA56" t="e">
        <f>AND(medidas!I95,"AAAAABd3/04=")</f>
        <v>#VALUE!</v>
      </c>
      <c r="CB56" t="e">
        <f>AND(medidas!J95,"AAAAABd3/08=")</f>
        <v>#VALUE!</v>
      </c>
      <c r="CC56" t="e">
        <f>AND(medidas!K95,"AAAAABd3/1A=")</f>
        <v>#VALUE!</v>
      </c>
      <c r="CD56" t="e">
        <f>AND(medidas!L95,"AAAAABd3/1E=")</f>
        <v>#VALUE!</v>
      </c>
      <c r="CE56" t="e">
        <f>AND(medidas!M95,"AAAAABd3/1I=")</f>
        <v>#VALUE!</v>
      </c>
      <c r="CF56" t="e">
        <f>AND(medidas!N95,"AAAAABd3/1M=")</f>
        <v>#VALUE!</v>
      </c>
      <c r="CG56" t="e">
        <f>AND(medidas!O95,"AAAAABd3/1Q=")</f>
        <v>#VALUE!</v>
      </c>
      <c r="CH56" t="e">
        <f>AND(medidas!P95,"AAAAABd3/1U=")</f>
        <v>#VALUE!</v>
      </c>
      <c r="CI56" t="e">
        <f>AND(medidas!Q95,"AAAAABd3/1Y=")</f>
        <v>#VALUE!</v>
      </c>
      <c r="CJ56" t="e">
        <f>AND(medidas!R95,"AAAAABd3/1c=")</f>
        <v>#VALUE!</v>
      </c>
      <c r="CK56" t="e">
        <f>AND(medidas!S95,"AAAAABd3/1g=")</f>
        <v>#VALUE!</v>
      </c>
      <c r="CL56" t="e">
        <f>AND(medidas!T95,"AAAAABd3/1k=")</f>
        <v>#VALUE!</v>
      </c>
      <c r="CM56" t="e">
        <f>AND(medidas!U95,"AAAAABd3/1o=")</f>
        <v>#VALUE!</v>
      </c>
      <c r="CN56" t="e">
        <f>AND(medidas!V95,"AAAAABd3/1s=")</f>
        <v>#VALUE!</v>
      </c>
      <c r="CO56" t="e">
        <f>AND(medidas!W95,"AAAAABd3/1w=")</f>
        <v>#VALUE!</v>
      </c>
      <c r="CP56" t="e">
        <f>AND(medidas!X95,"AAAAABd3/10=")</f>
        <v>#VALUE!</v>
      </c>
      <c r="CQ56" t="e">
        <f>AND(medidas!Y95,"AAAAABd3/14=")</f>
        <v>#VALUE!</v>
      </c>
      <c r="CR56" t="e">
        <f>AND(medidas!Z95,"AAAAABd3/18=")</f>
        <v>#VALUE!</v>
      </c>
      <c r="CS56" t="e">
        <f>AND(medidas!AA95,"AAAAABd3/2A=")</f>
        <v>#VALUE!</v>
      </c>
      <c r="CT56" t="e">
        <f>AND(medidas!AB95,"AAAAABd3/2E=")</f>
        <v>#VALUE!</v>
      </c>
      <c r="CU56" t="e">
        <f>AND(medidas!AC95,"AAAAABd3/2I=")</f>
        <v>#VALUE!</v>
      </c>
      <c r="CV56" t="e">
        <f>AND(medidas!AD95,"AAAAABd3/2M=")</f>
        <v>#VALUE!</v>
      </c>
      <c r="CW56" t="e">
        <f>AND(medidas!AE95,"AAAAABd3/2Q=")</f>
        <v>#VALUE!</v>
      </c>
      <c r="CX56" t="e">
        <f>AND(medidas!AF95,"AAAAABd3/2U=")</f>
        <v>#VALUE!</v>
      </c>
      <c r="CY56" t="e">
        <f>AND(medidas!AG95,"AAAAABd3/2Y=")</f>
        <v>#VALUE!</v>
      </c>
      <c r="CZ56" t="e">
        <f>AND(medidas!AH95,"AAAAABd3/2c=")</f>
        <v>#VALUE!</v>
      </c>
      <c r="DA56" t="e">
        <f>AND(medidas!AI95,"AAAAABd3/2g=")</f>
        <v>#VALUE!</v>
      </c>
      <c r="DB56" t="e">
        <f>AND(medidas!AJ95,"AAAAABd3/2k=")</f>
        <v>#VALUE!</v>
      </c>
      <c r="DC56" t="e">
        <f>AND(medidas!AK95,"AAAAABd3/2o=")</f>
        <v>#VALUE!</v>
      </c>
      <c r="DD56" t="e">
        <f>AND(medidas!AL95,"AAAAABd3/2s=")</f>
        <v>#VALUE!</v>
      </c>
      <c r="DE56" t="e">
        <f>AND(medidas!AM95,"AAAAABd3/2w=")</f>
        <v>#VALUE!</v>
      </c>
      <c r="DF56" t="e">
        <f>AND(medidas!AN95,"AAAAABd3/20=")</f>
        <v>#VALUE!</v>
      </c>
      <c r="DG56" t="e">
        <f>AND(medidas!AO95,"AAAAABd3/24=")</f>
        <v>#VALUE!</v>
      </c>
      <c r="DH56" t="e">
        <f>AND(medidas!AP95,"AAAAABd3/28=")</f>
        <v>#VALUE!</v>
      </c>
      <c r="DI56" t="e">
        <f>AND(medidas!AQ95,"AAAAABd3/3A=")</f>
        <v>#VALUE!</v>
      </c>
      <c r="DJ56" t="e">
        <f>AND(medidas!AR95,"AAAAABd3/3E=")</f>
        <v>#VALUE!</v>
      </c>
      <c r="DK56" t="e">
        <f>AND(medidas!AS95,"AAAAABd3/3I=")</f>
        <v>#VALUE!</v>
      </c>
      <c r="DL56" t="e">
        <f>AND(medidas!AT95,"AAAAABd3/3M=")</f>
        <v>#VALUE!</v>
      </c>
      <c r="DM56" t="e">
        <f>AND(medidas!AU95,"AAAAABd3/3Q=")</f>
        <v>#VALUE!</v>
      </c>
      <c r="DN56" t="e">
        <f>AND(medidas!AV95,"AAAAABd3/3U=")</f>
        <v>#VALUE!</v>
      </c>
      <c r="DO56" t="e">
        <f>AND(medidas!AW95,"AAAAABd3/3Y=")</f>
        <v>#VALUE!</v>
      </c>
      <c r="DP56" t="e">
        <f>AND(medidas!AX95,"AAAAABd3/3c=")</f>
        <v>#VALUE!</v>
      </c>
      <c r="DQ56" t="e">
        <f>AND(medidas!AY95,"AAAAABd3/3g=")</f>
        <v>#VALUE!</v>
      </c>
      <c r="DR56" t="e">
        <f>AND(medidas!AZ95,"AAAAABd3/3k=")</f>
        <v>#VALUE!</v>
      </c>
      <c r="DS56" t="e">
        <f>AND(medidas!BA95,"AAAAABd3/3o=")</f>
        <v>#VALUE!</v>
      </c>
      <c r="DT56" t="e">
        <f>AND(medidas!BB95,"AAAAABd3/3s=")</f>
        <v>#VALUE!</v>
      </c>
      <c r="DU56" t="e">
        <f>AND(medidas!BC95,"AAAAABd3/3w=")</f>
        <v>#VALUE!</v>
      </c>
      <c r="DV56" t="e">
        <f>AND(medidas!BD95,"AAAAABd3/30=")</f>
        <v>#VALUE!</v>
      </c>
      <c r="DW56" t="e">
        <f>AND(medidas!BE95,"AAAAABd3/34=")</f>
        <v>#VALUE!</v>
      </c>
      <c r="DX56" t="e">
        <f>AND(medidas!BF95,"AAAAABd3/38=")</f>
        <v>#VALUE!</v>
      </c>
      <c r="DY56" t="e">
        <f>AND(medidas!BG95,"AAAAABd3/4A=")</f>
        <v>#VALUE!</v>
      </c>
      <c r="DZ56" t="e">
        <f>AND(medidas!BH95,"AAAAABd3/4E=")</f>
        <v>#VALUE!</v>
      </c>
      <c r="EA56" t="e">
        <f>AND(medidas!BI95,"AAAAABd3/4I=")</f>
        <v>#VALUE!</v>
      </c>
      <c r="EB56" t="e">
        <f>AND(medidas!BJ95,"AAAAABd3/4M=")</f>
        <v>#VALUE!</v>
      </c>
      <c r="EC56" t="e">
        <f>AND(medidas!BK95,"AAAAABd3/4Q=")</f>
        <v>#VALUE!</v>
      </c>
      <c r="ED56" t="e">
        <f>AND(medidas!BL95,"AAAAABd3/4U=")</f>
        <v>#VALUE!</v>
      </c>
      <c r="EE56" t="e">
        <f>AND(medidas!BM95,"AAAAABd3/4Y=")</f>
        <v>#VALUE!</v>
      </c>
      <c r="EF56" t="e">
        <f>AND(medidas!BN95,"AAAAABd3/4c=")</f>
        <v>#VALUE!</v>
      </c>
      <c r="EG56" t="e">
        <f>AND(medidas!BO95,"AAAAABd3/4g=")</f>
        <v>#VALUE!</v>
      </c>
      <c r="EH56" t="e">
        <f>AND(medidas!BP95,"AAAAABd3/4k=")</f>
        <v>#VALUE!</v>
      </c>
      <c r="EI56" t="e">
        <f>AND(medidas!BQ95,"AAAAABd3/4o=")</f>
        <v>#VALUE!</v>
      </c>
      <c r="EJ56" t="e">
        <f>AND(medidas!BR95,"AAAAABd3/4s=")</f>
        <v>#VALUE!</v>
      </c>
      <c r="EK56" t="e">
        <f>AND(medidas!BS95,"AAAAABd3/4w=")</f>
        <v>#VALUE!</v>
      </c>
      <c r="EL56" t="e">
        <f>AND(medidas!BT95,"AAAAABd3/40=")</f>
        <v>#VALUE!</v>
      </c>
      <c r="EM56" t="e">
        <f>AND(medidas!BU95,"AAAAABd3/44=")</f>
        <v>#VALUE!</v>
      </c>
      <c r="EN56" t="e">
        <f>AND(medidas!BV95,"AAAAABd3/48=")</f>
        <v>#VALUE!</v>
      </c>
      <c r="EO56" t="e">
        <f>AND(medidas!BW95,"AAAAABd3/5A=")</f>
        <v>#VALUE!</v>
      </c>
      <c r="EP56" t="e">
        <f>AND(medidas!BX95,"AAAAABd3/5E=")</f>
        <v>#VALUE!</v>
      </c>
      <c r="EQ56" t="e">
        <f>AND(medidas!BY95,"AAAAABd3/5I=")</f>
        <v>#VALUE!</v>
      </c>
      <c r="ER56">
        <f>IF(medidas!96:96,"AAAAABd3/5M=",0)</f>
        <v>0</v>
      </c>
      <c r="ES56" t="e">
        <f>AND(medidas!B96,"AAAAABd3/5Q=")</f>
        <v>#VALUE!</v>
      </c>
      <c r="ET56" t="e">
        <f>AND(medidas!C96,"AAAAABd3/5U=")</f>
        <v>#VALUE!</v>
      </c>
      <c r="EU56" t="e">
        <f>AND(medidas!D96,"AAAAABd3/5Y=")</f>
        <v>#VALUE!</v>
      </c>
      <c r="EV56" t="e">
        <f>AND(medidas!E96,"AAAAABd3/5c=")</f>
        <v>#VALUE!</v>
      </c>
      <c r="EW56" t="e">
        <f>AND(medidas!F96,"AAAAABd3/5g=")</f>
        <v>#VALUE!</v>
      </c>
      <c r="EX56" t="e">
        <f>AND(medidas!G96,"AAAAABd3/5k=")</f>
        <v>#VALUE!</v>
      </c>
      <c r="EY56" t="e">
        <f>AND(medidas!H96,"AAAAABd3/5o=")</f>
        <v>#VALUE!</v>
      </c>
      <c r="EZ56" t="e">
        <f>AND(medidas!I96,"AAAAABd3/5s=")</f>
        <v>#VALUE!</v>
      </c>
      <c r="FA56" t="e">
        <f>AND(medidas!J96,"AAAAABd3/5w=")</f>
        <v>#VALUE!</v>
      </c>
      <c r="FB56" t="e">
        <f>AND(medidas!K96,"AAAAABd3/50=")</f>
        <v>#VALUE!</v>
      </c>
      <c r="FC56" t="e">
        <f>AND(medidas!L96,"AAAAABd3/54=")</f>
        <v>#VALUE!</v>
      </c>
      <c r="FD56" t="e">
        <f>AND(medidas!M96,"AAAAABd3/58=")</f>
        <v>#VALUE!</v>
      </c>
      <c r="FE56" t="e">
        <f>AND(medidas!N96,"AAAAABd3/6A=")</f>
        <v>#VALUE!</v>
      </c>
      <c r="FF56" t="e">
        <f>AND(medidas!O96,"AAAAABd3/6E=")</f>
        <v>#VALUE!</v>
      </c>
      <c r="FG56" t="e">
        <f>AND(medidas!P96,"AAAAABd3/6I=")</f>
        <v>#VALUE!</v>
      </c>
      <c r="FH56" t="e">
        <f>AND(medidas!Q96,"AAAAABd3/6M=")</f>
        <v>#VALUE!</v>
      </c>
      <c r="FI56" t="e">
        <f>AND(medidas!R96,"AAAAABd3/6Q=")</f>
        <v>#VALUE!</v>
      </c>
      <c r="FJ56" t="e">
        <f>AND(medidas!S96,"AAAAABd3/6U=")</f>
        <v>#VALUE!</v>
      </c>
      <c r="FK56" t="e">
        <f>AND(medidas!T96,"AAAAABd3/6Y=")</f>
        <v>#VALUE!</v>
      </c>
      <c r="FL56" t="e">
        <f>AND(medidas!U96,"AAAAABd3/6c=")</f>
        <v>#VALUE!</v>
      </c>
      <c r="FM56" t="e">
        <f>AND(medidas!V96,"AAAAABd3/6g=")</f>
        <v>#VALUE!</v>
      </c>
      <c r="FN56" t="e">
        <f>AND(medidas!W96,"AAAAABd3/6k=")</f>
        <v>#VALUE!</v>
      </c>
      <c r="FO56" t="e">
        <f>AND(medidas!X96,"AAAAABd3/6o=")</f>
        <v>#VALUE!</v>
      </c>
      <c r="FP56" t="e">
        <f>AND(medidas!Y96,"AAAAABd3/6s=")</f>
        <v>#VALUE!</v>
      </c>
      <c r="FQ56" t="e">
        <f>AND(medidas!Z96,"AAAAABd3/6w=")</f>
        <v>#VALUE!</v>
      </c>
      <c r="FR56" t="e">
        <f>AND(medidas!AA96,"AAAAABd3/60=")</f>
        <v>#VALUE!</v>
      </c>
      <c r="FS56" t="e">
        <f>AND(medidas!AB96,"AAAAABd3/64=")</f>
        <v>#VALUE!</v>
      </c>
      <c r="FT56" t="e">
        <f>AND(medidas!AC96,"AAAAABd3/68=")</f>
        <v>#VALUE!</v>
      </c>
      <c r="FU56" t="e">
        <f>AND(medidas!AD96,"AAAAABd3/7A=")</f>
        <v>#VALUE!</v>
      </c>
      <c r="FV56" t="e">
        <f>AND(medidas!AE96,"AAAAABd3/7E=")</f>
        <v>#VALUE!</v>
      </c>
      <c r="FW56" t="e">
        <f>AND(medidas!AF96,"AAAAABd3/7I=")</f>
        <v>#VALUE!</v>
      </c>
      <c r="FX56" t="e">
        <f>AND(medidas!AG96,"AAAAABd3/7M=")</f>
        <v>#VALUE!</v>
      </c>
      <c r="FY56" t="e">
        <f>AND(medidas!AH96,"AAAAABd3/7Q=")</f>
        <v>#VALUE!</v>
      </c>
      <c r="FZ56" t="e">
        <f>AND(medidas!AI96,"AAAAABd3/7U=")</f>
        <v>#VALUE!</v>
      </c>
      <c r="GA56" t="e">
        <f>AND(medidas!AJ96,"AAAAABd3/7Y=")</f>
        <v>#VALUE!</v>
      </c>
      <c r="GB56" t="e">
        <f>AND(medidas!AK96,"AAAAABd3/7c=")</f>
        <v>#VALUE!</v>
      </c>
      <c r="GC56" t="e">
        <f>AND(medidas!AL96,"AAAAABd3/7g=")</f>
        <v>#VALUE!</v>
      </c>
      <c r="GD56" t="e">
        <f>AND(medidas!AM96,"AAAAABd3/7k=")</f>
        <v>#VALUE!</v>
      </c>
      <c r="GE56" t="e">
        <f>AND(medidas!AN96,"AAAAABd3/7o=")</f>
        <v>#VALUE!</v>
      </c>
      <c r="GF56" t="e">
        <f>AND(medidas!AO96,"AAAAABd3/7s=")</f>
        <v>#VALUE!</v>
      </c>
      <c r="GG56" t="e">
        <f>AND(medidas!AP96,"AAAAABd3/7w=")</f>
        <v>#VALUE!</v>
      </c>
      <c r="GH56" t="e">
        <f>AND(medidas!AQ96,"AAAAABd3/70=")</f>
        <v>#VALUE!</v>
      </c>
      <c r="GI56" t="e">
        <f>AND(medidas!AR96,"AAAAABd3/74=")</f>
        <v>#VALUE!</v>
      </c>
      <c r="GJ56" t="e">
        <f>AND(medidas!AS96,"AAAAABd3/78=")</f>
        <v>#VALUE!</v>
      </c>
      <c r="GK56" t="e">
        <f>AND(medidas!AT96,"AAAAABd3/8A=")</f>
        <v>#VALUE!</v>
      </c>
      <c r="GL56" t="e">
        <f>AND(medidas!AU96,"AAAAABd3/8E=")</f>
        <v>#VALUE!</v>
      </c>
      <c r="GM56" t="e">
        <f>AND(medidas!AV96,"AAAAABd3/8I=")</f>
        <v>#VALUE!</v>
      </c>
      <c r="GN56" t="e">
        <f>AND(medidas!AW96,"AAAAABd3/8M=")</f>
        <v>#VALUE!</v>
      </c>
      <c r="GO56" t="e">
        <f>AND(medidas!AX96,"AAAAABd3/8Q=")</f>
        <v>#VALUE!</v>
      </c>
      <c r="GP56" t="e">
        <f>AND(medidas!AY96,"AAAAABd3/8U=")</f>
        <v>#VALUE!</v>
      </c>
      <c r="GQ56" t="e">
        <f>AND(medidas!AZ96,"AAAAABd3/8Y=")</f>
        <v>#VALUE!</v>
      </c>
      <c r="GR56" t="e">
        <f>AND(medidas!BA96,"AAAAABd3/8c=")</f>
        <v>#VALUE!</v>
      </c>
      <c r="GS56" t="e">
        <f>AND(medidas!BB96,"AAAAABd3/8g=")</f>
        <v>#VALUE!</v>
      </c>
      <c r="GT56" t="e">
        <f>AND(medidas!BC96,"AAAAABd3/8k=")</f>
        <v>#VALUE!</v>
      </c>
      <c r="GU56" t="e">
        <f>AND(medidas!BD96,"AAAAABd3/8o=")</f>
        <v>#VALUE!</v>
      </c>
      <c r="GV56" t="e">
        <f>AND(medidas!BE96,"AAAAABd3/8s=")</f>
        <v>#VALUE!</v>
      </c>
      <c r="GW56" t="e">
        <f>AND(medidas!BF96,"AAAAABd3/8w=")</f>
        <v>#VALUE!</v>
      </c>
      <c r="GX56" t="e">
        <f>AND(medidas!BG96,"AAAAABd3/80=")</f>
        <v>#VALUE!</v>
      </c>
      <c r="GY56" t="e">
        <f>AND(medidas!BH96,"AAAAABd3/84=")</f>
        <v>#VALUE!</v>
      </c>
      <c r="GZ56" t="e">
        <f>AND(medidas!BI96,"AAAAABd3/88=")</f>
        <v>#VALUE!</v>
      </c>
      <c r="HA56" t="e">
        <f>AND(medidas!BJ96,"AAAAABd3/9A=")</f>
        <v>#VALUE!</v>
      </c>
      <c r="HB56" t="e">
        <f>AND(medidas!BK96,"AAAAABd3/9E=")</f>
        <v>#VALUE!</v>
      </c>
      <c r="HC56" t="e">
        <f>AND(medidas!BL96,"AAAAABd3/9I=")</f>
        <v>#VALUE!</v>
      </c>
      <c r="HD56" t="e">
        <f>AND(medidas!BM96,"AAAAABd3/9M=")</f>
        <v>#VALUE!</v>
      </c>
      <c r="HE56" t="e">
        <f>AND(medidas!BN96,"AAAAABd3/9Q=")</f>
        <v>#VALUE!</v>
      </c>
      <c r="HF56" t="e">
        <f>AND(medidas!BO96,"AAAAABd3/9U=")</f>
        <v>#VALUE!</v>
      </c>
      <c r="HG56" t="e">
        <f>AND(medidas!BP96,"AAAAABd3/9Y=")</f>
        <v>#VALUE!</v>
      </c>
      <c r="HH56" t="e">
        <f>AND(medidas!BQ96,"AAAAABd3/9c=")</f>
        <v>#VALUE!</v>
      </c>
      <c r="HI56" t="e">
        <f>AND(medidas!BR96,"AAAAABd3/9g=")</f>
        <v>#VALUE!</v>
      </c>
      <c r="HJ56" t="e">
        <f>AND(medidas!BS96,"AAAAABd3/9k=")</f>
        <v>#VALUE!</v>
      </c>
      <c r="HK56" t="e">
        <f>AND(medidas!BT96,"AAAAABd3/9o=")</f>
        <v>#VALUE!</v>
      </c>
      <c r="HL56" t="e">
        <f>AND(medidas!BU96,"AAAAABd3/9s=")</f>
        <v>#VALUE!</v>
      </c>
      <c r="HM56" t="e">
        <f>AND(medidas!BV96,"AAAAABd3/9w=")</f>
        <v>#VALUE!</v>
      </c>
      <c r="HN56" t="e">
        <f>AND(medidas!BW96,"AAAAABd3/90=")</f>
        <v>#VALUE!</v>
      </c>
      <c r="HO56" t="e">
        <f>AND(medidas!BX96,"AAAAABd3/94=")</f>
        <v>#VALUE!</v>
      </c>
      <c r="HP56" t="e">
        <f>AND(medidas!BY96,"AAAAABd3/98=")</f>
        <v>#VALUE!</v>
      </c>
      <c r="HQ56">
        <f>IF(medidas!97:97,"AAAAABd3/+A=",0)</f>
        <v>0</v>
      </c>
      <c r="HR56" t="e">
        <f>AND(medidas!B97,"AAAAABd3/+E=")</f>
        <v>#VALUE!</v>
      </c>
      <c r="HS56" t="e">
        <f>AND(medidas!C97,"AAAAABd3/+I=")</f>
        <v>#VALUE!</v>
      </c>
      <c r="HT56" t="e">
        <f>AND(medidas!D97,"AAAAABd3/+M=")</f>
        <v>#VALUE!</v>
      </c>
      <c r="HU56" t="e">
        <f>AND(medidas!E97,"AAAAABd3/+Q=")</f>
        <v>#VALUE!</v>
      </c>
      <c r="HV56" t="e">
        <f>AND(medidas!F97,"AAAAABd3/+U=")</f>
        <v>#VALUE!</v>
      </c>
      <c r="HW56" t="e">
        <f>AND(medidas!G97,"AAAAABd3/+Y=")</f>
        <v>#VALUE!</v>
      </c>
      <c r="HX56" t="e">
        <f>AND(medidas!H97,"AAAAABd3/+c=")</f>
        <v>#VALUE!</v>
      </c>
      <c r="HY56" t="e">
        <f>AND(medidas!I97,"AAAAABd3/+g=")</f>
        <v>#VALUE!</v>
      </c>
      <c r="HZ56" t="e">
        <f>AND(medidas!J97,"AAAAABd3/+k=")</f>
        <v>#VALUE!</v>
      </c>
      <c r="IA56" t="e">
        <f>AND(medidas!K97,"AAAAABd3/+o=")</f>
        <v>#VALUE!</v>
      </c>
      <c r="IB56" t="e">
        <f>AND(medidas!L97,"AAAAABd3/+s=")</f>
        <v>#VALUE!</v>
      </c>
      <c r="IC56" t="e">
        <f>AND(medidas!M97,"AAAAABd3/+w=")</f>
        <v>#VALUE!</v>
      </c>
      <c r="ID56" t="e">
        <f>AND(medidas!N97,"AAAAABd3/+0=")</f>
        <v>#VALUE!</v>
      </c>
      <c r="IE56" t="e">
        <f>AND(medidas!O97,"AAAAABd3/+4=")</f>
        <v>#VALUE!</v>
      </c>
      <c r="IF56" t="e">
        <f>AND(medidas!P97,"AAAAABd3/+8=")</f>
        <v>#VALUE!</v>
      </c>
      <c r="IG56" t="e">
        <f>AND(medidas!Q97,"AAAAABd3//A=")</f>
        <v>#VALUE!</v>
      </c>
      <c r="IH56" t="e">
        <f>AND(medidas!R97,"AAAAABd3//E=")</f>
        <v>#VALUE!</v>
      </c>
      <c r="II56" t="e">
        <f>AND(medidas!S97,"AAAAABd3//I=")</f>
        <v>#VALUE!</v>
      </c>
      <c r="IJ56" t="e">
        <f>AND(medidas!T97,"AAAAABd3//M=")</f>
        <v>#VALUE!</v>
      </c>
      <c r="IK56" t="e">
        <f>AND(medidas!U97,"AAAAABd3//Q=")</f>
        <v>#VALUE!</v>
      </c>
      <c r="IL56" t="e">
        <f>AND(medidas!V97,"AAAAABd3//U=")</f>
        <v>#VALUE!</v>
      </c>
      <c r="IM56" t="e">
        <f>AND(medidas!W97,"AAAAABd3//Y=")</f>
        <v>#VALUE!</v>
      </c>
      <c r="IN56" t="e">
        <f>AND(medidas!X97,"AAAAABd3//c=")</f>
        <v>#VALUE!</v>
      </c>
      <c r="IO56" t="e">
        <f>AND(medidas!Y97,"AAAAABd3//g=")</f>
        <v>#VALUE!</v>
      </c>
      <c r="IP56" t="e">
        <f>AND(medidas!Z97,"AAAAABd3//k=")</f>
        <v>#VALUE!</v>
      </c>
      <c r="IQ56" t="e">
        <f>AND(medidas!AA97,"AAAAABd3//o=")</f>
        <v>#VALUE!</v>
      </c>
      <c r="IR56" t="e">
        <f>AND(medidas!AB97,"AAAAABd3//s=")</f>
        <v>#VALUE!</v>
      </c>
      <c r="IS56" t="e">
        <f>AND(medidas!AC97,"AAAAABd3//w=")</f>
        <v>#VALUE!</v>
      </c>
      <c r="IT56" t="e">
        <f>AND(medidas!AD97,"AAAAABd3//0=")</f>
        <v>#VALUE!</v>
      </c>
      <c r="IU56" t="e">
        <f>AND(medidas!AE97,"AAAAABd3//4=")</f>
        <v>#VALUE!</v>
      </c>
      <c r="IV56" t="e">
        <f>AND(medidas!AF97,"AAAAABd3//8=")</f>
        <v>#VALUE!</v>
      </c>
    </row>
    <row r="57" spans="1:256" x14ac:dyDescent="0.2">
      <c r="A57" t="e">
        <f>AND(medidas!AG97,"AAAAADv77gA=")</f>
        <v>#VALUE!</v>
      </c>
      <c r="B57" t="e">
        <f>AND(medidas!AH97,"AAAAADv77gE=")</f>
        <v>#VALUE!</v>
      </c>
      <c r="C57" t="e">
        <f>AND(medidas!AI97,"AAAAADv77gI=")</f>
        <v>#VALUE!</v>
      </c>
      <c r="D57" t="e">
        <f>AND(medidas!AJ97,"AAAAADv77gM=")</f>
        <v>#VALUE!</v>
      </c>
      <c r="E57" t="e">
        <f>AND(medidas!AK97,"AAAAADv77gQ=")</f>
        <v>#VALUE!</v>
      </c>
      <c r="F57" t="e">
        <f>AND(medidas!AL97,"AAAAADv77gU=")</f>
        <v>#VALUE!</v>
      </c>
      <c r="G57" t="e">
        <f>AND(medidas!AM97,"AAAAADv77gY=")</f>
        <v>#VALUE!</v>
      </c>
      <c r="H57" t="e">
        <f>AND(medidas!AN97,"AAAAADv77gc=")</f>
        <v>#VALUE!</v>
      </c>
      <c r="I57" t="e">
        <f>AND(medidas!AO97,"AAAAADv77gg=")</f>
        <v>#VALUE!</v>
      </c>
      <c r="J57" t="e">
        <f>AND(medidas!AP97,"AAAAADv77gk=")</f>
        <v>#VALUE!</v>
      </c>
      <c r="K57" t="e">
        <f>AND(medidas!AQ97,"AAAAADv77go=")</f>
        <v>#VALUE!</v>
      </c>
      <c r="L57" t="e">
        <f>AND(medidas!AR97,"AAAAADv77gs=")</f>
        <v>#VALUE!</v>
      </c>
      <c r="M57" t="e">
        <f>AND(medidas!AS97,"AAAAADv77gw=")</f>
        <v>#VALUE!</v>
      </c>
      <c r="N57" t="e">
        <f>AND(medidas!AT97,"AAAAADv77g0=")</f>
        <v>#VALUE!</v>
      </c>
      <c r="O57" t="e">
        <f>AND(medidas!AU97,"AAAAADv77g4=")</f>
        <v>#VALUE!</v>
      </c>
      <c r="P57" t="e">
        <f>AND(medidas!AV97,"AAAAADv77g8=")</f>
        <v>#VALUE!</v>
      </c>
      <c r="Q57" t="e">
        <f>AND(medidas!AW97,"AAAAADv77hA=")</f>
        <v>#VALUE!</v>
      </c>
      <c r="R57" t="e">
        <f>AND(medidas!AX97,"AAAAADv77hE=")</f>
        <v>#VALUE!</v>
      </c>
      <c r="S57" t="e">
        <f>AND(medidas!AY97,"AAAAADv77hI=")</f>
        <v>#VALUE!</v>
      </c>
      <c r="T57" t="e">
        <f>AND(medidas!AZ97,"AAAAADv77hM=")</f>
        <v>#VALUE!</v>
      </c>
      <c r="U57" t="e">
        <f>AND(medidas!BA97,"AAAAADv77hQ=")</f>
        <v>#VALUE!</v>
      </c>
      <c r="V57" t="e">
        <f>AND(medidas!BB97,"AAAAADv77hU=")</f>
        <v>#VALUE!</v>
      </c>
      <c r="W57" t="e">
        <f>AND(medidas!BC97,"AAAAADv77hY=")</f>
        <v>#VALUE!</v>
      </c>
      <c r="X57" t="e">
        <f>AND(medidas!BD97,"AAAAADv77hc=")</f>
        <v>#VALUE!</v>
      </c>
      <c r="Y57" t="e">
        <f>AND(medidas!BE97,"AAAAADv77hg=")</f>
        <v>#VALUE!</v>
      </c>
      <c r="Z57" t="e">
        <f>AND(medidas!BF97,"AAAAADv77hk=")</f>
        <v>#VALUE!</v>
      </c>
      <c r="AA57" t="e">
        <f>AND(medidas!BG97,"AAAAADv77ho=")</f>
        <v>#VALUE!</v>
      </c>
      <c r="AB57" t="e">
        <f>AND(medidas!BH97,"AAAAADv77hs=")</f>
        <v>#VALUE!</v>
      </c>
      <c r="AC57" t="e">
        <f>AND(medidas!BI97,"AAAAADv77hw=")</f>
        <v>#VALUE!</v>
      </c>
      <c r="AD57" t="e">
        <f>AND(medidas!BJ97,"AAAAADv77h0=")</f>
        <v>#VALUE!</v>
      </c>
      <c r="AE57" t="e">
        <f>AND(medidas!BK97,"AAAAADv77h4=")</f>
        <v>#VALUE!</v>
      </c>
      <c r="AF57" t="e">
        <f>AND(medidas!BL97,"AAAAADv77h8=")</f>
        <v>#VALUE!</v>
      </c>
      <c r="AG57" t="e">
        <f>AND(medidas!BM97,"AAAAADv77iA=")</f>
        <v>#VALUE!</v>
      </c>
      <c r="AH57" t="e">
        <f>AND(medidas!BN97,"AAAAADv77iE=")</f>
        <v>#VALUE!</v>
      </c>
      <c r="AI57" t="e">
        <f>AND(medidas!BO97,"AAAAADv77iI=")</f>
        <v>#VALUE!</v>
      </c>
      <c r="AJ57" t="e">
        <f>AND(medidas!BP97,"AAAAADv77iM=")</f>
        <v>#VALUE!</v>
      </c>
      <c r="AK57" t="e">
        <f>AND(medidas!BQ97,"AAAAADv77iQ=")</f>
        <v>#VALUE!</v>
      </c>
      <c r="AL57" t="e">
        <f>AND(medidas!BR97,"AAAAADv77iU=")</f>
        <v>#VALUE!</v>
      </c>
      <c r="AM57" t="e">
        <f>AND(medidas!BS97,"AAAAADv77iY=")</f>
        <v>#VALUE!</v>
      </c>
      <c r="AN57" t="e">
        <f>AND(medidas!BT97,"AAAAADv77ic=")</f>
        <v>#VALUE!</v>
      </c>
      <c r="AO57" t="e">
        <f>AND(medidas!BU97,"AAAAADv77ig=")</f>
        <v>#VALUE!</v>
      </c>
      <c r="AP57" t="e">
        <f>AND(medidas!BV97,"AAAAADv77ik=")</f>
        <v>#VALUE!</v>
      </c>
      <c r="AQ57" t="e">
        <f>AND(medidas!BW97,"AAAAADv77io=")</f>
        <v>#VALUE!</v>
      </c>
      <c r="AR57" t="e">
        <f>AND(medidas!BX97,"AAAAADv77is=")</f>
        <v>#VALUE!</v>
      </c>
      <c r="AS57" t="e">
        <f>AND(medidas!BY97,"AAAAADv77iw=")</f>
        <v>#VALUE!</v>
      </c>
      <c r="AT57">
        <f>IF(medidas!98:98,"AAAAADv77i0=",0)</f>
        <v>0</v>
      </c>
      <c r="AU57" t="e">
        <f>AND(medidas!B98,"AAAAADv77i4=")</f>
        <v>#VALUE!</v>
      </c>
      <c r="AV57" t="e">
        <f>AND(medidas!C98,"AAAAADv77i8=")</f>
        <v>#VALUE!</v>
      </c>
      <c r="AW57" t="e">
        <f>AND(medidas!D98,"AAAAADv77jA=")</f>
        <v>#VALUE!</v>
      </c>
      <c r="AX57" t="e">
        <f>AND(medidas!E98,"AAAAADv77jE=")</f>
        <v>#VALUE!</v>
      </c>
      <c r="AY57" t="e">
        <f>AND(medidas!F98,"AAAAADv77jI=")</f>
        <v>#VALUE!</v>
      </c>
      <c r="AZ57" t="e">
        <f>AND(medidas!G98,"AAAAADv77jM=")</f>
        <v>#VALUE!</v>
      </c>
      <c r="BA57" t="e">
        <f>AND(medidas!H98,"AAAAADv77jQ=")</f>
        <v>#VALUE!</v>
      </c>
      <c r="BB57" t="e">
        <f>AND(medidas!I98,"AAAAADv77jU=")</f>
        <v>#VALUE!</v>
      </c>
      <c r="BC57" t="e">
        <f>AND(medidas!J98,"AAAAADv77jY=")</f>
        <v>#VALUE!</v>
      </c>
      <c r="BD57" t="e">
        <f>AND(medidas!K98,"AAAAADv77jc=")</f>
        <v>#VALUE!</v>
      </c>
      <c r="BE57" t="e">
        <f>AND(medidas!L98,"AAAAADv77jg=")</f>
        <v>#VALUE!</v>
      </c>
      <c r="BF57" t="e">
        <f>AND(medidas!M98,"AAAAADv77jk=")</f>
        <v>#VALUE!</v>
      </c>
      <c r="BG57" t="e">
        <f>AND(medidas!N98,"AAAAADv77jo=")</f>
        <v>#VALUE!</v>
      </c>
      <c r="BH57" t="e">
        <f>AND(medidas!O98,"AAAAADv77js=")</f>
        <v>#VALUE!</v>
      </c>
      <c r="BI57" t="e">
        <f>AND(medidas!P98,"AAAAADv77jw=")</f>
        <v>#VALUE!</v>
      </c>
      <c r="BJ57" t="e">
        <f>AND(medidas!Q98,"AAAAADv77j0=")</f>
        <v>#VALUE!</v>
      </c>
      <c r="BK57" t="e">
        <f>AND(medidas!R98,"AAAAADv77j4=")</f>
        <v>#VALUE!</v>
      </c>
      <c r="BL57" t="e">
        <f>AND(medidas!S98,"AAAAADv77j8=")</f>
        <v>#VALUE!</v>
      </c>
      <c r="BM57" t="e">
        <f>AND(medidas!T98,"AAAAADv77kA=")</f>
        <v>#VALUE!</v>
      </c>
      <c r="BN57" t="e">
        <f>AND(medidas!U98,"AAAAADv77kE=")</f>
        <v>#VALUE!</v>
      </c>
      <c r="BO57" t="e">
        <f>AND(medidas!V98,"AAAAADv77kI=")</f>
        <v>#VALUE!</v>
      </c>
      <c r="BP57" t="e">
        <f>AND(medidas!W98,"AAAAADv77kM=")</f>
        <v>#VALUE!</v>
      </c>
      <c r="BQ57" t="e">
        <f>AND(medidas!X98,"AAAAADv77kQ=")</f>
        <v>#VALUE!</v>
      </c>
      <c r="BR57" t="e">
        <f>AND(medidas!Y98,"AAAAADv77kU=")</f>
        <v>#VALUE!</v>
      </c>
      <c r="BS57" t="e">
        <f>AND(medidas!Z98,"AAAAADv77kY=")</f>
        <v>#VALUE!</v>
      </c>
      <c r="BT57" t="e">
        <f>AND(medidas!AA98,"AAAAADv77kc=")</f>
        <v>#VALUE!</v>
      </c>
      <c r="BU57" t="e">
        <f>AND(medidas!AB98,"AAAAADv77kg=")</f>
        <v>#VALUE!</v>
      </c>
      <c r="BV57" t="e">
        <f>AND(medidas!AC98,"AAAAADv77kk=")</f>
        <v>#VALUE!</v>
      </c>
      <c r="BW57" t="e">
        <f>AND(medidas!AD98,"AAAAADv77ko=")</f>
        <v>#VALUE!</v>
      </c>
      <c r="BX57" t="e">
        <f>AND(medidas!AE98,"AAAAADv77ks=")</f>
        <v>#VALUE!</v>
      </c>
      <c r="BY57" t="e">
        <f>AND(medidas!AF98,"AAAAADv77kw=")</f>
        <v>#VALUE!</v>
      </c>
      <c r="BZ57" t="e">
        <f>AND(medidas!AG98,"AAAAADv77k0=")</f>
        <v>#VALUE!</v>
      </c>
      <c r="CA57" t="e">
        <f>AND(medidas!AH98,"AAAAADv77k4=")</f>
        <v>#VALUE!</v>
      </c>
      <c r="CB57" t="e">
        <f>AND(medidas!AI98,"AAAAADv77k8=")</f>
        <v>#VALUE!</v>
      </c>
      <c r="CC57" t="e">
        <f>AND(medidas!AJ98,"AAAAADv77lA=")</f>
        <v>#VALUE!</v>
      </c>
      <c r="CD57" t="e">
        <f>AND(medidas!AK98,"AAAAADv77lE=")</f>
        <v>#VALUE!</v>
      </c>
      <c r="CE57" t="e">
        <f>AND(medidas!AL98,"AAAAADv77lI=")</f>
        <v>#VALUE!</v>
      </c>
      <c r="CF57" t="e">
        <f>AND(medidas!AM98,"AAAAADv77lM=")</f>
        <v>#VALUE!</v>
      </c>
      <c r="CG57" t="e">
        <f>AND(medidas!AN98,"AAAAADv77lQ=")</f>
        <v>#VALUE!</v>
      </c>
      <c r="CH57" t="e">
        <f>AND(medidas!AO98,"AAAAADv77lU=")</f>
        <v>#VALUE!</v>
      </c>
      <c r="CI57" t="e">
        <f>AND(medidas!AP98,"AAAAADv77lY=")</f>
        <v>#VALUE!</v>
      </c>
      <c r="CJ57" t="e">
        <f>AND(medidas!AQ98,"AAAAADv77lc=")</f>
        <v>#VALUE!</v>
      </c>
      <c r="CK57" t="e">
        <f>AND(medidas!AR98,"AAAAADv77lg=")</f>
        <v>#VALUE!</v>
      </c>
      <c r="CL57" t="e">
        <f>AND(medidas!AS98,"AAAAADv77lk=")</f>
        <v>#VALUE!</v>
      </c>
      <c r="CM57" t="e">
        <f>AND(medidas!AT98,"AAAAADv77lo=")</f>
        <v>#VALUE!</v>
      </c>
      <c r="CN57" t="e">
        <f>AND(medidas!AU98,"AAAAADv77ls=")</f>
        <v>#VALUE!</v>
      </c>
      <c r="CO57" t="e">
        <f>AND(medidas!AV98,"AAAAADv77lw=")</f>
        <v>#VALUE!</v>
      </c>
      <c r="CP57" t="e">
        <f>AND(medidas!AW98,"AAAAADv77l0=")</f>
        <v>#VALUE!</v>
      </c>
      <c r="CQ57" t="e">
        <f>AND(medidas!AX98,"AAAAADv77l4=")</f>
        <v>#VALUE!</v>
      </c>
      <c r="CR57" t="e">
        <f>AND(medidas!AY98,"AAAAADv77l8=")</f>
        <v>#VALUE!</v>
      </c>
      <c r="CS57" t="e">
        <f>AND(medidas!AZ98,"AAAAADv77mA=")</f>
        <v>#VALUE!</v>
      </c>
      <c r="CT57" t="e">
        <f>AND(medidas!BA98,"AAAAADv77mE=")</f>
        <v>#VALUE!</v>
      </c>
      <c r="CU57" t="e">
        <f>AND(medidas!BB98,"AAAAADv77mI=")</f>
        <v>#VALUE!</v>
      </c>
      <c r="CV57" t="e">
        <f>AND(medidas!BC98,"AAAAADv77mM=")</f>
        <v>#VALUE!</v>
      </c>
      <c r="CW57" t="e">
        <f>AND(medidas!BD98,"AAAAADv77mQ=")</f>
        <v>#VALUE!</v>
      </c>
      <c r="CX57" t="e">
        <f>AND(medidas!BE98,"AAAAADv77mU=")</f>
        <v>#VALUE!</v>
      </c>
      <c r="CY57" t="e">
        <f>AND(medidas!BF98,"AAAAADv77mY=")</f>
        <v>#VALUE!</v>
      </c>
      <c r="CZ57" t="e">
        <f>AND(medidas!BG98,"AAAAADv77mc=")</f>
        <v>#VALUE!</v>
      </c>
      <c r="DA57" t="e">
        <f>AND(medidas!BH98,"AAAAADv77mg=")</f>
        <v>#VALUE!</v>
      </c>
      <c r="DB57" t="e">
        <f>AND(medidas!BI98,"AAAAADv77mk=")</f>
        <v>#VALUE!</v>
      </c>
      <c r="DC57" t="e">
        <f>AND(medidas!BJ98,"AAAAADv77mo=")</f>
        <v>#VALUE!</v>
      </c>
      <c r="DD57" t="e">
        <f>AND(medidas!BK98,"AAAAADv77ms=")</f>
        <v>#VALUE!</v>
      </c>
      <c r="DE57" t="e">
        <f>AND(medidas!BL98,"AAAAADv77mw=")</f>
        <v>#VALUE!</v>
      </c>
      <c r="DF57" t="e">
        <f>AND(medidas!BM98,"AAAAADv77m0=")</f>
        <v>#VALUE!</v>
      </c>
      <c r="DG57" t="e">
        <f>AND(medidas!BN98,"AAAAADv77m4=")</f>
        <v>#VALUE!</v>
      </c>
      <c r="DH57" t="e">
        <f>AND(medidas!BO98,"AAAAADv77m8=")</f>
        <v>#VALUE!</v>
      </c>
      <c r="DI57" t="e">
        <f>AND(medidas!BP98,"AAAAADv77nA=")</f>
        <v>#VALUE!</v>
      </c>
      <c r="DJ57" t="e">
        <f>AND(medidas!BQ98,"AAAAADv77nE=")</f>
        <v>#VALUE!</v>
      </c>
      <c r="DK57" t="e">
        <f>AND(medidas!BR98,"AAAAADv77nI=")</f>
        <v>#VALUE!</v>
      </c>
      <c r="DL57" t="e">
        <f>AND(medidas!BS98,"AAAAADv77nM=")</f>
        <v>#VALUE!</v>
      </c>
      <c r="DM57" t="e">
        <f>AND(medidas!BT98,"AAAAADv77nQ=")</f>
        <v>#VALUE!</v>
      </c>
      <c r="DN57" t="e">
        <f>AND(medidas!BU98,"AAAAADv77nU=")</f>
        <v>#VALUE!</v>
      </c>
      <c r="DO57" t="e">
        <f>AND(medidas!BV98,"AAAAADv77nY=")</f>
        <v>#VALUE!</v>
      </c>
      <c r="DP57" t="e">
        <f>AND(medidas!BW98,"AAAAADv77nc=")</f>
        <v>#VALUE!</v>
      </c>
      <c r="DQ57" t="e">
        <f>AND(medidas!BX98,"AAAAADv77ng=")</f>
        <v>#VALUE!</v>
      </c>
      <c r="DR57" t="e">
        <f>AND(medidas!BY98,"AAAAADv77nk=")</f>
        <v>#VALUE!</v>
      </c>
      <c r="DS57">
        <f>IF(medidas!99:99,"AAAAADv77no=",0)</f>
        <v>0</v>
      </c>
      <c r="DT57" t="e">
        <f>AND(medidas!B99,"AAAAADv77ns=")</f>
        <v>#VALUE!</v>
      </c>
      <c r="DU57" t="e">
        <f>AND(medidas!C99,"AAAAADv77nw=")</f>
        <v>#VALUE!</v>
      </c>
      <c r="DV57" t="e">
        <f>AND(medidas!D99,"AAAAADv77n0=")</f>
        <v>#VALUE!</v>
      </c>
      <c r="DW57" t="e">
        <f>AND(medidas!E99,"AAAAADv77n4=")</f>
        <v>#VALUE!</v>
      </c>
      <c r="DX57" t="e">
        <f>AND(medidas!F99,"AAAAADv77n8=")</f>
        <v>#VALUE!</v>
      </c>
      <c r="DY57" t="e">
        <f>AND(medidas!G99,"AAAAADv77oA=")</f>
        <v>#VALUE!</v>
      </c>
      <c r="DZ57" t="e">
        <f>AND(medidas!H99,"AAAAADv77oE=")</f>
        <v>#VALUE!</v>
      </c>
      <c r="EA57" t="e">
        <f>AND(medidas!I99,"AAAAADv77oI=")</f>
        <v>#VALUE!</v>
      </c>
      <c r="EB57" t="e">
        <f>AND(medidas!J99,"AAAAADv77oM=")</f>
        <v>#VALUE!</v>
      </c>
      <c r="EC57" t="e">
        <f>AND(medidas!K99,"AAAAADv77oQ=")</f>
        <v>#VALUE!</v>
      </c>
      <c r="ED57" t="e">
        <f>AND(medidas!L99,"AAAAADv77oU=")</f>
        <v>#VALUE!</v>
      </c>
      <c r="EE57" t="e">
        <f>AND(medidas!M99,"AAAAADv77oY=")</f>
        <v>#VALUE!</v>
      </c>
      <c r="EF57" t="e">
        <f>AND(medidas!N99,"AAAAADv77oc=")</f>
        <v>#VALUE!</v>
      </c>
      <c r="EG57" t="e">
        <f>AND(medidas!O99,"AAAAADv77og=")</f>
        <v>#VALUE!</v>
      </c>
      <c r="EH57" t="e">
        <f>AND(medidas!P99,"AAAAADv77ok=")</f>
        <v>#VALUE!</v>
      </c>
      <c r="EI57" t="e">
        <f>AND(medidas!Q99,"AAAAADv77oo=")</f>
        <v>#VALUE!</v>
      </c>
      <c r="EJ57" t="e">
        <f>AND(medidas!R99,"AAAAADv77os=")</f>
        <v>#VALUE!</v>
      </c>
      <c r="EK57" t="e">
        <f>AND(medidas!S99,"AAAAADv77ow=")</f>
        <v>#VALUE!</v>
      </c>
      <c r="EL57" t="e">
        <f>AND(medidas!T99,"AAAAADv77o0=")</f>
        <v>#VALUE!</v>
      </c>
      <c r="EM57" t="e">
        <f>AND(medidas!U99,"AAAAADv77o4=")</f>
        <v>#VALUE!</v>
      </c>
      <c r="EN57" t="e">
        <f>AND(medidas!V99,"AAAAADv77o8=")</f>
        <v>#VALUE!</v>
      </c>
      <c r="EO57" t="e">
        <f>AND(medidas!W99,"AAAAADv77pA=")</f>
        <v>#VALUE!</v>
      </c>
      <c r="EP57" t="e">
        <f>AND(medidas!X99,"AAAAADv77pE=")</f>
        <v>#VALUE!</v>
      </c>
      <c r="EQ57" t="e">
        <f>AND(medidas!Y99,"AAAAADv77pI=")</f>
        <v>#VALUE!</v>
      </c>
      <c r="ER57" t="e">
        <f>AND(medidas!Z99,"AAAAADv77pM=")</f>
        <v>#VALUE!</v>
      </c>
      <c r="ES57" t="e">
        <f>AND(medidas!AA99,"AAAAADv77pQ=")</f>
        <v>#VALUE!</v>
      </c>
      <c r="ET57" t="e">
        <f>AND(medidas!AB99,"AAAAADv77pU=")</f>
        <v>#VALUE!</v>
      </c>
      <c r="EU57" t="e">
        <f>AND(medidas!AC99,"AAAAADv77pY=")</f>
        <v>#VALUE!</v>
      </c>
      <c r="EV57" t="e">
        <f>AND(medidas!AD99,"AAAAADv77pc=")</f>
        <v>#VALUE!</v>
      </c>
      <c r="EW57" t="e">
        <f>AND(medidas!AE99,"AAAAADv77pg=")</f>
        <v>#VALUE!</v>
      </c>
      <c r="EX57" t="e">
        <f>AND(medidas!AF99,"AAAAADv77pk=")</f>
        <v>#VALUE!</v>
      </c>
      <c r="EY57" t="e">
        <f>AND(medidas!AG99,"AAAAADv77po=")</f>
        <v>#VALUE!</v>
      </c>
      <c r="EZ57" t="e">
        <f>AND(medidas!AH99,"AAAAADv77ps=")</f>
        <v>#VALUE!</v>
      </c>
      <c r="FA57" t="e">
        <f>AND(medidas!AI99,"AAAAADv77pw=")</f>
        <v>#VALUE!</v>
      </c>
      <c r="FB57" t="e">
        <f>AND(medidas!AJ99,"AAAAADv77p0=")</f>
        <v>#VALUE!</v>
      </c>
      <c r="FC57" t="e">
        <f>AND(medidas!AK99,"AAAAADv77p4=")</f>
        <v>#VALUE!</v>
      </c>
      <c r="FD57" t="e">
        <f>AND(medidas!AL99,"AAAAADv77p8=")</f>
        <v>#VALUE!</v>
      </c>
      <c r="FE57" t="e">
        <f>AND(medidas!AM99,"AAAAADv77qA=")</f>
        <v>#VALUE!</v>
      </c>
      <c r="FF57" t="e">
        <f>AND(medidas!AN99,"AAAAADv77qE=")</f>
        <v>#VALUE!</v>
      </c>
      <c r="FG57" t="e">
        <f>AND(medidas!AO99,"AAAAADv77qI=")</f>
        <v>#VALUE!</v>
      </c>
      <c r="FH57" t="e">
        <f>AND(medidas!AP99,"AAAAADv77qM=")</f>
        <v>#VALUE!</v>
      </c>
      <c r="FI57" t="e">
        <f>AND(medidas!AQ99,"AAAAADv77qQ=")</f>
        <v>#VALUE!</v>
      </c>
      <c r="FJ57" t="e">
        <f>AND(medidas!AR99,"AAAAADv77qU=")</f>
        <v>#VALUE!</v>
      </c>
      <c r="FK57" t="e">
        <f>AND(medidas!AS99,"AAAAADv77qY=")</f>
        <v>#VALUE!</v>
      </c>
      <c r="FL57" t="e">
        <f>AND(medidas!AT99,"AAAAADv77qc=")</f>
        <v>#VALUE!</v>
      </c>
      <c r="FM57" t="e">
        <f>AND(medidas!AU99,"AAAAADv77qg=")</f>
        <v>#VALUE!</v>
      </c>
      <c r="FN57" t="e">
        <f>AND(medidas!AV99,"AAAAADv77qk=")</f>
        <v>#VALUE!</v>
      </c>
      <c r="FO57" t="e">
        <f>AND(medidas!AW99,"AAAAADv77qo=")</f>
        <v>#VALUE!</v>
      </c>
      <c r="FP57" t="e">
        <f>AND(medidas!AX99,"AAAAADv77qs=")</f>
        <v>#VALUE!</v>
      </c>
      <c r="FQ57" t="e">
        <f>AND(medidas!AY99,"AAAAADv77qw=")</f>
        <v>#VALUE!</v>
      </c>
      <c r="FR57" t="e">
        <f>AND(medidas!AZ99,"AAAAADv77q0=")</f>
        <v>#VALUE!</v>
      </c>
      <c r="FS57" t="e">
        <f>AND(medidas!BA99,"AAAAADv77q4=")</f>
        <v>#VALUE!</v>
      </c>
      <c r="FT57" t="e">
        <f>AND(medidas!BB99,"AAAAADv77q8=")</f>
        <v>#VALUE!</v>
      </c>
      <c r="FU57" t="e">
        <f>AND(medidas!BC99,"AAAAADv77rA=")</f>
        <v>#VALUE!</v>
      </c>
      <c r="FV57" t="e">
        <f>AND(medidas!BD99,"AAAAADv77rE=")</f>
        <v>#VALUE!</v>
      </c>
      <c r="FW57" t="e">
        <f>AND(medidas!BE99,"AAAAADv77rI=")</f>
        <v>#VALUE!</v>
      </c>
      <c r="FX57" t="e">
        <f>AND(medidas!BF99,"AAAAADv77rM=")</f>
        <v>#VALUE!</v>
      </c>
      <c r="FY57" t="e">
        <f>AND(medidas!BG99,"AAAAADv77rQ=")</f>
        <v>#VALUE!</v>
      </c>
      <c r="FZ57" t="e">
        <f>AND(medidas!BH99,"AAAAADv77rU=")</f>
        <v>#VALUE!</v>
      </c>
      <c r="GA57" t="e">
        <f>AND(medidas!BI99,"AAAAADv77rY=")</f>
        <v>#VALUE!</v>
      </c>
      <c r="GB57" t="e">
        <f>AND(medidas!BJ99,"AAAAADv77rc=")</f>
        <v>#VALUE!</v>
      </c>
      <c r="GC57" t="e">
        <f>AND(medidas!BK99,"AAAAADv77rg=")</f>
        <v>#VALUE!</v>
      </c>
      <c r="GD57" t="e">
        <f>AND(medidas!BL99,"AAAAADv77rk=")</f>
        <v>#VALUE!</v>
      </c>
      <c r="GE57" t="e">
        <f>AND(medidas!BM99,"AAAAADv77ro=")</f>
        <v>#VALUE!</v>
      </c>
      <c r="GF57" t="e">
        <f>AND(medidas!BN99,"AAAAADv77rs=")</f>
        <v>#VALUE!</v>
      </c>
      <c r="GG57" t="e">
        <f>AND(medidas!BO99,"AAAAADv77rw=")</f>
        <v>#VALUE!</v>
      </c>
      <c r="GH57" t="e">
        <f>AND(medidas!BP99,"AAAAADv77r0=")</f>
        <v>#VALUE!</v>
      </c>
      <c r="GI57" t="e">
        <f>AND(medidas!BQ99,"AAAAADv77r4=")</f>
        <v>#VALUE!</v>
      </c>
      <c r="GJ57" t="e">
        <f>AND(medidas!BR99,"AAAAADv77r8=")</f>
        <v>#VALUE!</v>
      </c>
      <c r="GK57" t="e">
        <f>AND(medidas!BS99,"AAAAADv77sA=")</f>
        <v>#VALUE!</v>
      </c>
      <c r="GL57" t="e">
        <f>AND(medidas!BT99,"AAAAADv77sE=")</f>
        <v>#VALUE!</v>
      </c>
      <c r="GM57" t="e">
        <f>AND(medidas!BU99,"AAAAADv77sI=")</f>
        <v>#VALUE!</v>
      </c>
      <c r="GN57" t="e">
        <f>AND(medidas!BV99,"AAAAADv77sM=")</f>
        <v>#VALUE!</v>
      </c>
      <c r="GO57" t="e">
        <f>AND(medidas!BW99,"AAAAADv77sQ=")</f>
        <v>#VALUE!</v>
      </c>
      <c r="GP57" t="e">
        <f>AND(medidas!BX99,"AAAAADv77sU=")</f>
        <v>#VALUE!</v>
      </c>
      <c r="GQ57" t="e">
        <f>AND(medidas!BY99,"AAAAADv77sY=")</f>
        <v>#VALUE!</v>
      </c>
      <c r="GR57">
        <f>IF(medidas!100:100,"AAAAADv77sc=",0)</f>
        <v>0</v>
      </c>
      <c r="GS57" t="e">
        <f>AND(medidas!B100,"AAAAADv77sg=")</f>
        <v>#VALUE!</v>
      </c>
      <c r="GT57" t="e">
        <f>AND(medidas!C100,"AAAAADv77sk=")</f>
        <v>#VALUE!</v>
      </c>
      <c r="GU57" t="e">
        <f>AND(medidas!D100,"AAAAADv77so=")</f>
        <v>#VALUE!</v>
      </c>
      <c r="GV57" t="e">
        <f>AND(medidas!E100,"AAAAADv77ss=")</f>
        <v>#VALUE!</v>
      </c>
      <c r="GW57" t="e">
        <f>AND(medidas!F100,"AAAAADv77sw=")</f>
        <v>#VALUE!</v>
      </c>
      <c r="GX57" t="e">
        <f>AND(medidas!G100,"AAAAADv77s0=")</f>
        <v>#VALUE!</v>
      </c>
      <c r="GY57" t="e">
        <f>AND(medidas!H100,"AAAAADv77s4=")</f>
        <v>#VALUE!</v>
      </c>
      <c r="GZ57" t="e">
        <f>AND(medidas!I100,"AAAAADv77s8=")</f>
        <v>#VALUE!</v>
      </c>
      <c r="HA57" t="e">
        <f>AND(medidas!J100,"AAAAADv77tA=")</f>
        <v>#VALUE!</v>
      </c>
      <c r="HB57" t="e">
        <f>AND(medidas!K100,"AAAAADv77tE=")</f>
        <v>#VALUE!</v>
      </c>
      <c r="HC57" t="e">
        <f>AND(medidas!L100,"AAAAADv77tI=")</f>
        <v>#VALUE!</v>
      </c>
      <c r="HD57" t="e">
        <f>AND(medidas!M100,"AAAAADv77tM=")</f>
        <v>#VALUE!</v>
      </c>
      <c r="HE57" t="e">
        <f>AND(medidas!N100,"AAAAADv77tQ=")</f>
        <v>#VALUE!</v>
      </c>
      <c r="HF57" t="e">
        <f>AND(medidas!O100,"AAAAADv77tU=")</f>
        <v>#VALUE!</v>
      </c>
      <c r="HG57" t="e">
        <f>AND(medidas!P100,"AAAAADv77tY=")</f>
        <v>#VALUE!</v>
      </c>
      <c r="HH57" t="e">
        <f>AND(medidas!Q100,"AAAAADv77tc=")</f>
        <v>#VALUE!</v>
      </c>
      <c r="HI57" t="e">
        <f>AND(medidas!R100,"AAAAADv77tg=")</f>
        <v>#VALUE!</v>
      </c>
      <c r="HJ57" t="e">
        <f>AND(medidas!S100,"AAAAADv77tk=")</f>
        <v>#VALUE!</v>
      </c>
      <c r="HK57" t="e">
        <f>AND(medidas!T100,"AAAAADv77to=")</f>
        <v>#VALUE!</v>
      </c>
      <c r="HL57" t="e">
        <f>AND(medidas!U100,"AAAAADv77ts=")</f>
        <v>#VALUE!</v>
      </c>
      <c r="HM57" t="e">
        <f>AND(medidas!V100,"AAAAADv77tw=")</f>
        <v>#VALUE!</v>
      </c>
      <c r="HN57" t="e">
        <f>AND(medidas!W100,"AAAAADv77t0=")</f>
        <v>#VALUE!</v>
      </c>
      <c r="HO57" t="e">
        <f>AND(medidas!X100,"AAAAADv77t4=")</f>
        <v>#VALUE!</v>
      </c>
      <c r="HP57" t="e">
        <f>AND(medidas!Y100,"AAAAADv77t8=")</f>
        <v>#VALUE!</v>
      </c>
      <c r="HQ57" t="e">
        <f>AND(medidas!Z100,"AAAAADv77uA=")</f>
        <v>#VALUE!</v>
      </c>
      <c r="HR57" t="e">
        <f>AND(medidas!AA100,"AAAAADv77uE=")</f>
        <v>#VALUE!</v>
      </c>
      <c r="HS57" t="e">
        <f>AND(medidas!AB100,"AAAAADv77uI=")</f>
        <v>#VALUE!</v>
      </c>
      <c r="HT57" t="e">
        <f>AND(medidas!AC100,"AAAAADv77uM=")</f>
        <v>#VALUE!</v>
      </c>
      <c r="HU57" t="e">
        <f>AND(medidas!AD100,"AAAAADv77uQ=")</f>
        <v>#VALUE!</v>
      </c>
      <c r="HV57" t="e">
        <f>AND(medidas!AE100,"AAAAADv77uU=")</f>
        <v>#VALUE!</v>
      </c>
      <c r="HW57" t="e">
        <f>AND(medidas!AF100,"AAAAADv77uY=")</f>
        <v>#VALUE!</v>
      </c>
      <c r="HX57" t="e">
        <f>AND(medidas!AG100,"AAAAADv77uc=")</f>
        <v>#VALUE!</v>
      </c>
      <c r="HY57" t="e">
        <f>AND(medidas!AH100,"AAAAADv77ug=")</f>
        <v>#VALUE!</v>
      </c>
      <c r="HZ57" t="e">
        <f>AND(medidas!AI100,"AAAAADv77uk=")</f>
        <v>#VALUE!</v>
      </c>
      <c r="IA57" t="e">
        <f>AND(medidas!AJ100,"AAAAADv77uo=")</f>
        <v>#VALUE!</v>
      </c>
      <c r="IB57" t="e">
        <f>AND(medidas!AK100,"AAAAADv77us=")</f>
        <v>#VALUE!</v>
      </c>
      <c r="IC57" t="e">
        <f>AND(medidas!AL100,"AAAAADv77uw=")</f>
        <v>#VALUE!</v>
      </c>
      <c r="ID57" t="e">
        <f>AND(medidas!AM100,"AAAAADv77u0=")</f>
        <v>#VALUE!</v>
      </c>
      <c r="IE57" t="e">
        <f>AND(medidas!AN100,"AAAAADv77u4=")</f>
        <v>#VALUE!</v>
      </c>
      <c r="IF57" t="e">
        <f>AND(medidas!AO100,"AAAAADv77u8=")</f>
        <v>#VALUE!</v>
      </c>
      <c r="IG57" t="e">
        <f>AND(medidas!AP100,"AAAAADv77vA=")</f>
        <v>#VALUE!</v>
      </c>
      <c r="IH57" t="e">
        <f>AND(medidas!AQ100,"AAAAADv77vE=")</f>
        <v>#VALUE!</v>
      </c>
      <c r="II57" t="e">
        <f>AND(medidas!AR100,"AAAAADv77vI=")</f>
        <v>#VALUE!</v>
      </c>
      <c r="IJ57" t="e">
        <f>AND(medidas!AS100,"AAAAADv77vM=")</f>
        <v>#VALUE!</v>
      </c>
      <c r="IK57" t="e">
        <f>AND(medidas!AT100,"AAAAADv77vQ=")</f>
        <v>#VALUE!</v>
      </c>
      <c r="IL57" t="e">
        <f>AND(medidas!AU100,"AAAAADv77vU=")</f>
        <v>#VALUE!</v>
      </c>
      <c r="IM57" t="e">
        <f>AND(medidas!AV100,"AAAAADv77vY=")</f>
        <v>#VALUE!</v>
      </c>
      <c r="IN57" t="e">
        <f>AND(medidas!AW100,"AAAAADv77vc=")</f>
        <v>#VALUE!</v>
      </c>
      <c r="IO57" t="e">
        <f>AND(medidas!AX100,"AAAAADv77vg=")</f>
        <v>#VALUE!</v>
      </c>
      <c r="IP57" t="e">
        <f>AND(medidas!AY100,"AAAAADv77vk=")</f>
        <v>#VALUE!</v>
      </c>
      <c r="IQ57" t="e">
        <f>AND(medidas!AZ100,"AAAAADv77vo=")</f>
        <v>#VALUE!</v>
      </c>
      <c r="IR57" t="e">
        <f>AND(medidas!BA100,"AAAAADv77vs=")</f>
        <v>#VALUE!</v>
      </c>
      <c r="IS57" t="e">
        <f>AND(medidas!BB100,"AAAAADv77vw=")</f>
        <v>#VALUE!</v>
      </c>
      <c r="IT57" t="e">
        <f>AND(medidas!BC100,"AAAAADv77v0=")</f>
        <v>#VALUE!</v>
      </c>
      <c r="IU57" t="e">
        <f>AND(medidas!BD100,"AAAAADv77v4=")</f>
        <v>#VALUE!</v>
      </c>
      <c r="IV57" t="e">
        <f>AND(medidas!BE100,"AAAAADv77v8=")</f>
        <v>#VALUE!</v>
      </c>
    </row>
    <row r="58" spans="1:256" x14ac:dyDescent="0.2">
      <c r="A58" t="e">
        <f>AND(medidas!BF100,"AAAAAEv97wA=")</f>
        <v>#VALUE!</v>
      </c>
      <c r="B58" t="e">
        <f>AND(medidas!BG100,"AAAAAEv97wE=")</f>
        <v>#VALUE!</v>
      </c>
      <c r="C58" t="e">
        <f>AND(medidas!BH100,"AAAAAEv97wI=")</f>
        <v>#VALUE!</v>
      </c>
      <c r="D58" t="e">
        <f>AND(medidas!BI100,"AAAAAEv97wM=")</f>
        <v>#VALUE!</v>
      </c>
      <c r="E58" t="e">
        <f>AND(medidas!BJ100,"AAAAAEv97wQ=")</f>
        <v>#VALUE!</v>
      </c>
      <c r="F58" t="e">
        <f>AND(medidas!BK100,"AAAAAEv97wU=")</f>
        <v>#VALUE!</v>
      </c>
      <c r="G58" t="e">
        <f>AND(medidas!BL100,"AAAAAEv97wY=")</f>
        <v>#VALUE!</v>
      </c>
      <c r="H58" t="e">
        <f>AND(medidas!BM100,"AAAAAEv97wc=")</f>
        <v>#VALUE!</v>
      </c>
      <c r="I58" t="e">
        <f>AND(medidas!BN100,"AAAAAEv97wg=")</f>
        <v>#VALUE!</v>
      </c>
      <c r="J58" t="e">
        <f>AND(medidas!BO100,"AAAAAEv97wk=")</f>
        <v>#VALUE!</v>
      </c>
      <c r="K58" t="e">
        <f>AND(medidas!BP100,"AAAAAEv97wo=")</f>
        <v>#VALUE!</v>
      </c>
      <c r="L58" t="e">
        <f>AND(medidas!BQ100,"AAAAAEv97ws=")</f>
        <v>#VALUE!</v>
      </c>
      <c r="M58" t="e">
        <f>AND(medidas!BR100,"AAAAAEv97ww=")</f>
        <v>#VALUE!</v>
      </c>
      <c r="N58" t="e">
        <f>AND(medidas!BS100,"AAAAAEv97w0=")</f>
        <v>#VALUE!</v>
      </c>
      <c r="O58" t="e">
        <f>AND(medidas!BT100,"AAAAAEv97w4=")</f>
        <v>#VALUE!</v>
      </c>
      <c r="P58" t="e">
        <f>AND(medidas!BU100,"AAAAAEv97w8=")</f>
        <v>#VALUE!</v>
      </c>
      <c r="Q58" t="e">
        <f>AND(medidas!BV100,"AAAAAEv97xA=")</f>
        <v>#VALUE!</v>
      </c>
      <c r="R58" t="e">
        <f>AND(medidas!BW100,"AAAAAEv97xE=")</f>
        <v>#VALUE!</v>
      </c>
      <c r="S58" t="e">
        <f>AND(medidas!BX100,"AAAAAEv97xI=")</f>
        <v>#VALUE!</v>
      </c>
      <c r="T58" t="e">
        <f>AND(medidas!BY100,"AAAAAEv97xM=")</f>
        <v>#VALUE!</v>
      </c>
      <c r="U58">
        <f>IF(medidas!101:101,"AAAAAEv97xQ=",0)</f>
        <v>0</v>
      </c>
      <c r="V58" t="e">
        <f>AND(medidas!B101,"AAAAAEv97xU=")</f>
        <v>#VALUE!</v>
      </c>
      <c r="W58" t="e">
        <f>AND(medidas!C101,"AAAAAEv97xY=")</f>
        <v>#VALUE!</v>
      </c>
      <c r="X58" t="e">
        <f>AND(medidas!D101,"AAAAAEv97xc=")</f>
        <v>#VALUE!</v>
      </c>
      <c r="Y58" t="e">
        <f>AND(medidas!E101,"AAAAAEv97xg=")</f>
        <v>#VALUE!</v>
      </c>
      <c r="Z58" t="e">
        <f>AND(medidas!F101,"AAAAAEv97xk=")</f>
        <v>#VALUE!</v>
      </c>
      <c r="AA58" t="e">
        <f>AND(medidas!G101,"AAAAAEv97xo=")</f>
        <v>#VALUE!</v>
      </c>
      <c r="AB58" t="e">
        <f>AND(medidas!H101,"AAAAAEv97xs=")</f>
        <v>#VALUE!</v>
      </c>
      <c r="AC58" t="e">
        <f>AND(medidas!I101,"AAAAAEv97xw=")</f>
        <v>#VALUE!</v>
      </c>
      <c r="AD58" t="e">
        <f>AND(medidas!J101,"AAAAAEv97x0=")</f>
        <v>#VALUE!</v>
      </c>
      <c r="AE58" t="e">
        <f>AND(medidas!K101,"AAAAAEv97x4=")</f>
        <v>#VALUE!</v>
      </c>
      <c r="AF58" t="e">
        <f>AND(medidas!L101,"AAAAAEv97x8=")</f>
        <v>#VALUE!</v>
      </c>
      <c r="AG58" t="e">
        <f>AND(medidas!M101,"AAAAAEv97yA=")</f>
        <v>#VALUE!</v>
      </c>
      <c r="AH58" t="e">
        <f>AND(medidas!N101,"AAAAAEv97yE=")</f>
        <v>#VALUE!</v>
      </c>
      <c r="AI58" t="e">
        <f>AND(medidas!O101,"AAAAAEv97yI=")</f>
        <v>#VALUE!</v>
      </c>
      <c r="AJ58" t="e">
        <f>AND(medidas!P101,"AAAAAEv97yM=")</f>
        <v>#VALUE!</v>
      </c>
      <c r="AK58" t="e">
        <f>AND(medidas!Q101,"AAAAAEv97yQ=")</f>
        <v>#VALUE!</v>
      </c>
      <c r="AL58" t="e">
        <f>AND(medidas!R101,"AAAAAEv97yU=")</f>
        <v>#VALUE!</v>
      </c>
      <c r="AM58" t="e">
        <f>AND(medidas!S101,"AAAAAEv97yY=")</f>
        <v>#VALUE!</v>
      </c>
      <c r="AN58" t="e">
        <f>AND(medidas!T101,"AAAAAEv97yc=")</f>
        <v>#VALUE!</v>
      </c>
      <c r="AO58" t="e">
        <f>AND(medidas!U101,"AAAAAEv97yg=")</f>
        <v>#VALUE!</v>
      </c>
      <c r="AP58" t="e">
        <f>AND(medidas!V101,"AAAAAEv97yk=")</f>
        <v>#VALUE!</v>
      </c>
      <c r="AQ58" t="e">
        <f>AND(medidas!W101,"AAAAAEv97yo=")</f>
        <v>#VALUE!</v>
      </c>
      <c r="AR58" t="e">
        <f>AND(medidas!X101,"AAAAAEv97ys=")</f>
        <v>#VALUE!</v>
      </c>
      <c r="AS58" t="e">
        <f>AND(medidas!Y101,"AAAAAEv97yw=")</f>
        <v>#VALUE!</v>
      </c>
      <c r="AT58" t="e">
        <f>AND(medidas!Z101,"AAAAAEv97y0=")</f>
        <v>#VALUE!</v>
      </c>
      <c r="AU58" t="e">
        <f>AND(medidas!AA101,"AAAAAEv97y4=")</f>
        <v>#VALUE!</v>
      </c>
      <c r="AV58" t="e">
        <f>AND(medidas!AB101,"AAAAAEv97y8=")</f>
        <v>#VALUE!</v>
      </c>
      <c r="AW58" t="e">
        <f>AND(medidas!AC101,"AAAAAEv97zA=")</f>
        <v>#VALUE!</v>
      </c>
      <c r="AX58" t="e">
        <f>AND(medidas!AD101,"AAAAAEv97zE=")</f>
        <v>#VALUE!</v>
      </c>
      <c r="AY58" t="e">
        <f>AND(medidas!AE101,"AAAAAEv97zI=")</f>
        <v>#VALUE!</v>
      </c>
      <c r="AZ58" t="e">
        <f>AND(medidas!AF101,"AAAAAEv97zM=")</f>
        <v>#VALUE!</v>
      </c>
      <c r="BA58" t="e">
        <f>AND(medidas!AG101,"AAAAAEv97zQ=")</f>
        <v>#VALUE!</v>
      </c>
      <c r="BB58" t="e">
        <f>AND(medidas!AH101,"AAAAAEv97zU=")</f>
        <v>#VALUE!</v>
      </c>
      <c r="BC58" t="e">
        <f>AND(medidas!AI101,"AAAAAEv97zY=")</f>
        <v>#VALUE!</v>
      </c>
      <c r="BD58" t="e">
        <f>AND(medidas!AJ101,"AAAAAEv97zc=")</f>
        <v>#VALUE!</v>
      </c>
      <c r="BE58" t="e">
        <f>AND(medidas!AK101,"AAAAAEv97zg=")</f>
        <v>#VALUE!</v>
      </c>
      <c r="BF58" t="e">
        <f>AND(medidas!AL101,"AAAAAEv97zk=")</f>
        <v>#VALUE!</v>
      </c>
      <c r="BG58" t="e">
        <f>AND(medidas!AM101,"AAAAAEv97zo=")</f>
        <v>#VALUE!</v>
      </c>
      <c r="BH58" t="e">
        <f>AND(medidas!AN101,"AAAAAEv97zs=")</f>
        <v>#VALUE!</v>
      </c>
      <c r="BI58" t="e">
        <f>AND(medidas!AO101,"AAAAAEv97zw=")</f>
        <v>#VALUE!</v>
      </c>
      <c r="BJ58" t="e">
        <f>AND(medidas!AP101,"AAAAAEv97z0=")</f>
        <v>#VALUE!</v>
      </c>
      <c r="BK58" t="e">
        <f>AND(medidas!AQ101,"AAAAAEv97z4=")</f>
        <v>#VALUE!</v>
      </c>
      <c r="BL58" t="e">
        <f>AND(medidas!AR101,"AAAAAEv97z8=")</f>
        <v>#VALUE!</v>
      </c>
      <c r="BM58" t="e">
        <f>AND(medidas!AS101,"AAAAAEv970A=")</f>
        <v>#VALUE!</v>
      </c>
      <c r="BN58" t="e">
        <f>AND(medidas!AT101,"AAAAAEv970E=")</f>
        <v>#VALUE!</v>
      </c>
      <c r="BO58" t="e">
        <f>AND(medidas!AU101,"AAAAAEv970I=")</f>
        <v>#VALUE!</v>
      </c>
      <c r="BP58" t="e">
        <f>AND(medidas!AV101,"AAAAAEv970M=")</f>
        <v>#VALUE!</v>
      </c>
      <c r="BQ58" t="e">
        <f>AND(medidas!AW101,"AAAAAEv970Q=")</f>
        <v>#VALUE!</v>
      </c>
      <c r="BR58" t="e">
        <f>AND(medidas!AX101,"AAAAAEv970U=")</f>
        <v>#VALUE!</v>
      </c>
      <c r="BS58" t="e">
        <f>AND(medidas!AY101,"AAAAAEv970Y=")</f>
        <v>#VALUE!</v>
      </c>
      <c r="BT58" t="e">
        <f>AND(medidas!AZ101,"AAAAAEv970c=")</f>
        <v>#VALUE!</v>
      </c>
      <c r="BU58" t="e">
        <f>AND(medidas!BA101,"AAAAAEv970g=")</f>
        <v>#VALUE!</v>
      </c>
      <c r="BV58" t="e">
        <f>AND(medidas!BB101,"AAAAAEv970k=")</f>
        <v>#VALUE!</v>
      </c>
      <c r="BW58" t="e">
        <f>AND(medidas!BC101,"AAAAAEv970o=")</f>
        <v>#VALUE!</v>
      </c>
      <c r="BX58" t="e">
        <f>AND(medidas!BD101,"AAAAAEv970s=")</f>
        <v>#VALUE!</v>
      </c>
      <c r="BY58" t="e">
        <f>AND(medidas!BE101,"AAAAAEv970w=")</f>
        <v>#VALUE!</v>
      </c>
      <c r="BZ58" t="e">
        <f>AND(medidas!BF101,"AAAAAEv9700=")</f>
        <v>#VALUE!</v>
      </c>
      <c r="CA58" t="e">
        <f>AND(medidas!BG101,"AAAAAEv9704=")</f>
        <v>#VALUE!</v>
      </c>
      <c r="CB58" t="e">
        <f>AND(medidas!BH101,"AAAAAEv9708=")</f>
        <v>#VALUE!</v>
      </c>
      <c r="CC58" t="e">
        <f>AND(medidas!BI101,"AAAAAEv971A=")</f>
        <v>#VALUE!</v>
      </c>
      <c r="CD58" t="e">
        <f>AND(medidas!BJ101,"AAAAAEv971E=")</f>
        <v>#VALUE!</v>
      </c>
      <c r="CE58" t="e">
        <f>AND(medidas!BK101,"AAAAAEv971I=")</f>
        <v>#VALUE!</v>
      </c>
      <c r="CF58" t="e">
        <f>AND(medidas!BL101,"AAAAAEv971M=")</f>
        <v>#VALUE!</v>
      </c>
      <c r="CG58" t="e">
        <f>AND(medidas!BM101,"AAAAAEv971Q=")</f>
        <v>#VALUE!</v>
      </c>
      <c r="CH58" t="e">
        <f>AND(medidas!BN101,"AAAAAEv971U=")</f>
        <v>#VALUE!</v>
      </c>
      <c r="CI58" t="e">
        <f>AND(medidas!BO101,"AAAAAEv971Y=")</f>
        <v>#VALUE!</v>
      </c>
      <c r="CJ58" t="e">
        <f>AND(medidas!BP101,"AAAAAEv971c=")</f>
        <v>#VALUE!</v>
      </c>
      <c r="CK58" t="e">
        <f>AND(medidas!BQ101,"AAAAAEv971g=")</f>
        <v>#VALUE!</v>
      </c>
      <c r="CL58" t="e">
        <f>AND(medidas!BR101,"AAAAAEv971k=")</f>
        <v>#VALUE!</v>
      </c>
      <c r="CM58" t="e">
        <f>AND(medidas!BS101,"AAAAAEv971o=")</f>
        <v>#VALUE!</v>
      </c>
      <c r="CN58" t="e">
        <f>AND(medidas!BT101,"AAAAAEv971s=")</f>
        <v>#VALUE!</v>
      </c>
      <c r="CO58" t="e">
        <f>AND(medidas!BU101,"AAAAAEv971w=")</f>
        <v>#VALUE!</v>
      </c>
      <c r="CP58" t="e">
        <f>AND(medidas!BV101,"AAAAAEv9710=")</f>
        <v>#VALUE!</v>
      </c>
      <c r="CQ58" t="e">
        <f>AND(medidas!BW101,"AAAAAEv9714=")</f>
        <v>#VALUE!</v>
      </c>
      <c r="CR58" t="e">
        <f>AND(medidas!BX101,"AAAAAEv9718=")</f>
        <v>#VALUE!</v>
      </c>
      <c r="CS58" t="e">
        <f>AND(medidas!BY101,"AAAAAEv972A=")</f>
        <v>#VALUE!</v>
      </c>
      <c r="CT58">
        <f>IF(medidas!102:102,"AAAAAEv972E=",0)</f>
        <v>0</v>
      </c>
      <c r="CU58" t="e">
        <f>AND(medidas!B102,"AAAAAEv972I=")</f>
        <v>#VALUE!</v>
      </c>
      <c r="CV58" t="e">
        <f>AND(medidas!C102,"AAAAAEv972M=")</f>
        <v>#VALUE!</v>
      </c>
      <c r="CW58" t="e">
        <f>AND(medidas!D102,"AAAAAEv972Q=")</f>
        <v>#VALUE!</v>
      </c>
      <c r="CX58" t="e">
        <f>AND(medidas!E102,"AAAAAEv972U=")</f>
        <v>#VALUE!</v>
      </c>
      <c r="CY58" t="e">
        <f>AND(medidas!F102,"AAAAAEv972Y=")</f>
        <v>#VALUE!</v>
      </c>
      <c r="CZ58" t="e">
        <f>AND(medidas!G102,"AAAAAEv972c=")</f>
        <v>#VALUE!</v>
      </c>
      <c r="DA58" t="e">
        <f>AND(medidas!H102,"AAAAAEv972g=")</f>
        <v>#VALUE!</v>
      </c>
      <c r="DB58" t="e">
        <f>AND(medidas!I102,"AAAAAEv972k=")</f>
        <v>#VALUE!</v>
      </c>
      <c r="DC58" t="e">
        <f>AND(medidas!J102,"AAAAAEv972o=")</f>
        <v>#VALUE!</v>
      </c>
      <c r="DD58" t="e">
        <f>AND(medidas!K102,"AAAAAEv972s=")</f>
        <v>#VALUE!</v>
      </c>
      <c r="DE58" t="e">
        <f>AND(medidas!L102,"AAAAAEv972w=")</f>
        <v>#VALUE!</v>
      </c>
      <c r="DF58" t="e">
        <f>AND(medidas!M102,"AAAAAEv9720=")</f>
        <v>#VALUE!</v>
      </c>
      <c r="DG58" t="e">
        <f>AND(medidas!N102,"AAAAAEv9724=")</f>
        <v>#VALUE!</v>
      </c>
      <c r="DH58" t="e">
        <f>AND(medidas!O102,"AAAAAEv9728=")</f>
        <v>#VALUE!</v>
      </c>
      <c r="DI58" t="e">
        <f>AND(medidas!P102,"AAAAAEv973A=")</f>
        <v>#VALUE!</v>
      </c>
      <c r="DJ58" t="e">
        <f>AND(medidas!Q102,"AAAAAEv973E=")</f>
        <v>#VALUE!</v>
      </c>
      <c r="DK58" t="e">
        <f>AND(medidas!R102,"AAAAAEv973I=")</f>
        <v>#VALUE!</v>
      </c>
      <c r="DL58" t="e">
        <f>AND(medidas!S102,"AAAAAEv973M=")</f>
        <v>#VALUE!</v>
      </c>
      <c r="DM58" t="e">
        <f>AND(medidas!T102,"AAAAAEv973Q=")</f>
        <v>#VALUE!</v>
      </c>
      <c r="DN58" t="e">
        <f>AND(medidas!U102,"AAAAAEv973U=")</f>
        <v>#VALUE!</v>
      </c>
      <c r="DO58" t="e">
        <f>AND(medidas!V102,"AAAAAEv973Y=")</f>
        <v>#VALUE!</v>
      </c>
      <c r="DP58" t="e">
        <f>AND(medidas!W102,"AAAAAEv973c=")</f>
        <v>#VALUE!</v>
      </c>
      <c r="DQ58" t="e">
        <f>AND(medidas!X102,"AAAAAEv973g=")</f>
        <v>#VALUE!</v>
      </c>
      <c r="DR58" t="e">
        <f>AND(medidas!Y102,"AAAAAEv973k=")</f>
        <v>#VALUE!</v>
      </c>
      <c r="DS58" t="e">
        <f>AND(medidas!Z102,"AAAAAEv973o=")</f>
        <v>#VALUE!</v>
      </c>
      <c r="DT58" t="e">
        <f>AND(medidas!AA102,"AAAAAEv973s=")</f>
        <v>#VALUE!</v>
      </c>
      <c r="DU58" t="e">
        <f>AND(medidas!AB102,"AAAAAEv973w=")</f>
        <v>#VALUE!</v>
      </c>
      <c r="DV58" t="e">
        <f>AND(medidas!AC102,"AAAAAEv9730=")</f>
        <v>#VALUE!</v>
      </c>
      <c r="DW58" t="e">
        <f>AND(medidas!AD102,"AAAAAEv9734=")</f>
        <v>#VALUE!</v>
      </c>
      <c r="DX58" t="e">
        <f>AND(medidas!AE102,"AAAAAEv9738=")</f>
        <v>#VALUE!</v>
      </c>
      <c r="DY58" t="e">
        <f>AND(medidas!AF102,"AAAAAEv974A=")</f>
        <v>#VALUE!</v>
      </c>
      <c r="DZ58" t="e">
        <f>AND(medidas!AG102,"AAAAAEv974E=")</f>
        <v>#VALUE!</v>
      </c>
      <c r="EA58" t="e">
        <f>AND(medidas!AH102,"AAAAAEv974I=")</f>
        <v>#VALUE!</v>
      </c>
      <c r="EB58" t="e">
        <f>AND(medidas!AI102,"AAAAAEv974M=")</f>
        <v>#VALUE!</v>
      </c>
      <c r="EC58" t="e">
        <f>AND(medidas!AJ102,"AAAAAEv974Q=")</f>
        <v>#VALUE!</v>
      </c>
      <c r="ED58" t="e">
        <f>AND(medidas!AK102,"AAAAAEv974U=")</f>
        <v>#VALUE!</v>
      </c>
      <c r="EE58" t="e">
        <f>AND(medidas!AL102,"AAAAAEv974Y=")</f>
        <v>#VALUE!</v>
      </c>
      <c r="EF58" t="e">
        <f>AND(medidas!AM102,"AAAAAEv974c=")</f>
        <v>#VALUE!</v>
      </c>
      <c r="EG58" t="e">
        <f>AND(medidas!AN102,"AAAAAEv974g=")</f>
        <v>#VALUE!</v>
      </c>
      <c r="EH58" t="e">
        <f>AND(medidas!AO102,"AAAAAEv974k=")</f>
        <v>#VALUE!</v>
      </c>
      <c r="EI58" t="e">
        <f>AND(medidas!AP102,"AAAAAEv974o=")</f>
        <v>#VALUE!</v>
      </c>
      <c r="EJ58" t="e">
        <f>AND(medidas!AQ102,"AAAAAEv974s=")</f>
        <v>#VALUE!</v>
      </c>
      <c r="EK58" t="e">
        <f>AND(medidas!AR102,"AAAAAEv974w=")</f>
        <v>#VALUE!</v>
      </c>
      <c r="EL58" t="e">
        <f>AND(medidas!AS102,"AAAAAEv9740=")</f>
        <v>#VALUE!</v>
      </c>
      <c r="EM58" t="e">
        <f>AND(medidas!AT102,"AAAAAEv9744=")</f>
        <v>#VALUE!</v>
      </c>
      <c r="EN58" t="e">
        <f>AND(medidas!AU102,"AAAAAEv9748=")</f>
        <v>#VALUE!</v>
      </c>
      <c r="EO58" t="e">
        <f>AND(medidas!AV102,"AAAAAEv975A=")</f>
        <v>#VALUE!</v>
      </c>
      <c r="EP58" t="e">
        <f>AND(medidas!AW102,"AAAAAEv975E=")</f>
        <v>#VALUE!</v>
      </c>
      <c r="EQ58" t="e">
        <f>AND(medidas!AX102,"AAAAAEv975I=")</f>
        <v>#VALUE!</v>
      </c>
      <c r="ER58" t="e">
        <f>AND(medidas!AY102,"AAAAAEv975M=")</f>
        <v>#VALUE!</v>
      </c>
      <c r="ES58" t="e">
        <f>AND(medidas!AZ102,"AAAAAEv975Q=")</f>
        <v>#VALUE!</v>
      </c>
      <c r="ET58" t="e">
        <f>AND(medidas!BA102,"AAAAAEv975U=")</f>
        <v>#VALUE!</v>
      </c>
      <c r="EU58" t="e">
        <f>AND(medidas!BB102,"AAAAAEv975Y=")</f>
        <v>#VALUE!</v>
      </c>
      <c r="EV58" t="e">
        <f>AND(medidas!BC102,"AAAAAEv975c=")</f>
        <v>#VALUE!</v>
      </c>
      <c r="EW58" t="e">
        <f>AND(medidas!BD102,"AAAAAEv975g=")</f>
        <v>#VALUE!</v>
      </c>
      <c r="EX58" t="e">
        <f>AND(medidas!BE102,"AAAAAEv975k=")</f>
        <v>#VALUE!</v>
      </c>
      <c r="EY58" t="e">
        <f>AND(medidas!BF102,"AAAAAEv975o=")</f>
        <v>#VALUE!</v>
      </c>
      <c r="EZ58" t="e">
        <f>AND(medidas!BG102,"AAAAAEv975s=")</f>
        <v>#VALUE!</v>
      </c>
      <c r="FA58" t="e">
        <f>AND(medidas!BH102,"AAAAAEv975w=")</f>
        <v>#VALUE!</v>
      </c>
      <c r="FB58" t="e">
        <f>AND(medidas!BI102,"AAAAAEv9750=")</f>
        <v>#VALUE!</v>
      </c>
      <c r="FC58" t="e">
        <f>AND(medidas!BJ102,"AAAAAEv9754=")</f>
        <v>#VALUE!</v>
      </c>
      <c r="FD58" t="e">
        <f>AND(medidas!BK102,"AAAAAEv9758=")</f>
        <v>#VALUE!</v>
      </c>
      <c r="FE58" t="e">
        <f>AND(medidas!BL102,"AAAAAEv976A=")</f>
        <v>#VALUE!</v>
      </c>
      <c r="FF58" t="e">
        <f>AND(medidas!BM102,"AAAAAEv976E=")</f>
        <v>#VALUE!</v>
      </c>
      <c r="FG58" t="e">
        <f>AND(medidas!BN102,"AAAAAEv976I=")</f>
        <v>#VALUE!</v>
      </c>
      <c r="FH58" t="e">
        <f>AND(medidas!BO102,"AAAAAEv976M=")</f>
        <v>#VALUE!</v>
      </c>
      <c r="FI58" t="e">
        <f>AND(medidas!BP102,"AAAAAEv976Q=")</f>
        <v>#VALUE!</v>
      </c>
      <c r="FJ58" t="e">
        <f>AND(medidas!BQ102,"AAAAAEv976U=")</f>
        <v>#VALUE!</v>
      </c>
      <c r="FK58" t="e">
        <f>AND(medidas!BR102,"AAAAAEv976Y=")</f>
        <v>#VALUE!</v>
      </c>
      <c r="FL58" t="e">
        <f>AND(medidas!BS102,"AAAAAEv976c=")</f>
        <v>#VALUE!</v>
      </c>
      <c r="FM58" t="e">
        <f>AND(medidas!BT102,"AAAAAEv976g=")</f>
        <v>#VALUE!</v>
      </c>
      <c r="FN58" t="e">
        <f>AND(medidas!BU102,"AAAAAEv976k=")</f>
        <v>#VALUE!</v>
      </c>
      <c r="FO58" t="e">
        <f>AND(medidas!BV102,"AAAAAEv976o=")</f>
        <v>#VALUE!</v>
      </c>
      <c r="FP58" t="e">
        <f>AND(medidas!BW102,"AAAAAEv976s=")</f>
        <v>#VALUE!</v>
      </c>
      <c r="FQ58" t="e">
        <f>AND(medidas!BX102,"AAAAAEv976w=")</f>
        <v>#VALUE!</v>
      </c>
      <c r="FR58" t="e">
        <f>AND(medidas!BY102,"AAAAAEv9760=")</f>
        <v>#VALUE!</v>
      </c>
      <c r="FS58">
        <f>IF(medidas!103:103,"AAAAAEv9764=",0)</f>
        <v>0</v>
      </c>
      <c r="FT58" t="e">
        <f>AND(medidas!B103,"AAAAAEv9768=")</f>
        <v>#VALUE!</v>
      </c>
      <c r="FU58" t="e">
        <f>AND(medidas!C103,"AAAAAEv977A=")</f>
        <v>#VALUE!</v>
      </c>
      <c r="FV58" t="e">
        <f>AND(medidas!D103,"AAAAAEv977E=")</f>
        <v>#VALUE!</v>
      </c>
      <c r="FW58" t="e">
        <f>AND(medidas!E103,"AAAAAEv977I=")</f>
        <v>#VALUE!</v>
      </c>
      <c r="FX58" t="e">
        <f>AND(medidas!F103,"AAAAAEv977M=")</f>
        <v>#VALUE!</v>
      </c>
      <c r="FY58" t="e">
        <f>AND(medidas!G103,"AAAAAEv977Q=")</f>
        <v>#VALUE!</v>
      </c>
      <c r="FZ58" t="e">
        <f>AND(medidas!H103,"AAAAAEv977U=")</f>
        <v>#VALUE!</v>
      </c>
      <c r="GA58" t="e">
        <f>AND(medidas!I103,"AAAAAEv977Y=")</f>
        <v>#VALUE!</v>
      </c>
      <c r="GB58" t="e">
        <f>AND(medidas!J103,"AAAAAEv977c=")</f>
        <v>#VALUE!</v>
      </c>
      <c r="GC58" t="e">
        <f>AND(medidas!K103,"AAAAAEv977g=")</f>
        <v>#VALUE!</v>
      </c>
      <c r="GD58" t="e">
        <f>AND(medidas!L103,"AAAAAEv977k=")</f>
        <v>#VALUE!</v>
      </c>
      <c r="GE58" t="e">
        <f>AND(medidas!M103,"AAAAAEv977o=")</f>
        <v>#VALUE!</v>
      </c>
      <c r="GF58" t="e">
        <f>AND(medidas!N103,"AAAAAEv977s=")</f>
        <v>#VALUE!</v>
      </c>
      <c r="GG58" t="e">
        <f>AND(medidas!O103,"AAAAAEv977w=")</f>
        <v>#VALUE!</v>
      </c>
      <c r="GH58" t="e">
        <f>AND(medidas!P103,"AAAAAEv9770=")</f>
        <v>#VALUE!</v>
      </c>
      <c r="GI58" t="e">
        <f>AND(medidas!Q103,"AAAAAEv9774=")</f>
        <v>#VALUE!</v>
      </c>
      <c r="GJ58" t="e">
        <f>AND(medidas!R103,"AAAAAEv9778=")</f>
        <v>#VALUE!</v>
      </c>
      <c r="GK58" t="e">
        <f>AND(medidas!S103,"AAAAAEv978A=")</f>
        <v>#VALUE!</v>
      </c>
      <c r="GL58" t="e">
        <f>AND(medidas!T103,"AAAAAEv978E=")</f>
        <v>#VALUE!</v>
      </c>
      <c r="GM58" t="e">
        <f>AND(medidas!U103,"AAAAAEv978I=")</f>
        <v>#VALUE!</v>
      </c>
      <c r="GN58" t="e">
        <f>AND(medidas!V103,"AAAAAEv978M=")</f>
        <v>#VALUE!</v>
      </c>
      <c r="GO58" t="e">
        <f>AND(medidas!W103,"AAAAAEv978Q=")</f>
        <v>#VALUE!</v>
      </c>
      <c r="GP58" t="e">
        <f>AND(medidas!X103,"AAAAAEv978U=")</f>
        <v>#VALUE!</v>
      </c>
      <c r="GQ58" t="e">
        <f>AND(medidas!Y103,"AAAAAEv978Y=")</f>
        <v>#VALUE!</v>
      </c>
      <c r="GR58" t="e">
        <f>AND(medidas!Z103,"AAAAAEv978c=")</f>
        <v>#VALUE!</v>
      </c>
      <c r="GS58" t="e">
        <f>AND(medidas!AA103,"AAAAAEv978g=")</f>
        <v>#VALUE!</v>
      </c>
      <c r="GT58" t="e">
        <f>AND(medidas!AB103,"AAAAAEv978k=")</f>
        <v>#VALUE!</v>
      </c>
      <c r="GU58" t="e">
        <f>AND(medidas!AC103,"AAAAAEv978o=")</f>
        <v>#VALUE!</v>
      </c>
      <c r="GV58" t="e">
        <f>AND(medidas!AD103,"AAAAAEv978s=")</f>
        <v>#VALUE!</v>
      </c>
      <c r="GW58" t="e">
        <f>AND(medidas!AE103,"AAAAAEv978w=")</f>
        <v>#VALUE!</v>
      </c>
      <c r="GX58" t="e">
        <f>AND(medidas!AF103,"AAAAAEv9780=")</f>
        <v>#VALUE!</v>
      </c>
      <c r="GY58" t="e">
        <f>AND(medidas!AG103,"AAAAAEv9784=")</f>
        <v>#VALUE!</v>
      </c>
      <c r="GZ58" t="e">
        <f>AND(medidas!AH103,"AAAAAEv9788=")</f>
        <v>#VALUE!</v>
      </c>
      <c r="HA58" t="e">
        <f>AND(medidas!AI103,"AAAAAEv979A=")</f>
        <v>#VALUE!</v>
      </c>
      <c r="HB58" t="e">
        <f>AND(medidas!AJ103,"AAAAAEv979E=")</f>
        <v>#VALUE!</v>
      </c>
      <c r="HC58" t="e">
        <f>AND(medidas!AK103,"AAAAAEv979I=")</f>
        <v>#VALUE!</v>
      </c>
      <c r="HD58" t="e">
        <f>AND(medidas!AL103,"AAAAAEv979M=")</f>
        <v>#VALUE!</v>
      </c>
      <c r="HE58" t="e">
        <f>AND(medidas!AM103,"AAAAAEv979Q=")</f>
        <v>#VALUE!</v>
      </c>
      <c r="HF58" t="e">
        <f>AND(medidas!AN103,"AAAAAEv979U=")</f>
        <v>#VALUE!</v>
      </c>
      <c r="HG58" t="e">
        <f>AND(medidas!AO103,"AAAAAEv979Y=")</f>
        <v>#VALUE!</v>
      </c>
      <c r="HH58" t="e">
        <f>AND(medidas!AP103,"AAAAAEv979c=")</f>
        <v>#VALUE!</v>
      </c>
      <c r="HI58" t="e">
        <f>AND(medidas!AQ103,"AAAAAEv979g=")</f>
        <v>#VALUE!</v>
      </c>
      <c r="HJ58" t="e">
        <f>AND(medidas!AR103,"AAAAAEv979k=")</f>
        <v>#VALUE!</v>
      </c>
      <c r="HK58" t="e">
        <f>AND(medidas!AS103,"AAAAAEv979o=")</f>
        <v>#VALUE!</v>
      </c>
      <c r="HL58" t="e">
        <f>AND(medidas!AT103,"AAAAAEv979s=")</f>
        <v>#VALUE!</v>
      </c>
      <c r="HM58" t="e">
        <f>AND(medidas!AU103,"AAAAAEv979w=")</f>
        <v>#VALUE!</v>
      </c>
      <c r="HN58" t="e">
        <f>AND(medidas!AV103,"AAAAAEv9790=")</f>
        <v>#VALUE!</v>
      </c>
      <c r="HO58" t="e">
        <f>AND(medidas!AW103,"AAAAAEv9794=")</f>
        <v>#VALUE!</v>
      </c>
      <c r="HP58" t="e">
        <f>AND(medidas!AX103,"AAAAAEv9798=")</f>
        <v>#VALUE!</v>
      </c>
      <c r="HQ58" t="e">
        <f>AND(medidas!AY103,"AAAAAEv97+A=")</f>
        <v>#VALUE!</v>
      </c>
      <c r="HR58" t="e">
        <f>AND(medidas!AZ103,"AAAAAEv97+E=")</f>
        <v>#VALUE!</v>
      </c>
      <c r="HS58" t="e">
        <f>AND(medidas!BA103,"AAAAAEv97+I=")</f>
        <v>#VALUE!</v>
      </c>
      <c r="HT58" t="e">
        <f>AND(medidas!BB103,"AAAAAEv97+M=")</f>
        <v>#VALUE!</v>
      </c>
      <c r="HU58" t="e">
        <f>AND(medidas!BC103,"AAAAAEv97+Q=")</f>
        <v>#VALUE!</v>
      </c>
      <c r="HV58" t="e">
        <f>AND(medidas!BD103,"AAAAAEv97+U=")</f>
        <v>#VALUE!</v>
      </c>
      <c r="HW58" t="e">
        <f>AND(medidas!BE103,"AAAAAEv97+Y=")</f>
        <v>#VALUE!</v>
      </c>
      <c r="HX58" t="e">
        <f>AND(medidas!BF103,"AAAAAEv97+c=")</f>
        <v>#VALUE!</v>
      </c>
      <c r="HY58" t="e">
        <f>AND(medidas!BG103,"AAAAAEv97+g=")</f>
        <v>#VALUE!</v>
      </c>
      <c r="HZ58" t="e">
        <f>AND(medidas!BH103,"AAAAAEv97+k=")</f>
        <v>#VALUE!</v>
      </c>
      <c r="IA58" t="e">
        <f>AND(medidas!BI103,"AAAAAEv97+o=")</f>
        <v>#VALUE!</v>
      </c>
      <c r="IB58" t="e">
        <f>AND(medidas!BJ103,"AAAAAEv97+s=")</f>
        <v>#VALUE!</v>
      </c>
      <c r="IC58" t="e">
        <f>AND(medidas!BK103,"AAAAAEv97+w=")</f>
        <v>#VALUE!</v>
      </c>
      <c r="ID58" t="e">
        <f>AND(medidas!BL103,"AAAAAEv97+0=")</f>
        <v>#VALUE!</v>
      </c>
      <c r="IE58" t="e">
        <f>AND(medidas!BM103,"AAAAAEv97+4=")</f>
        <v>#VALUE!</v>
      </c>
      <c r="IF58" t="e">
        <f>AND(medidas!BN103,"AAAAAEv97+8=")</f>
        <v>#VALUE!</v>
      </c>
      <c r="IG58" t="e">
        <f>AND(medidas!BO103,"AAAAAEv97/A=")</f>
        <v>#VALUE!</v>
      </c>
      <c r="IH58" t="e">
        <f>AND(medidas!BP103,"AAAAAEv97/E=")</f>
        <v>#VALUE!</v>
      </c>
      <c r="II58" t="e">
        <f>AND(medidas!BQ103,"AAAAAEv97/I=")</f>
        <v>#VALUE!</v>
      </c>
      <c r="IJ58" t="e">
        <f>AND(medidas!BR103,"AAAAAEv97/M=")</f>
        <v>#VALUE!</v>
      </c>
      <c r="IK58" t="e">
        <f>AND(medidas!BS103,"AAAAAEv97/Q=")</f>
        <v>#VALUE!</v>
      </c>
      <c r="IL58" t="e">
        <f>AND(medidas!BT103,"AAAAAEv97/U=")</f>
        <v>#VALUE!</v>
      </c>
      <c r="IM58" t="e">
        <f>AND(medidas!BU103,"AAAAAEv97/Y=")</f>
        <v>#VALUE!</v>
      </c>
      <c r="IN58" t="e">
        <f>AND(medidas!BV103,"AAAAAEv97/c=")</f>
        <v>#VALUE!</v>
      </c>
      <c r="IO58" t="e">
        <f>AND(medidas!BW103,"AAAAAEv97/g=")</f>
        <v>#VALUE!</v>
      </c>
      <c r="IP58" t="e">
        <f>AND(medidas!BX103,"AAAAAEv97/k=")</f>
        <v>#VALUE!</v>
      </c>
      <c r="IQ58" t="e">
        <f>AND(medidas!BY103,"AAAAAEv97/o=")</f>
        <v>#VALUE!</v>
      </c>
      <c r="IR58">
        <f>IF(medidas!104:104,"AAAAAEv97/s=",0)</f>
        <v>0</v>
      </c>
      <c r="IS58" t="e">
        <f>AND(medidas!B104,"AAAAAEv97/w=")</f>
        <v>#VALUE!</v>
      </c>
      <c r="IT58" t="e">
        <f>AND(medidas!C104,"AAAAAEv97/0=")</f>
        <v>#VALUE!</v>
      </c>
      <c r="IU58" t="e">
        <f>AND(medidas!D104,"AAAAAEv97/4=")</f>
        <v>#VALUE!</v>
      </c>
      <c r="IV58" t="e">
        <f>AND(medidas!E104,"AAAAAEv97/8=")</f>
        <v>#VALUE!</v>
      </c>
    </row>
    <row r="59" spans="1:256" x14ac:dyDescent="0.2">
      <c r="A59" t="e">
        <f>AND(medidas!F104,"AAAAAFt88QA=")</f>
        <v>#VALUE!</v>
      </c>
      <c r="B59" t="e">
        <f>AND(medidas!G104,"AAAAAFt88QE=")</f>
        <v>#VALUE!</v>
      </c>
      <c r="C59" t="e">
        <f>AND(medidas!H104,"AAAAAFt88QI=")</f>
        <v>#VALUE!</v>
      </c>
      <c r="D59" t="e">
        <f>AND(medidas!I104,"AAAAAFt88QM=")</f>
        <v>#VALUE!</v>
      </c>
      <c r="E59" t="e">
        <f>AND(medidas!J104,"AAAAAFt88QQ=")</f>
        <v>#VALUE!</v>
      </c>
      <c r="F59" t="e">
        <f>AND(medidas!K104,"AAAAAFt88QU=")</f>
        <v>#VALUE!</v>
      </c>
      <c r="G59" t="e">
        <f>AND(medidas!L104,"AAAAAFt88QY=")</f>
        <v>#VALUE!</v>
      </c>
      <c r="H59" t="e">
        <f>AND(medidas!M104,"AAAAAFt88Qc=")</f>
        <v>#VALUE!</v>
      </c>
      <c r="I59" t="e">
        <f>AND(medidas!N104,"AAAAAFt88Qg=")</f>
        <v>#VALUE!</v>
      </c>
      <c r="J59" t="e">
        <f>AND(medidas!O104,"AAAAAFt88Qk=")</f>
        <v>#VALUE!</v>
      </c>
      <c r="K59" t="e">
        <f>AND(medidas!P104,"AAAAAFt88Qo=")</f>
        <v>#VALUE!</v>
      </c>
      <c r="L59" t="e">
        <f>AND(medidas!Q104,"AAAAAFt88Qs=")</f>
        <v>#VALUE!</v>
      </c>
      <c r="M59" t="e">
        <f>AND(medidas!R104,"AAAAAFt88Qw=")</f>
        <v>#VALUE!</v>
      </c>
      <c r="N59" t="e">
        <f>AND(medidas!S104,"AAAAAFt88Q0=")</f>
        <v>#VALUE!</v>
      </c>
      <c r="O59" t="e">
        <f>AND(medidas!T104,"AAAAAFt88Q4=")</f>
        <v>#VALUE!</v>
      </c>
      <c r="P59" t="e">
        <f>AND(medidas!U104,"AAAAAFt88Q8=")</f>
        <v>#VALUE!</v>
      </c>
      <c r="Q59" t="e">
        <f>AND(medidas!V104,"AAAAAFt88RA=")</f>
        <v>#VALUE!</v>
      </c>
      <c r="R59" t="e">
        <f>AND(medidas!W104,"AAAAAFt88RE=")</f>
        <v>#VALUE!</v>
      </c>
      <c r="S59" t="e">
        <f>AND(medidas!X104,"AAAAAFt88RI=")</f>
        <v>#VALUE!</v>
      </c>
      <c r="T59" t="e">
        <f>AND(medidas!Y104,"AAAAAFt88RM=")</f>
        <v>#VALUE!</v>
      </c>
      <c r="U59" t="e">
        <f>AND(medidas!Z104,"AAAAAFt88RQ=")</f>
        <v>#VALUE!</v>
      </c>
      <c r="V59" t="e">
        <f>AND(medidas!AA104,"AAAAAFt88RU=")</f>
        <v>#VALUE!</v>
      </c>
      <c r="W59" t="e">
        <f>AND(medidas!AB104,"AAAAAFt88RY=")</f>
        <v>#VALUE!</v>
      </c>
      <c r="X59" t="e">
        <f>AND(medidas!AC104,"AAAAAFt88Rc=")</f>
        <v>#VALUE!</v>
      </c>
      <c r="Y59" t="e">
        <f>AND(medidas!AD104,"AAAAAFt88Rg=")</f>
        <v>#VALUE!</v>
      </c>
      <c r="Z59" t="e">
        <f>AND(medidas!AE104,"AAAAAFt88Rk=")</f>
        <v>#VALUE!</v>
      </c>
      <c r="AA59" t="e">
        <f>AND(medidas!AF104,"AAAAAFt88Ro=")</f>
        <v>#VALUE!</v>
      </c>
      <c r="AB59" t="e">
        <f>AND(medidas!AG104,"AAAAAFt88Rs=")</f>
        <v>#VALUE!</v>
      </c>
      <c r="AC59" t="e">
        <f>AND(medidas!AH104,"AAAAAFt88Rw=")</f>
        <v>#VALUE!</v>
      </c>
      <c r="AD59" t="e">
        <f>AND(medidas!AI104,"AAAAAFt88R0=")</f>
        <v>#VALUE!</v>
      </c>
      <c r="AE59" t="e">
        <f>AND(medidas!AJ104,"AAAAAFt88R4=")</f>
        <v>#VALUE!</v>
      </c>
      <c r="AF59" t="e">
        <f>AND(medidas!AK104,"AAAAAFt88R8=")</f>
        <v>#VALUE!</v>
      </c>
      <c r="AG59" t="e">
        <f>AND(medidas!AL104,"AAAAAFt88SA=")</f>
        <v>#VALUE!</v>
      </c>
      <c r="AH59" t="e">
        <f>AND(medidas!AM104,"AAAAAFt88SE=")</f>
        <v>#VALUE!</v>
      </c>
      <c r="AI59" t="e">
        <f>AND(medidas!AN104,"AAAAAFt88SI=")</f>
        <v>#VALUE!</v>
      </c>
      <c r="AJ59" t="e">
        <f>AND(medidas!AO104,"AAAAAFt88SM=")</f>
        <v>#VALUE!</v>
      </c>
      <c r="AK59" t="e">
        <f>AND(medidas!AP104,"AAAAAFt88SQ=")</f>
        <v>#VALUE!</v>
      </c>
      <c r="AL59" t="e">
        <f>AND(medidas!AQ104,"AAAAAFt88SU=")</f>
        <v>#VALUE!</v>
      </c>
      <c r="AM59" t="e">
        <f>AND(medidas!AR104,"AAAAAFt88SY=")</f>
        <v>#VALUE!</v>
      </c>
      <c r="AN59" t="e">
        <f>AND(medidas!AS104,"AAAAAFt88Sc=")</f>
        <v>#VALUE!</v>
      </c>
      <c r="AO59" t="e">
        <f>AND(medidas!AT104,"AAAAAFt88Sg=")</f>
        <v>#VALUE!</v>
      </c>
      <c r="AP59" t="e">
        <f>AND(medidas!AU104,"AAAAAFt88Sk=")</f>
        <v>#VALUE!</v>
      </c>
      <c r="AQ59" t="e">
        <f>AND(medidas!AV104,"AAAAAFt88So=")</f>
        <v>#VALUE!</v>
      </c>
      <c r="AR59" t="e">
        <f>AND(medidas!AW104,"AAAAAFt88Ss=")</f>
        <v>#VALUE!</v>
      </c>
      <c r="AS59" t="e">
        <f>AND(medidas!AX104,"AAAAAFt88Sw=")</f>
        <v>#VALUE!</v>
      </c>
      <c r="AT59" t="e">
        <f>AND(medidas!AY104,"AAAAAFt88S0=")</f>
        <v>#VALUE!</v>
      </c>
      <c r="AU59" t="e">
        <f>AND(medidas!AZ104,"AAAAAFt88S4=")</f>
        <v>#VALUE!</v>
      </c>
      <c r="AV59" t="e">
        <f>AND(medidas!BA104,"AAAAAFt88S8=")</f>
        <v>#VALUE!</v>
      </c>
      <c r="AW59" t="e">
        <f>AND(medidas!BB104,"AAAAAFt88TA=")</f>
        <v>#VALUE!</v>
      </c>
      <c r="AX59" t="e">
        <f>AND(medidas!BC104,"AAAAAFt88TE=")</f>
        <v>#VALUE!</v>
      </c>
      <c r="AY59" t="e">
        <f>AND(medidas!BD104,"AAAAAFt88TI=")</f>
        <v>#VALUE!</v>
      </c>
      <c r="AZ59" t="e">
        <f>AND(medidas!BE104,"AAAAAFt88TM=")</f>
        <v>#VALUE!</v>
      </c>
      <c r="BA59" t="e">
        <f>AND(medidas!BF104,"AAAAAFt88TQ=")</f>
        <v>#VALUE!</v>
      </c>
      <c r="BB59" t="e">
        <f>AND(medidas!BG104,"AAAAAFt88TU=")</f>
        <v>#VALUE!</v>
      </c>
      <c r="BC59" t="e">
        <f>AND(medidas!BH104,"AAAAAFt88TY=")</f>
        <v>#VALUE!</v>
      </c>
      <c r="BD59" t="e">
        <f>AND(medidas!BI104,"AAAAAFt88Tc=")</f>
        <v>#VALUE!</v>
      </c>
      <c r="BE59" t="e">
        <f>AND(medidas!BJ104,"AAAAAFt88Tg=")</f>
        <v>#VALUE!</v>
      </c>
      <c r="BF59" t="e">
        <f>AND(medidas!BK104,"AAAAAFt88Tk=")</f>
        <v>#VALUE!</v>
      </c>
      <c r="BG59" t="e">
        <f>AND(medidas!BL104,"AAAAAFt88To=")</f>
        <v>#VALUE!</v>
      </c>
      <c r="BH59" t="e">
        <f>AND(medidas!BM104,"AAAAAFt88Ts=")</f>
        <v>#VALUE!</v>
      </c>
      <c r="BI59" t="e">
        <f>AND(medidas!BN104,"AAAAAFt88Tw=")</f>
        <v>#VALUE!</v>
      </c>
      <c r="BJ59" t="e">
        <f>AND(medidas!BO104,"AAAAAFt88T0=")</f>
        <v>#VALUE!</v>
      </c>
      <c r="BK59" t="e">
        <f>AND(medidas!BP104,"AAAAAFt88T4=")</f>
        <v>#VALUE!</v>
      </c>
      <c r="BL59" t="e">
        <f>AND(medidas!BQ104,"AAAAAFt88T8=")</f>
        <v>#VALUE!</v>
      </c>
      <c r="BM59" t="e">
        <f>AND(medidas!BR104,"AAAAAFt88UA=")</f>
        <v>#VALUE!</v>
      </c>
      <c r="BN59" t="e">
        <f>AND(medidas!BS104,"AAAAAFt88UE=")</f>
        <v>#VALUE!</v>
      </c>
      <c r="BO59" t="e">
        <f>AND(medidas!BT104,"AAAAAFt88UI=")</f>
        <v>#VALUE!</v>
      </c>
      <c r="BP59" t="e">
        <f>AND(medidas!BU104,"AAAAAFt88UM=")</f>
        <v>#VALUE!</v>
      </c>
      <c r="BQ59" t="e">
        <f>AND(medidas!BV104,"AAAAAFt88UQ=")</f>
        <v>#VALUE!</v>
      </c>
      <c r="BR59" t="e">
        <f>AND(medidas!BW104,"AAAAAFt88UU=")</f>
        <v>#VALUE!</v>
      </c>
      <c r="BS59" t="e">
        <f>AND(medidas!BX104,"AAAAAFt88UY=")</f>
        <v>#VALUE!</v>
      </c>
      <c r="BT59" t="e">
        <f>AND(medidas!BY104,"AAAAAFt88Uc=")</f>
        <v>#VALUE!</v>
      </c>
      <c r="BU59">
        <f>IF(medidas!105:105,"AAAAAFt88Ug=",0)</f>
        <v>0</v>
      </c>
      <c r="BV59" t="e">
        <f>AND(medidas!B105,"AAAAAFt88Uk=")</f>
        <v>#VALUE!</v>
      </c>
      <c r="BW59" t="e">
        <f>AND(medidas!C105,"AAAAAFt88Uo=")</f>
        <v>#VALUE!</v>
      </c>
      <c r="BX59" t="e">
        <f>AND(medidas!D105,"AAAAAFt88Us=")</f>
        <v>#VALUE!</v>
      </c>
      <c r="BY59" t="e">
        <f>AND(medidas!E105,"AAAAAFt88Uw=")</f>
        <v>#VALUE!</v>
      </c>
      <c r="BZ59" t="e">
        <f>AND(medidas!F105,"AAAAAFt88U0=")</f>
        <v>#VALUE!</v>
      </c>
      <c r="CA59" t="e">
        <f>AND(medidas!G105,"AAAAAFt88U4=")</f>
        <v>#VALUE!</v>
      </c>
      <c r="CB59" t="e">
        <f>AND(medidas!H105,"AAAAAFt88U8=")</f>
        <v>#VALUE!</v>
      </c>
      <c r="CC59" t="e">
        <f>AND(medidas!I105,"AAAAAFt88VA=")</f>
        <v>#VALUE!</v>
      </c>
      <c r="CD59" t="e">
        <f>AND(medidas!J105,"AAAAAFt88VE=")</f>
        <v>#VALUE!</v>
      </c>
      <c r="CE59" t="e">
        <f>AND(medidas!K105,"AAAAAFt88VI=")</f>
        <v>#VALUE!</v>
      </c>
      <c r="CF59" t="e">
        <f>AND(medidas!L105,"AAAAAFt88VM=")</f>
        <v>#VALUE!</v>
      </c>
      <c r="CG59" t="e">
        <f>AND(medidas!M105,"AAAAAFt88VQ=")</f>
        <v>#VALUE!</v>
      </c>
      <c r="CH59" t="e">
        <f>AND(medidas!N105,"AAAAAFt88VU=")</f>
        <v>#VALUE!</v>
      </c>
      <c r="CI59" t="e">
        <f>AND(medidas!O105,"AAAAAFt88VY=")</f>
        <v>#VALUE!</v>
      </c>
      <c r="CJ59" t="e">
        <f>AND(medidas!P105,"AAAAAFt88Vc=")</f>
        <v>#VALUE!</v>
      </c>
      <c r="CK59" t="e">
        <f>AND(medidas!Q105,"AAAAAFt88Vg=")</f>
        <v>#VALUE!</v>
      </c>
      <c r="CL59" t="e">
        <f>AND(medidas!R105,"AAAAAFt88Vk=")</f>
        <v>#VALUE!</v>
      </c>
      <c r="CM59" t="e">
        <f>AND(medidas!S105,"AAAAAFt88Vo=")</f>
        <v>#VALUE!</v>
      </c>
      <c r="CN59" t="e">
        <f>AND(medidas!T105,"AAAAAFt88Vs=")</f>
        <v>#VALUE!</v>
      </c>
      <c r="CO59" t="e">
        <f>AND(medidas!U105,"AAAAAFt88Vw=")</f>
        <v>#VALUE!</v>
      </c>
      <c r="CP59" t="e">
        <f>AND(medidas!V105,"AAAAAFt88V0=")</f>
        <v>#VALUE!</v>
      </c>
      <c r="CQ59" t="e">
        <f>AND(medidas!W105,"AAAAAFt88V4=")</f>
        <v>#VALUE!</v>
      </c>
      <c r="CR59" t="e">
        <f>AND(medidas!X105,"AAAAAFt88V8=")</f>
        <v>#VALUE!</v>
      </c>
      <c r="CS59" t="e">
        <f>AND(medidas!Y105,"AAAAAFt88WA=")</f>
        <v>#VALUE!</v>
      </c>
      <c r="CT59" t="e">
        <f>AND(medidas!Z105,"AAAAAFt88WE=")</f>
        <v>#VALUE!</v>
      </c>
      <c r="CU59" t="e">
        <f>AND(medidas!AA105,"AAAAAFt88WI=")</f>
        <v>#VALUE!</v>
      </c>
      <c r="CV59" t="e">
        <f>AND(medidas!AB105,"AAAAAFt88WM=")</f>
        <v>#VALUE!</v>
      </c>
      <c r="CW59" t="e">
        <f>AND(medidas!AC105,"AAAAAFt88WQ=")</f>
        <v>#VALUE!</v>
      </c>
      <c r="CX59" t="e">
        <f>AND(medidas!AD105,"AAAAAFt88WU=")</f>
        <v>#VALUE!</v>
      </c>
      <c r="CY59" t="e">
        <f>AND(medidas!AE105,"AAAAAFt88WY=")</f>
        <v>#VALUE!</v>
      </c>
      <c r="CZ59" t="e">
        <f>AND(medidas!AF105,"AAAAAFt88Wc=")</f>
        <v>#VALUE!</v>
      </c>
      <c r="DA59" t="e">
        <f>AND(medidas!AG105,"AAAAAFt88Wg=")</f>
        <v>#VALUE!</v>
      </c>
      <c r="DB59" t="e">
        <f>AND(medidas!AH105,"AAAAAFt88Wk=")</f>
        <v>#VALUE!</v>
      </c>
      <c r="DC59" t="e">
        <f>AND(medidas!AI105,"AAAAAFt88Wo=")</f>
        <v>#VALUE!</v>
      </c>
      <c r="DD59" t="e">
        <f>AND(medidas!AJ105,"AAAAAFt88Ws=")</f>
        <v>#VALUE!</v>
      </c>
      <c r="DE59" t="e">
        <f>AND(medidas!AK105,"AAAAAFt88Ww=")</f>
        <v>#VALUE!</v>
      </c>
      <c r="DF59" t="e">
        <f>AND(medidas!AL105,"AAAAAFt88W0=")</f>
        <v>#VALUE!</v>
      </c>
      <c r="DG59" t="e">
        <f>AND(medidas!AM105,"AAAAAFt88W4=")</f>
        <v>#VALUE!</v>
      </c>
      <c r="DH59" t="e">
        <f>AND(medidas!AN105,"AAAAAFt88W8=")</f>
        <v>#VALUE!</v>
      </c>
      <c r="DI59" t="e">
        <f>AND(medidas!AO105,"AAAAAFt88XA=")</f>
        <v>#VALUE!</v>
      </c>
      <c r="DJ59" t="e">
        <f>AND(medidas!AP105,"AAAAAFt88XE=")</f>
        <v>#VALUE!</v>
      </c>
      <c r="DK59" t="e">
        <f>AND(medidas!AQ105,"AAAAAFt88XI=")</f>
        <v>#VALUE!</v>
      </c>
      <c r="DL59" t="e">
        <f>AND(medidas!AR105,"AAAAAFt88XM=")</f>
        <v>#VALUE!</v>
      </c>
      <c r="DM59" t="e">
        <f>AND(medidas!AS105,"AAAAAFt88XQ=")</f>
        <v>#VALUE!</v>
      </c>
      <c r="DN59" t="e">
        <f>AND(medidas!AT105,"AAAAAFt88XU=")</f>
        <v>#VALUE!</v>
      </c>
      <c r="DO59" t="e">
        <f>AND(medidas!AU105,"AAAAAFt88XY=")</f>
        <v>#VALUE!</v>
      </c>
      <c r="DP59" t="e">
        <f>AND(medidas!AV105,"AAAAAFt88Xc=")</f>
        <v>#VALUE!</v>
      </c>
      <c r="DQ59" t="e">
        <f>AND(medidas!AW105,"AAAAAFt88Xg=")</f>
        <v>#VALUE!</v>
      </c>
      <c r="DR59" t="e">
        <f>AND(medidas!AX105,"AAAAAFt88Xk=")</f>
        <v>#VALUE!</v>
      </c>
      <c r="DS59" t="e">
        <f>AND(medidas!AY105,"AAAAAFt88Xo=")</f>
        <v>#VALUE!</v>
      </c>
      <c r="DT59" t="e">
        <f>AND(medidas!AZ105,"AAAAAFt88Xs=")</f>
        <v>#VALUE!</v>
      </c>
      <c r="DU59" t="e">
        <f>AND(medidas!BA105,"AAAAAFt88Xw=")</f>
        <v>#VALUE!</v>
      </c>
      <c r="DV59" t="e">
        <f>AND(medidas!BB105,"AAAAAFt88X0=")</f>
        <v>#VALUE!</v>
      </c>
      <c r="DW59" t="e">
        <f>AND(medidas!BC105,"AAAAAFt88X4=")</f>
        <v>#VALUE!</v>
      </c>
      <c r="DX59" t="e">
        <f>AND(medidas!BD105,"AAAAAFt88X8=")</f>
        <v>#VALUE!</v>
      </c>
      <c r="DY59" t="e">
        <f>AND(medidas!BE105,"AAAAAFt88YA=")</f>
        <v>#VALUE!</v>
      </c>
      <c r="DZ59" t="e">
        <f>AND(medidas!BF105,"AAAAAFt88YE=")</f>
        <v>#VALUE!</v>
      </c>
      <c r="EA59" t="e">
        <f>AND(medidas!BG105,"AAAAAFt88YI=")</f>
        <v>#VALUE!</v>
      </c>
      <c r="EB59" t="e">
        <f>AND(medidas!BH105,"AAAAAFt88YM=")</f>
        <v>#VALUE!</v>
      </c>
      <c r="EC59" t="e">
        <f>AND(medidas!BI105,"AAAAAFt88YQ=")</f>
        <v>#VALUE!</v>
      </c>
      <c r="ED59" t="e">
        <f>AND(medidas!BJ105,"AAAAAFt88YU=")</f>
        <v>#VALUE!</v>
      </c>
      <c r="EE59" t="e">
        <f>AND(medidas!BK105,"AAAAAFt88YY=")</f>
        <v>#VALUE!</v>
      </c>
      <c r="EF59" t="e">
        <f>AND(medidas!BL105,"AAAAAFt88Yc=")</f>
        <v>#VALUE!</v>
      </c>
      <c r="EG59" t="e">
        <f>AND(medidas!BM105,"AAAAAFt88Yg=")</f>
        <v>#VALUE!</v>
      </c>
      <c r="EH59" t="e">
        <f>AND(medidas!BN105,"AAAAAFt88Yk=")</f>
        <v>#VALUE!</v>
      </c>
      <c r="EI59" t="e">
        <f>AND(medidas!BO105,"AAAAAFt88Yo=")</f>
        <v>#VALUE!</v>
      </c>
      <c r="EJ59" t="e">
        <f>AND(medidas!BP105,"AAAAAFt88Ys=")</f>
        <v>#VALUE!</v>
      </c>
      <c r="EK59" t="e">
        <f>AND(medidas!BQ105,"AAAAAFt88Yw=")</f>
        <v>#VALUE!</v>
      </c>
      <c r="EL59" t="e">
        <f>AND(medidas!BR105,"AAAAAFt88Y0=")</f>
        <v>#VALUE!</v>
      </c>
      <c r="EM59" t="e">
        <f>AND(medidas!BS105,"AAAAAFt88Y4=")</f>
        <v>#VALUE!</v>
      </c>
      <c r="EN59" t="e">
        <f>AND(medidas!BT105,"AAAAAFt88Y8=")</f>
        <v>#VALUE!</v>
      </c>
      <c r="EO59" t="e">
        <f>AND(medidas!BU105,"AAAAAFt88ZA=")</f>
        <v>#VALUE!</v>
      </c>
      <c r="EP59" t="e">
        <f>AND(medidas!BV105,"AAAAAFt88ZE=")</f>
        <v>#VALUE!</v>
      </c>
      <c r="EQ59" t="e">
        <f>AND(medidas!BW105,"AAAAAFt88ZI=")</f>
        <v>#VALUE!</v>
      </c>
      <c r="ER59" t="e">
        <f>AND(medidas!BX105,"AAAAAFt88ZM=")</f>
        <v>#VALUE!</v>
      </c>
      <c r="ES59" t="e">
        <f>AND(medidas!BY105,"AAAAAFt88ZQ=")</f>
        <v>#VALUE!</v>
      </c>
      <c r="ET59">
        <f>IF(medidas!106:106,"AAAAAFt88ZU=",0)</f>
        <v>0</v>
      </c>
      <c r="EU59" t="e">
        <f>AND(medidas!B106,"AAAAAFt88ZY=")</f>
        <v>#VALUE!</v>
      </c>
      <c r="EV59" t="e">
        <f>AND(medidas!C106,"AAAAAFt88Zc=")</f>
        <v>#VALUE!</v>
      </c>
      <c r="EW59" t="e">
        <f>AND(medidas!D106,"AAAAAFt88Zg=")</f>
        <v>#VALUE!</v>
      </c>
      <c r="EX59" t="e">
        <f>AND(medidas!E106,"AAAAAFt88Zk=")</f>
        <v>#VALUE!</v>
      </c>
      <c r="EY59" t="e">
        <f>AND(medidas!F106,"AAAAAFt88Zo=")</f>
        <v>#VALUE!</v>
      </c>
      <c r="EZ59" t="e">
        <f>AND(medidas!G106,"AAAAAFt88Zs=")</f>
        <v>#VALUE!</v>
      </c>
      <c r="FA59" t="e">
        <f>AND(medidas!H106,"AAAAAFt88Zw=")</f>
        <v>#VALUE!</v>
      </c>
      <c r="FB59" t="e">
        <f>AND(medidas!I106,"AAAAAFt88Z0=")</f>
        <v>#VALUE!</v>
      </c>
      <c r="FC59" t="e">
        <f>AND(medidas!J106,"AAAAAFt88Z4=")</f>
        <v>#VALUE!</v>
      </c>
      <c r="FD59" t="e">
        <f>AND(medidas!K106,"AAAAAFt88Z8=")</f>
        <v>#VALUE!</v>
      </c>
      <c r="FE59" t="e">
        <f>AND(medidas!L106,"AAAAAFt88aA=")</f>
        <v>#VALUE!</v>
      </c>
      <c r="FF59" t="e">
        <f>AND(medidas!M106,"AAAAAFt88aE=")</f>
        <v>#VALUE!</v>
      </c>
      <c r="FG59" t="e">
        <f>AND(medidas!N106,"AAAAAFt88aI=")</f>
        <v>#VALUE!</v>
      </c>
      <c r="FH59" t="e">
        <f>AND(medidas!O106,"AAAAAFt88aM=")</f>
        <v>#VALUE!</v>
      </c>
      <c r="FI59" t="e">
        <f>AND(medidas!P106,"AAAAAFt88aQ=")</f>
        <v>#VALUE!</v>
      </c>
      <c r="FJ59" t="e">
        <f>AND(medidas!Q106,"AAAAAFt88aU=")</f>
        <v>#VALUE!</v>
      </c>
      <c r="FK59" t="e">
        <f>AND(medidas!R106,"AAAAAFt88aY=")</f>
        <v>#VALUE!</v>
      </c>
      <c r="FL59" t="e">
        <f>AND(medidas!S106,"AAAAAFt88ac=")</f>
        <v>#VALUE!</v>
      </c>
      <c r="FM59" t="e">
        <f>AND(medidas!T106,"AAAAAFt88ag=")</f>
        <v>#VALUE!</v>
      </c>
      <c r="FN59" t="e">
        <f>AND(medidas!U106,"AAAAAFt88ak=")</f>
        <v>#VALUE!</v>
      </c>
      <c r="FO59" t="e">
        <f>AND(medidas!V106,"AAAAAFt88ao=")</f>
        <v>#VALUE!</v>
      </c>
      <c r="FP59" t="e">
        <f>AND(medidas!W106,"AAAAAFt88as=")</f>
        <v>#VALUE!</v>
      </c>
      <c r="FQ59" t="e">
        <f>AND(medidas!X106,"AAAAAFt88aw=")</f>
        <v>#VALUE!</v>
      </c>
      <c r="FR59" t="e">
        <f>AND(medidas!Y106,"AAAAAFt88a0=")</f>
        <v>#VALUE!</v>
      </c>
      <c r="FS59" t="e">
        <f>AND(medidas!Z106,"AAAAAFt88a4=")</f>
        <v>#VALUE!</v>
      </c>
      <c r="FT59" t="e">
        <f>AND(medidas!AA106,"AAAAAFt88a8=")</f>
        <v>#VALUE!</v>
      </c>
      <c r="FU59" t="e">
        <f>AND(medidas!AB106,"AAAAAFt88bA=")</f>
        <v>#VALUE!</v>
      </c>
      <c r="FV59" t="e">
        <f>AND(medidas!AC106,"AAAAAFt88bE=")</f>
        <v>#VALUE!</v>
      </c>
      <c r="FW59" t="e">
        <f>AND(medidas!AD106,"AAAAAFt88bI=")</f>
        <v>#VALUE!</v>
      </c>
      <c r="FX59" t="e">
        <f>AND(medidas!AE106,"AAAAAFt88bM=")</f>
        <v>#VALUE!</v>
      </c>
      <c r="FY59" t="e">
        <f>AND(medidas!AF106,"AAAAAFt88bQ=")</f>
        <v>#VALUE!</v>
      </c>
      <c r="FZ59" t="e">
        <f>AND(medidas!AG106,"AAAAAFt88bU=")</f>
        <v>#VALUE!</v>
      </c>
      <c r="GA59" t="e">
        <f>AND(medidas!AH106,"AAAAAFt88bY=")</f>
        <v>#VALUE!</v>
      </c>
      <c r="GB59" t="e">
        <f>AND(medidas!AI106,"AAAAAFt88bc=")</f>
        <v>#VALUE!</v>
      </c>
      <c r="GC59" t="e">
        <f>AND(medidas!AJ106,"AAAAAFt88bg=")</f>
        <v>#VALUE!</v>
      </c>
      <c r="GD59" t="e">
        <f>AND(medidas!AK106,"AAAAAFt88bk=")</f>
        <v>#VALUE!</v>
      </c>
      <c r="GE59" t="e">
        <f>AND(medidas!AL106,"AAAAAFt88bo=")</f>
        <v>#VALUE!</v>
      </c>
      <c r="GF59" t="e">
        <f>AND(medidas!AM106,"AAAAAFt88bs=")</f>
        <v>#VALUE!</v>
      </c>
      <c r="GG59" t="e">
        <f>AND(medidas!AN106,"AAAAAFt88bw=")</f>
        <v>#VALUE!</v>
      </c>
      <c r="GH59" t="e">
        <f>AND(medidas!AO106,"AAAAAFt88b0=")</f>
        <v>#VALUE!</v>
      </c>
      <c r="GI59" t="e">
        <f>AND(medidas!AP106,"AAAAAFt88b4=")</f>
        <v>#VALUE!</v>
      </c>
      <c r="GJ59" t="e">
        <f>AND(medidas!AQ106,"AAAAAFt88b8=")</f>
        <v>#VALUE!</v>
      </c>
      <c r="GK59" t="e">
        <f>AND(medidas!AR106,"AAAAAFt88cA=")</f>
        <v>#VALUE!</v>
      </c>
      <c r="GL59" t="e">
        <f>AND(medidas!AS106,"AAAAAFt88cE=")</f>
        <v>#VALUE!</v>
      </c>
      <c r="GM59" t="e">
        <f>AND(medidas!AT106,"AAAAAFt88cI=")</f>
        <v>#VALUE!</v>
      </c>
      <c r="GN59" t="e">
        <f>AND(medidas!AU106,"AAAAAFt88cM=")</f>
        <v>#VALUE!</v>
      </c>
      <c r="GO59" t="e">
        <f>AND(medidas!AV106,"AAAAAFt88cQ=")</f>
        <v>#VALUE!</v>
      </c>
      <c r="GP59" t="e">
        <f>AND(medidas!AW106,"AAAAAFt88cU=")</f>
        <v>#VALUE!</v>
      </c>
      <c r="GQ59" t="e">
        <f>AND(medidas!AX106,"AAAAAFt88cY=")</f>
        <v>#VALUE!</v>
      </c>
      <c r="GR59" t="e">
        <f>AND(medidas!AY106,"AAAAAFt88cc=")</f>
        <v>#VALUE!</v>
      </c>
      <c r="GS59" t="e">
        <f>AND(medidas!AZ106,"AAAAAFt88cg=")</f>
        <v>#VALUE!</v>
      </c>
      <c r="GT59" t="e">
        <f>AND(medidas!BA106,"AAAAAFt88ck=")</f>
        <v>#VALUE!</v>
      </c>
      <c r="GU59" t="e">
        <f>AND(medidas!BB106,"AAAAAFt88co=")</f>
        <v>#VALUE!</v>
      </c>
      <c r="GV59" t="e">
        <f>AND(medidas!BC106,"AAAAAFt88cs=")</f>
        <v>#VALUE!</v>
      </c>
      <c r="GW59" t="e">
        <f>AND(medidas!BD106,"AAAAAFt88cw=")</f>
        <v>#VALUE!</v>
      </c>
      <c r="GX59" t="e">
        <f>AND(medidas!BE106,"AAAAAFt88c0=")</f>
        <v>#VALUE!</v>
      </c>
      <c r="GY59" t="e">
        <f>AND(medidas!BF106,"AAAAAFt88c4=")</f>
        <v>#VALUE!</v>
      </c>
      <c r="GZ59" t="e">
        <f>AND(medidas!BG106,"AAAAAFt88c8=")</f>
        <v>#VALUE!</v>
      </c>
      <c r="HA59" t="e">
        <f>AND(medidas!BH106,"AAAAAFt88dA=")</f>
        <v>#VALUE!</v>
      </c>
      <c r="HB59" t="e">
        <f>AND(medidas!BI106,"AAAAAFt88dE=")</f>
        <v>#VALUE!</v>
      </c>
      <c r="HC59" t="e">
        <f>AND(medidas!BJ106,"AAAAAFt88dI=")</f>
        <v>#VALUE!</v>
      </c>
      <c r="HD59" t="e">
        <f>AND(medidas!BK106,"AAAAAFt88dM=")</f>
        <v>#VALUE!</v>
      </c>
      <c r="HE59" t="e">
        <f>AND(medidas!BL106,"AAAAAFt88dQ=")</f>
        <v>#VALUE!</v>
      </c>
      <c r="HF59" t="e">
        <f>AND(medidas!BM106,"AAAAAFt88dU=")</f>
        <v>#VALUE!</v>
      </c>
      <c r="HG59" t="e">
        <f>AND(medidas!BN106,"AAAAAFt88dY=")</f>
        <v>#VALUE!</v>
      </c>
      <c r="HH59" t="e">
        <f>AND(medidas!BO106,"AAAAAFt88dc=")</f>
        <v>#VALUE!</v>
      </c>
      <c r="HI59" t="e">
        <f>AND(medidas!BP106,"AAAAAFt88dg=")</f>
        <v>#VALUE!</v>
      </c>
      <c r="HJ59" t="e">
        <f>AND(medidas!BQ106,"AAAAAFt88dk=")</f>
        <v>#VALUE!</v>
      </c>
      <c r="HK59" t="e">
        <f>AND(medidas!BR106,"AAAAAFt88do=")</f>
        <v>#VALUE!</v>
      </c>
      <c r="HL59" t="e">
        <f>AND(medidas!BS106,"AAAAAFt88ds=")</f>
        <v>#VALUE!</v>
      </c>
      <c r="HM59" t="e">
        <f>AND(medidas!BT106,"AAAAAFt88dw=")</f>
        <v>#VALUE!</v>
      </c>
      <c r="HN59" t="e">
        <f>AND(medidas!BU106,"AAAAAFt88d0=")</f>
        <v>#VALUE!</v>
      </c>
      <c r="HO59" t="e">
        <f>AND(medidas!BV106,"AAAAAFt88d4=")</f>
        <v>#VALUE!</v>
      </c>
      <c r="HP59" t="e">
        <f>AND(medidas!BW106,"AAAAAFt88d8=")</f>
        <v>#VALUE!</v>
      </c>
      <c r="HQ59" t="e">
        <f>AND(medidas!BX106,"AAAAAFt88eA=")</f>
        <v>#VALUE!</v>
      </c>
      <c r="HR59" t="e">
        <f>AND(medidas!BY106,"AAAAAFt88eE=")</f>
        <v>#VALUE!</v>
      </c>
      <c r="HS59">
        <f>IF(medidas!107:107,"AAAAAFt88eI=",0)</f>
        <v>0</v>
      </c>
      <c r="HT59" t="e">
        <f>AND(medidas!B107,"AAAAAFt88eM=")</f>
        <v>#VALUE!</v>
      </c>
      <c r="HU59" t="e">
        <f>AND(medidas!C107,"AAAAAFt88eQ=")</f>
        <v>#VALUE!</v>
      </c>
      <c r="HV59" t="e">
        <f>AND(medidas!D107,"AAAAAFt88eU=")</f>
        <v>#VALUE!</v>
      </c>
      <c r="HW59" t="e">
        <f>AND(medidas!E107,"AAAAAFt88eY=")</f>
        <v>#VALUE!</v>
      </c>
      <c r="HX59" t="e">
        <f>AND(medidas!F107,"AAAAAFt88ec=")</f>
        <v>#VALUE!</v>
      </c>
      <c r="HY59" t="e">
        <f>AND(medidas!G107,"AAAAAFt88eg=")</f>
        <v>#VALUE!</v>
      </c>
      <c r="HZ59" t="e">
        <f>AND(medidas!H107,"AAAAAFt88ek=")</f>
        <v>#VALUE!</v>
      </c>
      <c r="IA59" t="e">
        <f>AND(medidas!I107,"AAAAAFt88eo=")</f>
        <v>#VALUE!</v>
      </c>
      <c r="IB59" t="e">
        <f>AND(medidas!J107,"AAAAAFt88es=")</f>
        <v>#VALUE!</v>
      </c>
      <c r="IC59" t="e">
        <f>AND(medidas!K107,"AAAAAFt88ew=")</f>
        <v>#VALUE!</v>
      </c>
      <c r="ID59" t="e">
        <f>AND(medidas!L107,"AAAAAFt88e0=")</f>
        <v>#VALUE!</v>
      </c>
      <c r="IE59" t="e">
        <f>AND(medidas!M107,"AAAAAFt88e4=")</f>
        <v>#VALUE!</v>
      </c>
      <c r="IF59" t="e">
        <f>AND(medidas!N107,"AAAAAFt88e8=")</f>
        <v>#VALUE!</v>
      </c>
      <c r="IG59" t="e">
        <f>AND(medidas!O107,"AAAAAFt88fA=")</f>
        <v>#VALUE!</v>
      </c>
      <c r="IH59" t="e">
        <f>AND(medidas!P107,"AAAAAFt88fE=")</f>
        <v>#VALUE!</v>
      </c>
      <c r="II59" t="e">
        <f>AND(medidas!Q107,"AAAAAFt88fI=")</f>
        <v>#VALUE!</v>
      </c>
      <c r="IJ59" t="e">
        <f>AND(medidas!R107,"AAAAAFt88fM=")</f>
        <v>#VALUE!</v>
      </c>
      <c r="IK59" t="e">
        <f>AND(medidas!S107,"AAAAAFt88fQ=")</f>
        <v>#VALUE!</v>
      </c>
      <c r="IL59" t="e">
        <f>AND(medidas!T107,"AAAAAFt88fU=")</f>
        <v>#VALUE!</v>
      </c>
      <c r="IM59" t="e">
        <f>AND(medidas!U107,"AAAAAFt88fY=")</f>
        <v>#VALUE!</v>
      </c>
      <c r="IN59" t="e">
        <f>AND(medidas!V107,"AAAAAFt88fc=")</f>
        <v>#VALUE!</v>
      </c>
      <c r="IO59" t="e">
        <f>AND(medidas!W107,"AAAAAFt88fg=")</f>
        <v>#VALUE!</v>
      </c>
      <c r="IP59" t="e">
        <f>AND(medidas!X107,"AAAAAFt88fk=")</f>
        <v>#VALUE!</v>
      </c>
      <c r="IQ59" t="e">
        <f>AND(medidas!Y107,"AAAAAFt88fo=")</f>
        <v>#VALUE!</v>
      </c>
      <c r="IR59" t="e">
        <f>AND(medidas!Z107,"AAAAAFt88fs=")</f>
        <v>#VALUE!</v>
      </c>
      <c r="IS59" t="e">
        <f>AND(medidas!AA107,"AAAAAFt88fw=")</f>
        <v>#VALUE!</v>
      </c>
      <c r="IT59" t="e">
        <f>AND(medidas!AB107,"AAAAAFt88f0=")</f>
        <v>#VALUE!</v>
      </c>
      <c r="IU59" t="e">
        <f>AND(medidas!AC107,"AAAAAFt88f4=")</f>
        <v>#VALUE!</v>
      </c>
      <c r="IV59" t="e">
        <f>AND(medidas!AD107,"AAAAAFt88f8=")</f>
        <v>#VALUE!</v>
      </c>
    </row>
    <row r="60" spans="1:256" x14ac:dyDescent="0.2">
      <c r="A60" t="e">
        <f>AND(medidas!AE107,"AAAAADX9ewA=")</f>
        <v>#VALUE!</v>
      </c>
      <c r="B60" t="e">
        <f>AND(medidas!AF107,"AAAAADX9ewE=")</f>
        <v>#VALUE!</v>
      </c>
      <c r="C60" t="e">
        <f>AND(medidas!AG107,"AAAAADX9ewI=")</f>
        <v>#VALUE!</v>
      </c>
      <c r="D60" t="e">
        <f>AND(medidas!AH107,"AAAAADX9ewM=")</f>
        <v>#VALUE!</v>
      </c>
      <c r="E60" t="e">
        <f>AND(medidas!AI107,"AAAAADX9ewQ=")</f>
        <v>#VALUE!</v>
      </c>
      <c r="F60" t="e">
        <f>AND(medidas!AJ107,"AAAAADX9ewU=")</f>
        <v>#VALUE!</v>
      </c>
      <c r="G60" t="e">
        <f>AND(medidas!AK107,"AAAAADX9ewY=")</f>
        <v>#VALUE!</v>
      </c>
      <c r="H60" t="e">
        <f>AND(medidas!AL107,"AAAAADX9ewc=")</f>
        <v>#VALUE!</v>
      </c>
      <c r="I60" t="e">
        <f>AND(medidas!AM107,"AAAAADX9ewg=")</f>
        <v>#VALUE!</v>
      </c>
      <c r="J60" t="e">
        <f>AND(medidas!AN107,"AAAAADX9ewk=")</f>
        <v>#VALUE!</v>
      </c>
      <c r="K60" t="e">
        <f>AND(medidas!AO107,"AAAAADX9ewo=")</f>
        <v>#VALUE!</v>
      </c>
      <c r="L60" t="e">
        <f>AND(medidas!AP107,"AAAAADX9ews=")</f>
        <v>#VALUE!</v>
      </c>
      <c r="M60" t="e">
        <f>AND(medidas!AQ107,"AAAAADX9eww=")</f>
        <v>#VALUE!</v>
      </c>
      <c r="N60" t="e">
        <f>AND(medidas!AR107,"AAAAADX9ew0=")</f>
        <v>#VALUE!</v>
      </c>
      <c r="O60" t="e">
        <f>AND(medidas!AS107,"AAAAADX9ew4=")</f>
        <v>#VALUE!</v>
      </c>
      <c r="P60" t="e">
        <f>AND(medidas!AT107,"AAAAADX9ew8=")</f>
        <v>#VALUE!</v>
      </c>
      <c r="Q60" t="e">
        <f>AND(medidas!AU107,"AAAAADX9exA=")</f>
        <v>#VALUE!</v>
      </c>
      <c r="R60" t="e">
        <f>AND(medidas!AV107,"AAAAADX9exE=")</f>
        <v>#VALUE!</v>
      </c>
      <c r="S60" t="e">
        <f>AND(medidas!AW107,"AAAAADX9exI=")</f>
        <v>#VALUE!</v>
      </c>
      <c r="T60" t="e">
        <f>AND(medidas!AX107,"AAAAADX9exM=")</f>
        <v>#VALUE!</v>
      </c>
      <c r="U60" t="e">
        <f>AND(medidas!AY107,"AAAAADX9exQ=")</f>
        <v>#VALUE!</v>
      </c>
      <c r="V60" t="e">
        <f>AND(medidas!AZ107,"AAAAADX9exU=")</f>
        <v>#VALUE!</v>
      </c>
      <c r="W60" t="e">
        <f>AND(medidas!BA107,"AAAAADX9exY=")</f>
        <v>#VALUE!</v>
      </c>
      <c r="X60" t="e">
        <f>AND(medidas!BB107,"AAAAADX9exc=")</f>
        <v>#VALUE!</v>
      </c>
      <c r="Y60" t="e">
        <f>AND(medidas!BC107,"AAAAADX9exg=")</f>
        <v>#VALUE!</v>
      </c>
      <c r="Z60" t="e">
        <f>AND(medidas!BD107,"AAAAADX9exk=")</f>
        <v>#VALUE!</v>
      </c>
      <c r="AA60" t="e">
        <f>AND(medidas!BE107,"AAAAADX9exo=")</f>
        <v>#VALUE!</v>
      </c>
      <c r="AB60" t="e">
        <f>AND(medidas!BF107,"AAAAADX9exs=")</f>
        <v>#VALUE!</v>
      </c>
      <c r="AC60" t="e">
        <f>AND(medidas!BG107,"AAAAADX9exw=")</f>
        <v>#VALUE!</v>
      </c>
      <c r="AD60" t="e">
        <f>AND(medidas!BH107,"AAAAADX9ex0=")</f>
        <v>#VALUE!</v>
      </c>
      <c r="AE60" t="e">
        <f>AND(medidas!BI107,"AAAAADX9ex4=")</f>
        <v>#VALUE!</v>
      </c>
      <c r="AF60" t="e">
        <f>AND(medidas!BJ107,"AAAAADX9ex8=")</f>
        <v>#VALUE!</v>
      </c>
      <c r="AG60" t="e">
        <f>AND(medidas!BK107,"AAAAADX9eyA=")</f>
        <v>#VALUE!</v>
      </c>
      <c r="AH60" t="e">
        <f>AND(medidas!BL107,"AAAAADX9eyE=")</f>
        <v>#VALUE!</v>
      </c>
      <c r="AI60" t="e">
        <f>AND(medidas!BM107,"AAAAADX9eyI=")</f>
        <v>#VALUE!</v>
      </c>
      <c r="AJ60" t="e">
        <f>AND(medidas!BN107,"AAAAADX9eyM=")</f>
        <v>#VALUE!</v>
      </c>
      <c r="AK60" t="e">
        <f>AND(medidas!BO107,"AAAAADX9eyQ=")</f>
        <v>#VALUE!</v>
      </c>
      <c r="AL60" t="e">
        <f>AND(medidas!BP107,"AAAAADX9eyU=")</f>
        <v>#VALUE!</v>
      </c>
      <c r="AM60" t="e">
        <f>AND(medidas!BQ107,"AAAAADX9eyY=")</f>
        <v>#VALUE!</v>
      </c>
      <c r="AN60" t="e">
        <f>AND(medidas!BR107,"AAAAADX9eyc=")</f>
        <v>#VALUE!</v>
      </c>
      <c r="AO60" t="e">
        <f>AND(medidas!BS107,"AAAAADX9eyg=")</f>
        <v>#VALUE!</v>
      </c>
      <c r="AP60" t="e">
        <f>AND(medidas!BT107,"AAAAADX9eyk=")</f>
        <v>#VALUE!</v>
      </c>
      <c r="AQ60" t="e">
        <f>AND(medidas!BU107,"AAAAADX9eyo=")</f>
        <v>#VALUE!</v>
      </c>
      <c r="AR60" t="e">
        <f>AND(medidas!BV107,"AAAAADX9eys=")</f>
        <v>#VALUE!</v>
      </c>
      <c r="AS60" t="e">
        <f>AND(medidas!BW107,"AAAAADX9eyw=")</f>
        <v>#VALUE!</v>
      </c>
      <c r="AT60" t="e">
        <f>AND(medidas!BX107,"AAAAADX9ey0=")</f>
        <v>#VALUE!</v>
      </c>
      <c r="AU60" t="e">
        <f>AND(medidas!BY107,"AAAAADX9ey4=")</f>
        <v>#VALUE!</v>
      </c>
      <c r="AV60">
        <f>IF(medidas!108:108,"AAAAADX9ey8=",0)</f>
        <v>0</v>
      </c>
      <c r="AW60" t="e">
        <f>AND(medidas!B108,"AAAAADX9ezA=")</f>
        <v>#VALUE!</v>
      </c>
      <c r="AX60" t="e">
        <f>AND(medidas!C108,"AAAAADX9ezE=")</f>
        <v>#VALUE!</v>
      </c>
      <c r="AY60" t="e">
        <f>AND(medidas!D108,"AAAAADX9ezI=")</f>
        <v>#VALUE!</v>
      </c>
      <c r="AZ60" t="e">
        <f>AND(medidas!E108,"AAAAADX9ezM=")</f>
        <v>#VALUE!</v>
      </c>
      <c r="BA60" t="e">
        <f>AND(medidas!F108,"AAAAADX9ezQ=")</f>
        <v>#VALUE!</v>
      </c>
      <c r="BB60" t="e">
        <f>AND(medidas!G108,"AAAAADX9ezU=")</f>
        <v>#VALUE!</v>
      </c>
      <c r="BC60" t="e">
        <f>AND(medidas!H108,"AAAAADX9ezY=")</f>
        <v>#VALUE!</v>
      </c>
      <c r="BD60" t="e">
        <f>AND(medidas!I108,"AAAAADX9ezc=")</f>
        <v>#VALUE!</v>
      </c>
      <c r="BE60" t="e">
        <f>AND(medidas!J108,"AAAAADX9ezg=")</f>
        <v>#VALUE!</v>
      </c>
      <c r="BF60" t="e">
        <f>AND(medidas!K108,"AAAAADX9ezk=")</f>
        <v>#VALUE!</v>
      </c>
      <c r="BG60" t="e">
        <f>AND(medidas!L108,"AAAAADX9ezo=")</f>
        <v>#VALUE!</v>
      </c>
      <c r="BH60" t="e">
        <f>AND(medidas!M108,"AAAAADX9ezs=")</f>
        <v>#VALUE!</v>
      </c>
      <c r="BI60" t="e">
        <f>AND(medidas!N108,"AAAAADX9ezw=")</f>
        <v>#VALUE!</v>
      </c>
      <c r="BJ60" t="e">
        <f>AND(medidas!O108,"AAAAADX9ez0=")</f>
        <v>#VALUE!</v>
      </c>
      <c r="BK60" t="e">
        <f>AND(medidas!P108,"AAAAADX9ez4=")</f>
        <v>#VALUE!</v>
      </c>
      <c r="BL60" t="e">
        <f>AND(medidas!Q108,"AAAAADX9ez8=")</f>
        <v>#VALUE!</v>
      </c>
      <c r="BM60" t="e">
        <f>AND(medidas!R108,"AAAAADX9e0A=")</f>
        <v>#VALUE!</v>
      </c>
      <c r="BN60" t="e">
        <f>AND(medidas!S108,"AAAAADX9e0E=")</f>
        <v>#VALUE!</v>
      </c>
      <c r="BO60" t="e">
        <f>AND(medidas!T108,"AAAAADX9e0I=")</f>
        <v>#VALUE!</v>
      </c>
      <c r="BP60" t="e">
        <f>AND(medidas!U108,"AAAAADX9e0M=")</f>
        <v>#VALUE!</v>
      </c>
      <c r="BQ60" t="e">
        <f>AND(medidas!V108,"AAAAADX9e0Q=")</f>
        <v>#VALUE!</v>
      </c>
      <c r="BR60" t="e">
        <f>AND(medidas!W108,"AAAAADX9e0U=")</f>
        <v>#VALUE!</v>
      </c>
      <c r="BS60" t="e">
        <f>AND(medidas!X108,"AAAAADX9e0Y=")</f>
        <v>#VALUE!</v>
      </c>
      <c r="BT60" t="e">
        <f>AND(medidas!Y108,"AAAAADX9e0c=")</f>
        <v>#VALUE!</v>
      </c>
      <c r="BU60" t="e">
        <f>AND(medidas!Z108,"AAAAADX9e0g=")</f>
        <v>#VALUE!</v>
      </c>
      <c r="BV60" t="e">
        <f>AND(medidas!AA108,"AAAAADX9e0k=")</f>
        <v>#VALUE!</v>
      </c>
      <c r="BW60" t="e">
        <f>AND(medidas!AB108,"AAAAADX9e0o=")</f>
        <v>#VALUE!</v>
      </c>
      <c r="BX60" t="e">
        <f>AND(medidas!AC108,"AAAAADX9e0s=")</f>
        <v>#VALUE!</v>
      </c>
      <c r="BY60" t="e">
        <f>AND(medidas!AD108,"AAAAADX9e0w=")</f>
        <v>#VALUE!</v>
      </c>
      <c r="BZ60" t="e">
        <f>AND(medidas!AE108,"AAAAADX9e00=")</f>
        <v>#VALUE!</v>
      </c>
      <c r="CA60" t="e">
        <f>AND(medidas!AF108,"AAAAADX9e04=")</f>
        <v>#VALUE!</v>
      </c>
      <c r="CB60" t="e">
        <f>AND(medidas!AG108,"AAAAADX9e08=")</f>
        <v>#VALUE!</v>
      </c>
      <c r="CC60" t="e">
        <f>AND(medidas!AH108,"AAAAADX9e1A=")</f>
        <v>#VALUE!</v>
      </c>
      <c r="CD60" t="e">
        <f>AND(medidas!AI108,"AAAAADX9e1E=")</f>
        <v>#VALUE!</v>
      </c>
      <c r="CE60" t="e">
        <f>AND(medidas!AJ108,"AAAAADX9e1I=")</f>
        <v>#VALUE!</v>
      </c>
      <c r="CF60" t="e">
        <f>AND(medidas!AK108,"AAAAADX9e1M=")</f>
        <v>#VALUE!</v>
      </c>
      <c r="CG60" t="e">
        <f>AND(medidas!AL108,"AAAAADX9e1Q=")</f>
        <v>#VALUE!</v>
      </c>
      <c r="CH60" t="e">
        <f>AND(medidas!AM108,"AAAAADX9e1U=")</f>
        <v>#VALUE!</v>
      </c>
      <c r="CI60" t="e">
        <f>AND(medidas!AN108,"AAAAADX9e1Y=")</f>
        <v>#VALUE!</v>
      </c>
      <c r="CJ60" t="e">
        <f>AND(medidas!AO108,"AAAAADX9e1c=")</f>
        <v>#VALUE!</v>
      </c>
      <c r="CK60" t="e">
        <f>AND(medidas!AP108,"AAAAADX9e1g=")</f>
        <v>#VALUE!</v>
      </c>
      <c r="CL60" t="e">
        <f>AND(medidas!AQ108,"AAAAADX9e1k=")</f>
        <v>#VALUE!</v>
      </c>
      <c r="CM60" t="e">
        <f>AND(medidas!AR108,"AAAAADX9e1o=")</f>
        <v>#VALUE!</v>
      </c>
      <c r="CN60" t="e">
        <f>AND(medidas!AS108,"AAAAADX9e1s=")</f>
        <v>#VALUE!</v>
      </c>
      <c r="CO60" t="e">
        <f>AND(medidas!AT108,"AAAAADX9e1w=")</f>
        <v>#VALUE!</v>
      </c>
      <c r="CP60" t="e">
        <f>AND(medidas!AU108,"AAAAADX9e10=")</f>
        <v>#VALUE!</v>
      </c>
      <c r="CQ60" t="e">
        <f>AND(medidas!AV108,"AAAAADX9e14=")</f>
        <v>#VALUE!</v>
      </c>
      <c r="CR60" t="e">
        <f>AND(medidas!AW108,"AAAAADX9e18=")</f>
        <v>#VALUE!</v>
      </c>
      <c r="CS60" t="e">
        <f>AND(medidas!AX108,"AAAAADX9e2A=")</f>
        <v>#VALUE!</v>
      </c>
      <c r="CT60" t="e">
        <f>AND(medidas!AY108,"AAAAADX9e2E=")</f>
        <v>#VALUE!</v>
      </c>
      <c r="CU60" t="e">
        <f>AND(medidas!AZ108,"AAAAADX9e2I=")</f>
        <v>#VALUE!</v>
      </c>
      <c r="CV60" t="e">
        <f>AND(medidas!BA108,"AAAAADX9e2M=")</f>
        <v>#VALUE!</v>
      </c>
      <c r="CW60" t="e">
        <f>AND(medidas!BB108,"AAAAADX9e2Q=")</f>
        <v>#VALUE!</v>
      </c>
      <c r="CX60" t="e">
        <f>AND(medidas!BC108,"AAAAADX9e2U=")</f>
        <v>#VALUE!</v>
      </c>
      <c r="CY60" t="e">
        <f>AND(medidas!BD108,"AAAAADX9e2Y=")</f>
        <v>#VALUE!</v>
      </c>
      <c r="CZ60" t="e">
        <f>AND(medidas!BE108,"AAAAADX9e2c=")</f>
        <v>#VALUE!</v>
      </c>
      <c r="DA60" t="e">
        <f>AND(medidas!BF108,"AAAAADX9e2g=")</f>
        <v>#VALUE!</v>
      </c>
      <c r="DB60" t="e">
        <f>AND(medidas!BG108,"AAAAADX9e2k=")</f>
        <v>#VALUE!</v>
      </c>
      <c r="DC60" t="e">
        <f>AND(medidas!BH108,"AAAAADX9e2o=")</f>
        <v>#VALUE!</v>
      </c>
      <c r="DD60" t="e">
        <f>AND(medidas!BI108,"AAAAADX9e2s=")</f>
        <v>#VALUE!</v>
      </c>
      <c r="DE60" t="e">
        <f>AND(medidas!BJ108,"AAAAADX9e2w=")</f>
        <v>#VALUE!</v>
      </c>
      <c r="DF60" t="e">
        <f>AND(medidas!BK108,"AAAAADX9e20=")</f>
        <v>#VALUE!</v>
      </c>
      <c r="DG60" t="e">
        <f>AND(medidas!BL108,"AAAAADX9e24=")</f>
        <v>#VALUE!</v>
      </c>
      <c r="DH60" t="e">
        <f>AND(medidas!BM108,"AAAAADX9e28=")</f>
        <v>#VALUE!</v>
      </c>
      <c r="DI60" t="e">
        <f>AND(medidas!BN108,"AAAAADX9e3A=")</f>
        <v>#VALUE!</v>
      </c>
      <c r="DJ60" t="e">
        <f>AND(medidas!BO108,"AAAAADX9e3E=")</f>
        <v>#VALUE!</v>
      </c>
      <c r="DK60" t="e">
        <f>AND(medidas!BP108,"AAAAADX9e3I=")</f>
        <v>#VALUE!</v>
      </c>
      <c r="DL60" t="e">
        <f>AND(medidas!BQ108,"AAAAADX9e3M=")</f>
        <v>#VALUE!</v>
      </c>
      <c r="DM60" t="e">
        <f>AND(medidas!BR108,"AAAAADX9e3Q=")</f>
        <v>#VALUE!</v>
      </c>
      <c r="DN60" t="e">
        <f>AND(medidas!BS108,"AAAAADX9e3U=")</f>
        <v>#VALUE!</v>
      </c>
      <c r="DO60" t="e">
        <f>AND(medidas!BT108,"AAAAADX9e3Y=")</f>
        <v>#VALUE!</v>
      </c>
      <c r="DP60" t="e">
        <f>AND(medidas!BU108,"AAAAADX9e3c=")</f>
        <v>#VALUE!</v>
      </c>
      <c r="DQ60" t="e">
        <f>AND(medidas!BV108,"AAAAADX9e3g=")</f>
        <v>#VALUE!</v>
      </c>
      <c r="DR60" t="e">
        <f>AND(medidas!BW108,"AAAAADX9e3k=")</f>
        <v>#VALUE!</v>
      </c>
      <c r="DS60" t="e">
        <f>AND(medidas!BX108,"AAAAADX9e3o=")</f>
        <v>#VALUE!</v>
      </c>
      <c r="DT60" t="e">
        <f>AND(medidas!BY108,"AAAAADX9e3s=")</f>
        <v>#VALUE!</v>
      </c>
      <c r="DU60">
        <f>IF(medidas!109:109,"AAAAADX9e3w=",0)</f>
        <v>0</v>
      </c>
      <c r="DV60" t="e">
        <f>AND(medidas!B109,"AAAAADX9e30=")</f>
        <v>#VALUE!</v>
      </c>
      <c r="DW60" t="e">
        <f>AND(medidas!C109,"AAAAADX9e34=")</f>
        <v>#VALUE!</v>
      </c>
      <c r="DX60" t="e">
        <f>AND(medidas!D109,"AAAAADX9e38=")</f>
        <v>#VALUE!</v>
      </c>
      <c r="DY60" t="e">
        <f>AND(medidas!E109,"AAAAADX9e4A=")</f>
        <v>#VALUE!</v>
      </c>
      <c r="DZ60" t="e">
        <f>AND(medidas!F109,"AAAAADX9e4E=")</f>
        <v>#VALUE!</v>
      </c>
      <c r="EA60" t="e">
        <f>AND(medidas!G109,"AAAAADX9e4I=")</f>
        <v>#VALUE!</v>
      </c>
      <c r="EB60" t="e">
        <f>AND(medidas!H109,"AAAAADX9e4M=")</f>
        <v>#VALUE!</v>
      </c>
      <c r="EC60" t="e">
        <f>AND(medidas!I109,"AAAAADX9e4Q=")</f>
        <v>#VALUE!</v>
      </c>
      <c r="ED60" t="e">
        <f>AND(medidas!J109,"AAAAADX9e4U=")</f>
        <v>#VALUE!</v>
      </c>
      <c r="EE60" t="e">
        <f>AND(medidas!K109,"AAAAADX9e4Y=")</f>
        <v>#VALUE!</v>
      </c>
      <c r="EF60" t="e">
        <f>AND(medidas!L109,"AAAAADX9e4c=")</f>
        <v>#VALUE!</v>
      </c>
      <c r="EG60" t="e">
        <f>AND(medidas!M109,"AAAAADX9e4g=")</f>
        <v>#VALUE!</v>
      </c>
      <c r="EH60" t="e">
        <f>AND(medidas!N109,"AAAAADX9e4k=")</f>
        <v>#VALUE!</v>
      </c>
      <c r="EI60" t="e">
        <f>AND(medidas!O109,"AAAAADX9e4o=")</f>
        <v>#VALUE!</v>
      </c>
      <c r="EJ60" t="e">
        <f>AND(medidas!P109,"AAAAADX9e4s=")</f>
        <v>#VALUE!</v>
      </c>
      <c r="EK60" t="e">
        <f>AND(medidas!Q109,"AAAAADX9e4w=")</f>
        <v>#VALUE!</v>
      </c>
      <c r="EL60" t="e">
        <f>AND(medidas!R109,"AAAAADX9e40=")</f>
        <v>#VALUE!</v>
      </c>
      <c r="EM60" t="e">
        <f>AND(medidas!S109,"AAAAADX9e44=")</f>
        <v>#VALUE!</v>
      </c>
      <c r="EN60" t="e">
        <f>AND(medidas!T109,"AAAAADX9e48=")</f>
        <v>#VALUE!</v>
      </c>
      <c r="EO60" t="e">
        <f>AND(medidas!U109,"AAAAADX9e5A=")</f>
        <v>#VALUE!</v>
      </c>
      <c r="EP60" t="e">
        <f>AND(medidas!V109,"AAAAADX9e5E=")</f>
        <v>#VALUE!</v>
      </c>
      <c r="EQ60" t="e">
        <f>AND(medidas!W109,"AAAAADX9e5I=")</f>
        <v>#VALUE!</v>
      </c>
      <c r="ER60" t="e">
        <f>AND(medidas!X109,"AAAAADX9e5M=")</f>
        <v>#VALUE!</v>
      </c>
      <c r="ES60" t="e">
        <f>AND(medidas!Y109,"AAAAADX9e5Q=")</f>
        <v>#VALUE!</v>
      </c>
      <c r="ET60" t="e">
        <f>AND(medidas!Z109,"AAAAADX9e5U=")</f>
        <v>#VALUE!</v>
      </c>
      <c r="EU60" t="e">
        <f>AND(medidas!AA109,"AAAAADX9e5Y=")</f>
        <v>#VALUE!</v>
      </c>
      <c r="EV60" t="e">
        <f>AND(medidas!AB109,"AAAAADX9e5c=")</f>
        <v>#VALUE!</v>
      </c>
      <c r="EW60" t="e">
        <f>AND(medidas!AC109,"AAAAADX9e5g=")</f>
        <v>#VALUE!</v>
      </c>
      <c r="EX60" t="e">
        <f>AND(medidas!AD109,"AAAAADX9e5k=")</f>
        <v>#VALUE!</v>
      </c>
      <c r="EY60" t="e">
        <f>AND(medidas!AE109,"AAAAADX9e5o=")</f>
        <v>#VALUE!</v>
      </c>
      <c r="EZ60" t="e">
        <f>AND(medidas!AF109,"AAAAADX9e5s=")</f>
        <v>#VALUE!</v>
      </c>
      <c r="FA60" t="e">
        <f>AND(medidas!AG109,"AAAAADX9e5w=")</f>
        <v>#VALUE!</v>
      </c>
      <c r="FB60" t="e">
        <f>AND(medidas!AH109,"AAAAADX9e50=")</f>
        <v>#VALUE!</v>
      </c>
      <c r="FC60" t="e">
        <f>AND(medidas!AI109,"AAAAADX9e54=")</f>
        <v>#VALUE!</v>
      </c>
      <c r="FD60" t="e">
        <f>AND(medidas!AJ109,"AAAAADX9e58=")</f>
        <v>#VALUE!</v>
      </c>
      <c r="FE60" t="e">
        <f>AND(medidas!AK109,"AAAAADX9e6A=")</f>
        <v>#VALUE!</v>
      </c>
      <c r="FF60" t="e">
        <f>AND(medidas!AL109,"AAAAADX9e6E=")</f>
        <v>#VALUE!</v>
      </c>
      <c r="FG60" t="e">
        <f>AND(medidas!AM109,"AAAAADX9e6I=")</f>
        <v>#VALUE!</v>
      </c>
      <c r="FH60" t="e">
        <f>AND(medidas!AN109,"AAAAADX9e6M=")</f>
        <v>#VALUE!</v>
      </c>
      <c r="FI60" t="e">
        <f>AND(medidas!AO109,"AAAAADX9e6Q=")</f>
        <v>#VALUE!</v>
      </c>
      <c r="FJ60" t="e">
        <f>AND(medidas!AP109,"AAAAADX9e6U=")</f>
        <v>#VALUE!</v>
      </c>
      <c r="FK60" t="e">
        <f>AND(medidas!AQ109,"AAAAADX9e6Y=")</f>
        <v>#VALUE!</v>
      </c>
      <c r="FL60" t="e">
        <f>AND(medidas!AR109,"AAAAADX9e6c=")</f>
        <v>#VALUE!</v>
      </c>
      <c r="FM60" t="e">
        <f>AND(medidas!AS109,"AAAAADX9e6g=")</f>
        <v>#VALUE!</v>
      </c>
      <c r="FN60" t="e">
        <f>AND(medidas!AT109,"AAAAADX9e6k=")</f>
        <v>#VALUE!</v>
      </c>
      <c r="FO60" t="e">
        <f>AND(medidas!AU109,"AAAAADX9e6o=")</f>
        <v>#VALUE!</v>
      </c>
      <c r="FP60" t="e">
        <f>AND(medidas!AV109,"AAAAADX9e6s=")</f>
        <v>#VALUE!</v>
      </c>
      <c r="FQ60" t="e">
        <f>AND(medidas!AW109,"AAAAADX9e6w=")</f>
        <v>#VALUE!</v>
      </c>
      <c r="FR60" t="e">
        <f>AND(medidas!AX109,"AAAAADX9e60=")</f>
        <v>#VALUE!</v>
      </c>
      <c r="FS60" t="e">
        <f>AND(medidas!AY109,"AAAAADX9e64=")</f>
        <v>#VALUE!</v>
      </c>
      <c r="FT60" t="e">
        <f>AND(medidas!AZ109,"AAAAADX9e68=")</f>
        <v>#VALUE!</v>
      </c>
      <c r="FU60" t="e">
        <f>AND(medidas!BA109,"AAAAADX9e7A=")</f>
        <v>#VALUE!</v>
      </c>
      <c r="FV60" t="e">
        <f>AND(medidas!BB109,"AAAAADX9e7E=")</f>
        <v>#VALUE!</v>
      </c>
      <c r="FW60" t="e">
        <f>AND(medidas!BC109,"AAAAADX9e7I=")</f>
        <v>#VALUE!</v>
      </c>
      <c r="FX60" t="e">
        <f>AND(medidas!BD109,"AAAAADX9e7M=")</f>
        <v>#VALUE!</v>
      </c>
      <c r="FY60" t="e">
        <f>AND(medidas!BE109,"AAAAADX9e7Q=")</f>
        <v>#VALUE!</v>
      </c>
      <c r="FZ60" t="e">
        <f>AND(medidas!BF109,"AAAAADX9e7U=")</f>
        <v>#VALUE!</v>
      </c>
      <c r="GA60" t="e">
        <f>AND(medidas!BG109,"AAAAADX9e7Y=")</f>
        <v>#VALUE!</v>
      </c>
      <c r="GB60" t="e">
        <f>AND(medidas!BH109,"AAAAADX9e7c=")</f>
        <v>#VALUE!</v>
      </c>
      <c r="GC60" t="e">
        <f>AND(medidas!BI109,"AAAAADX9e7g=")</f>
        <v>#VALUE!</v>
      </c>
      <c r="GD60" t="e">
        <f>AND(medidas!BJ109,"AAAAADX9e7k=")</f>
        <v>#VALUE!</v>
      </c>
      <c r="GE60" t="e">
        <f>AND(medidas!BK109,"AAAAADX9e7o=")</f>
        <v>#VALUE!</v>
      </c>
      <c r="GF60" t="e">
        <f>AND(medidas!BL109,"AAAAADX9e7s=")</f>
        <v>#VALUE!</v>
      </c>
      <c r="GG60" t="e">
        <f>AND(medidas!BM109,"AAAAADX9e7w=")</f>
        <v>#VALUE!</v>
      </c>
      <c r="GH60" t="e">
        <f>AND(medidas!BN109,"AAAAADX9e70=")</f>
        <v>#VALUE!</v>
      </c>
      <c r="GI60" t="e">
        <f>AND(medidas!BO109,"AAAAADX9e74=")</f>
        <v>#VALUE!</v>
      </c>
      <c r="GJ60" t="e">
        <f>AND(medidas!BP109,"AAAAADX9e78=")</f>
        <v>#VALUE!</v>
      </c>
      <c r="GK60" t="e">
        <f>AND(medidas!BQ109,"AAAAADX9e8A=")</f>
        <v>#VALUE!</v>
      </c>
      <c r="GL60" t="e">
        <f>AND(medidas!BR109,"AAAAADX9e8E=")</f>
        <v>#VALUE!</v>
      </c>
      <c r="GM60" t="e">
        <f>AND(medidas!BS109,"AAAAADX9e8I=")</f>
        <v>#VALUE!</v>
      </c>
      <c r="GN60" t="e">
        <f>AND(medidas!BT109,"AAAAADX9e8M=")</f>
        <v>#VALUE!</v>
      </c>
      <c r="GO60" t="e">
        <f>AND(medidas!BU109,"AAAAADX9e8Q=")</f>
        <v>#VALUE!</v>
      </c>
      <c r="GP60" t="e">
        <f>AND(medidas!BV109,"AAAAADX9e8U=")</f>
        <v>#VALUE!</v>
      </c>
      <c r="GQ60" t="e">
        <f>AND(medidas!BW109,"AAAAADX9e8Y=")</f>
        <v>#VALUE!</v>
      </c>
      <c r="GR60" t="e">
        <f>AND(medidas!BX109,"AAAAADX9e8c=")</f>
        <v>#VALUE!</v>
      </c>
      <c r="GS60" t="e">
        <f>AND(medidas!BY109,"AAAAADX9e8g=")</f>
        <v>#VALUE!</v>
      </c>
      <c r="GT60">
        <f>IF(medidas!110:110,"AAAAADX9e8k=",0)</f>
        <v>0</v>
      </c>
      <c r="GU60" t="e">
        <f>AND(medidas!B110,"AAAAADX9e8o=")</f>
        <v>#VALUE!</v>
      </c>
      <c r="GV60" t="e">
        <f>AND(medidas!C110,"AAAAADX9e8s=")</f>
        <v>#VALUE!</v>
      </c>
      <c r="GW60" t="e">
        <f>AND(medidas!D110,"AAAAADX9e8w=")</f>
        <v>#VALUE!</v>
      </c>
      <c r="GX60" t="e">
        <f>AND(medidas!E110,"AAAAADX9e80=")</f>
        <v>#VALUE!</v>
      </c>
      <c r="GY60" t="e">
        <f>AND(medidas!F110,"AAAAADX9e84=")</f>
        <v>#VALUE!</v>
      </c>
      <c r="GZ60" t="e">
        <f>AND(medidas!G110,"AAAAADX9e88=")</f>
        <v>#VALUE!</v>
      </c>
      <c r="HA60" t="e">
        <f>AND(medidas!H110,"AAAAADX9e9A=")</f>
        <v>#VALUE!</v>
      </c>
      <c r="HB60" t="e">
        <f>AND(medidas!I110,"AAAAADX9e9E=")</f>
        <v>#VALUE!</v>
      </c>
      <c r="HC60" t="e">
        <f>AND(medidas!J110,"AAAAADX9e9I=")</f>
        <v>#VALUE!</v>
      </c>
      <c r="HD60" t="e">
        <f>AND(medidas!K110,"AAAAADX9e9M=")</f>
        <v>#VALUE!</v>
      </c>
      <c r="HE60" t="e">
        <f>AND(medidas!L110,"AAAAADX9e9Q=")</f>
        <v>#VALUE!</v>
      </c>
      <c r="HF60" t="e">
        <f>AND(medidas!M110,"AAAAADX9e9U=")</f>
        <v>#VALUE!</v>
      </c>
      <c r="HG60" t="e">
        <f>AND(medidas!N110,"AAAAADX9e9Y=")</f>
        <v>#VALUE!</v>
      </c>
      <c r="HH60" t="e">
        <f>AND(medidas!O110,"AAAAADX9e9c=")</f>
        <v>#VALUE!</v>
      </c>
      <c r="HI60" t="e">
        <f>AND(medidas!P110,"AAAAADX9e9g=")</f>
        <v>#VALUE!</v>
      </c>
      <c r="HJ60" t="e">
        <f>AND(medidas!Q110,"AAAAADX9e9k=")</f>
        <v>#VALUE!</v>
      </c>
      <c r="HK60" t="e">
        <f>AND(medidas!R110,"AAAAADX9e9o=")</f>
        <v>#VALUE!</v>
      </c>
      <c r="HL60" t="e">
        <f>AND(medidas!S110,"AAAAADX9e9s=")</f>
        <v>#VALUE!</v>
      </c>
      <c r="HM60" t="e">
        <f>AND(medidas!T110,"AAAAADX9e9w=")</f>
        <v>#VALUE!</v>
      </c>
      <c r="HN60" t="e">
        <f>AND(medidas!U110,"AAAAADX9e90=")</f>
        <v>#VALUE!</v>
      </c>
      <c r="HO60" t="e">
        <f>AND(medidas!V110,"AAAAADX9e94=")</f>
        <v>#VALUE!</v>
      </c>
      <c r="HP60" t="e">
        <f>AND(medidas!W110,"AAAAADX9e98=")</f>
        <v>#VALUE!</v>
      </c>
      <c r="HQ60" t="e">
        <f>AND(medidas!X110,"AAAAADX9e+A=")</f>
        <v>#VALUE!</v>
      </c>
      <c r="HR60" t="e">
        <f>AND(medidas!Y110,"AAAAADX9e+E=")</f>
        <v>#VALUE!</v>
      </c>
      <c r="HS60" t="e">
        <f>AND(medidas!Z110,"AAAAADX9e+I=")</f>
        <v>#VALUE!</v>
      </c>
      <c r="HT60" t="e">
        <f>AND(medidas!AA110,"AAAAADX9e+M=")</f>
        <v>#VALUE!</v>
      </c>
      <c r="HU60" t="e">
        <f>AND(medidas!AB110,"AAAAADX9e+Q=")</f>
        <v>#VALUE!</v>
      </c>
      <c r="HV60" t="e">
        <f>AND(medidas!AC110,"AAAAADX9e+U=")</f>
        <v>#VALUE!</v>
      </c>
      <c r="HW60" t="e">
        <f>AND(medidas!AD110,"AAAAADX9e+Y=")</f>
        <v>#VALUE!</v>
      </c>
      <c r="HX60" t="e">
        <f>AND(medidas!AE110,"AAAAADX9e+c=")</f>
        <v>#VALUE!</v>
      </c>
      <c r="HY60" t="e">
        <f>AND(medidas!AF110,"AAAAADX9e+g=")</f>
        <v>#VALUE!</v>
      </c>
      <c r="HZ60" t="e">
        <f>AND(medidas!AG110,"AAAAADX9e+k=")</f>
        <v>#VALUE!</v>
      </c>
      <c r="IA60" t="e">
        <f>AND(medidas!AH110,"AAAAADX9e+o=")</f>
        <v>#VALUE!</v>
      </c>
      <c r="IB60" t="e">
        <f>AND(medidas!AI110,"AAAAADX9e+s=")</f>
        <v>#VALUE!</v>
      </c>
      <c r="IC60" t="e">
        <f>AND(medidas!AJ110,"AAAAADX9e+w=")</f>
        <v>#VALUE!</v>
      </c>
      <c r="ID60" t="e">
        <f>AND(medidas!AK110,"AAAAADX9e+0=")</f>
        <v>#VALUE!</v>
      </c>
      <c r="IE60" t="e">
        <f>AND(medidas!AL110,"AAAAADX9e+4=")</f>
        <v>#VALUE!</v>
      </c>
      <c r="IF60" t="e">
        <f>AND(medidas!AM110,"AAAAADX9e+8=")</f>
        <v>#VALUE!</v>
      </c>
      <c r="IG60" t="e">
        <f>AND(medidas!AN110,"AAAAADX9e/A=")</f>
        <v>#VALUE!</v>
      </c>
      <c r="IH60" t="e">
        <f>AND(medidas!AO110,"AAAAADX9e/E=")</f>
        <v>#VALUE!</v>
      </c>
      <c r="II60" t="e">
        <f>AND(medidas!AP110,"AAAAADX9e/I=")</f>
        <v>#VALUE!</v>
      </c>
      <c r="IJ60" t="e">
        <f>AND(medidas!AQ110,"AAAAADX9e/M=")</f>
        <v>#VALUE!</v>
      </c>
      <c r="IK60" t="e">
        <f>AND(medidas!AR110,"AAAAADX9e/Q=")</f>
        <v>#VALUE!</v>
      </c>
      <c r="IL60" t="e">
        <f>AND(medidas!AS110,"AAAAADX9e/U=")</f>
        <v>#VALUE!</v>
      </c>
      <c r="IM60" t="e">
        <f>AND(medidas!AT110,"AAAAADX9e/Y=")</f>
        <v>#VALUE!</v>
      </c>
      <c r="IN60" t="e">
        <f>AND(medidas!AU110,"AAAAADX9e/c=")</f>
        <v>#VALUE!</v>
      </c>
      <c r="IO60" t="e">
        <f>AND(medidas!AV110,"AAAAADX9e/g=")</f>
        <v>#VALUE!</v>
      </c>
      <c r="IP60" t="e">
        <f>AND(medidas!AW110,"AAAAADX9e/k=")</f>
        <v>#VALUE!</v>
      </c>
      <c r="IQ60" t="e">
        <f>AND(medidas!AX110,"AAAAADX9e/o=")</f>
        <v>#VALUE!</v>
      </c>
      <c r="IR60" t="e">
        <f>AND(medidas!AY110,"AAAAADX9e/s=")</f>
        <v>#VALUE!</v>
      </c>
      <c r="IS60" t="e">
        <f>AND(medidas!AZ110,"AAAAADX9e/w=")</f>
        <v>#VALUE!</v>
      </c>
      <c r="IT60" t="e">
        <f>AND(medidas!BA110,"AAAAADX9e/0=")</f>
        <v>#VALUE!</v>
      </c>
      <c r="IU60" t="e">
        <f>AND(medidas!BB110,"AAAAADX9e/4=")</f>
        <v>#VALUE!</v>
      </c>
      <c r="IV60" t="e">
        <f>AND(medidas!BC110,"AAAAADX9e/8=")</f>
        <v>#VALUE!</v>
      </c>
    </row>
    <row r="61" spans="1:256" x14ac:dyDescent="0.2">
      <c r="A61" t="e">
        <f>AND(medidas!BD110,"AAAAAH675QA=")</f>
        <v>#VALUE!</v>
      </c>
      <c r="B61" t="e">
        <f>AND(medidas!BE110,"AAAAAH675QE=")</f>
        <v>#VALUE!</v>
      </c>
      <c r="C61" t="e">
        <f>AND(medidas!BF110,"AAAAAH675QI=")</f>
        <v>#VALUE!</v>
      </c>
      <c r="D61" t="e">
        <f>AND(medidas!BG110,"AAAAAH675QM=")</f>
        <v>#VALUE!</v>
      </c>
      <c r="E61" t="e">
        <f>AND(medidas!BH110,"AAAAAH675QQ=")</f>
        <v>#VALUE!</v>
      </c>
      <c r="F61" t="e">
        <f>AND(medidas!BI110,"AAAAAH675QU=")</f>
        <v>#VALUE!</v>
      </c>
      <c r="G61" t="e">
        <f>AND(medidas!BJ110,"AAAAAH675QY=")</f>
        <v>#VALUE!</v>
      </c>
      <c r="H61" t="e">
        <f>AND(medidas!BK110,"AAAAAH675Qc=")</f>
        <v>#VALUE!</v>
      </c>
      <c r="I61" t="e">
        <f>AND(medidas!BL110,"AAAAAH675Qg=")</f>
        <v>#VALUE!</v>
      </c>
      <c r="J61" t="e">
        <f>AND(medidas!BM110,"AAAAAH675Qk=")</f>
        <v>#VALUE!</v>
      </c>
      <c r="K61" t="e">
        <f>AND(medidas!BN110,"AAAAAH675Qo=")</f>
        <v>#VALUE!</v>
      </c>
      <c r="L61" t="e">
        <f>AND(medidas!BO110,"AAAAAH675Qs=")</f>
        <v>#VALUE!</v>
      </c>
      <c r="M61" t="e">
        <f>AND(medidas!BP110,"AAAAAH675Qw=")</f>
        <v>#VALUE!</v>
      </c>
      <c r="N61" t="e">
        <f>AND(medidas!BQ110,"AAAAAH675Q0=")</f>
        <v>#VALUE!</v>
      </c>
      <c r="O61" t="e">
        <f>AND(medidas!BR110,"AAAAAH675Q4=")</f>
        <v>#VALUE!</v>
      </c>
      <c r="P61" t="e">
        <f>AND(medidas!BS110,"AAAAAH675Q8=")</f>
        <v>#VALUE!</v>
      </c>
      <c r="Q61" t="e">
        <f>AND(medidas!BT110,"AAAAAH675RA=")</f>
        <v>#VALUE!</v>
      </c>
      <c r="R61" t="e">
        <f>AND(medidas!BU110,"AAAAAH675RE=")</f>
        <v>#VALUE!</v>
      </c>
      <c r="S61" t="e">
        <f>AND(medidas!BV110,"AAAAAH675RI=")</f>
        <v>#VALUE!</v>
      </c>
      <c r="T61" t="e">
        <f>AND(medidas!BW110,"AAAAAH675RM=")</f>
        <v>#VALUE!</v>
      </c>
      <c r="U61" t="e">
        <f>AND(medidas!BX110,"AAAAAH675RQ=")</f>
        <v>#VALUE!</v>
      </c>
      <c r="V61" t="e">
        <f>AND(medidas!BY110,"AAAAAH675RU=")</f>
        <v>#VALUE!</v>
      </c>
      <c r="W61">
        <f>IF(medidas!111:111,"AAAAAH675RY=",0)</f>
        <v>0</v>
      </c>
      <c r="X61" t="e">
        <f>AND(medidas!B111,"AAAAAH675Rc=")</f>
        <v>#VALUE!</v>
      </c>
      <c r="Y61" t="e">
        <f>AND(medidas!C111,"AAAAAH675Rg=")</f>
        <v>#VALUE!</v>
      </c>
      <c r="Z61" t="e">
        <f>AND(medidas!D111,"AAAAAH675Rk=")</f>
        <v>#VALUE!</v>
      </c>
      <c r="AA61" t="e">
        <f>AND(medidas!E111,"AAAAAH675Ro=")</f>
        <v>#VALUE!</v>
      </c>
      <c r="AB61" t="e">
        <f>AND(medidas!F111,"AAAAAH675Rs=")</f>
        <v>#VALUE!</v>
      </c>
      <c r="AC61" t="e">
        <f>AND(medidas!G111,"AAAAAH675Rw=")</f>
        <v>#VALUE!</v>
      </c>
      <c r="AD61" t="e">
        <f>AND(medidas!H111,"AAAAAH675R0=")</f>
        <v>#VALUE!</v>
      </c>
      <c r="AE61" t="e">
        <f>AND(medidas!I111,"AAAAAH675R4=")</f>
        <v>#VALUE!</v>
      </c>
      <c r="AF61" t="e">
        <f>AND(medidas!J111,"AAAAAH675R8=")</f>
        <v>#VALUE!</v>
      </c>
      <c r="AG61" t="e">
        <f>AND(medidas!K111,"AAAAAH675SA=")</f>
        <v>#VALUE!</v>
      </c>
      <c r="AH61" t="e">
        <f>AND(medidas!L111,"AAAAAH675SE=")</f>
        <v>#VALUE!</v>
      </c>
      <c r="AI61" t="e">
        <f>AND(medidas!M111,"AAAAAH675SI=")</f>
        <v>#VALUE!</v>
      </c>
      <c r="AJ61" t="e">
        <f>AND(medidas!N111,"AAAAAH675SM=")</f>
        <v>#VALUE!</v>
      </c>
      <c r="AK61" t="e">
        <f>AND(medidas!O111,"AAAAAH675SQ=")</f>
        <v>#VALUE!</v>
      </c>
      <c r="AL61" t="e">
        <f>AND(medidas!P111,"AAAAAH675SU=")</f>
        <v>#VALUE!</v>
      </c>
      <c r="AM61" t="e">
        <f>AND(medidas!Q111,"AAAAAH675SY=")</f>
        <v>#VALUE!</v>
      </c>
      <c r="AN61" t="e">
        <f>AND(medidas!R111,"AAAAAH675Sc=")</f>
        <v>#VALUE!</v>
      </c>
      <c r="AO61" t="e">
        <f>AND(medidas!S111,"AAAAAH675Sg=")</f>
        <v>#VALUE!</v>
      </c>
      <c r="AP61" t="e">
        <f>AND(medidas!T111,"AAAAAH675Sk=")</f>
        <v>#VALUE!</v>
      </c>
      <c r="AQ61" t="e">
        <f>AND(medidas!U111,"AAAAAH675So=")</f>
        <v>#VALUE!</v>
      </c>
      <c r="AR61" t="e">
        <f>AND(medidas!V111,"AAAAAH675Ss=")</f>
        <v>#VALUE!</v>
      </c>
      <c r="AS61" t="e">
        <f>AND(medidas!W111,"AAAAAH675Sw=")</f>
        <v>#VALUE!</v>
      </c>
      <c r="AT61" t="e">
        <f>AND(medidas!X111,"AAAAAH675S0=")</f>
        <v>#VALUE!</v>
      </c>
      <c r="AU61" t="e">
        <f>AND(medidas!Y111,"AAAAAH675S4=")</f>
        <v>#VALUE!</v>
      </c>
      <c r="AV61" t="e">
        <f>AND(medidas!Z111,"AAAAAH675S8=")</f>
        <v>#VALUE!</v>
      </c>
      <c r="AW61" t="e">
        <f>AND(medidas!AA111,"AAAAAH675TA=")</f>
        <v>#VALUE!</v>
      </c>
      <c r="AX61" t="e">
        <f>AND(medidas!AB111,"AAAAAH675TE=")</f>
        <v>#VALUE!</v>
      </c>
      <c r="AY61" t="e">
        <f>AND(medidas!AC111,"AAAAAH675TI=")</f>
        <v>#VALUE!</v>
      </c>
      <c r="AZ61" t="e">
        <f>AND(medidas!AD111,"AAAAAH675TM=")</f>
        <v>#VALUE!</v>
      </c>
      <c r="BA61" t="e">
        <f>AND(medidas!AE111,"AAAAAH675TQ=")</f>
        <v>#VALUE!</v>
      </c>
      <c r="BB61" t="e">
        <f>AND(medidas!AF111,"AAAAAH675TU=")</f>
        <v>#VALUE!</v>
      </c>
      <c r="BC61" t="e">
        <f>AND(medidas!AG111,"AAAAAH675TY=")</f>
        <v>#VALUE!</v>
      </c>
      <c r="BD61" t="e">
        <f>AND(medidas!AH111,"AAAAAH675Tc=")</f>
        <v>#VALUE!</v>
      </c>
      <c r="BE61" t="e">
        <f>AND(medidas!AI111,"AAAAAH675Tg=")</f>
        <v>#VALUE!</v>
      </c>
      <c r="BF61" t="e">
        <f>AND(medidas!AJ111,"AAAAAH675Tk=")</f>
        <v>#VALUE!</v>
      </c>
      <c r="BG61" t="e">
        <f>AND(medidas!AK111,"AAAAAH675To=")</f>
        <v>#VALUE!</v>
      </c>
      <c r="BH61" t="e">
        <f>AND(medidas!AL111,"AAAAAH675Ts=")</f>
        <v>#VALUE!</v>
      </c>
      <c r="BI61" t="e">
        <f>AND(medidas!AM111,"AAAAAH675Tw=")</f>
        <v>#VALUE!</v>
      </c>
      <c r="BJ61" t="e">
        <f>AND(medidas!AN111,"AAAAAH675T0=")</f>
        <v>#VALUE!</v>
      </c>
      <c r="BK61" t="e">
        <f>AND(medidas!AO111,"AAAAAH675T4=")</f>
        <v>#VALUE!</v>
      </c>
      <c r="BL61" t="e">
        <f>AND(medidas!AP111,"AAAAAH675T8=")</f>
        <v>#VALUE!</v>
      </c>
      <c r="BM61" t="e">
        <f>AND(medidas!AQ111,"AAAAAH675UA=")</f>
        <v>#VALUE!</v>
      </c>
      <c r="BN61" t="e">
        <f>AND(medidas!AR111,"AAAAAH675UE=")</f>
        <v>#VALUE!</v>
      </c>
      <c r="BO61" t="e">
        <f>AND(medidas!AS111,"AAAAAH675UI=")</f>
        <v>#VALUE!</v>
      </c>
      <c r="BP61" t="e">
        <f>AND(medidas!AT111,"AAAAAH675UM=")</f>
        <v>#VALUE!</v>
      </c>
      <c r="BQ61" t="e">
        <f>AND(medidas!AU111,"AAAAAH675UQ=")</f>
        <v>#VALUE!</v>
      </c>
      <c r="BR61" t="e">
        <f>AND(medidas!AV111,"AAAAAH675UU=")</f>
        <v>#VALUE!</v>
      </c>
      <c r="BS61" t="e">
        <f>AND(medidas!AW111,"AAAAAH675UY=")</f>
        <v>#VALUE!</v>
      </c>
      <c r="BT61" t="e">
        <f>AND(medidas!AX111,"AAAAAH675Uc=")</f>
        <v>#VALUE!</v>
      </c>
      <c r="BU61" t="e">
        <f>AND(medidas!AY111,"AAAAAH675Ug=")</f>
        <v>#VALUE!</v>
      </c>
      <c r="BV61" t="e">
        <f>AND(medidas!AZ111,"AAAAAH675Uk=")</f>
        <v>#VALUE!</v>
      </c>
      <c r="BW61" t="e">
        <f>AND(medidas!BA111,"AAAAAH675Uo=")</f>
        <v>#VALUE!</v>
      </c>
      <c r="BX61" t="e">
        <f>AND(medidas!BB111,"AAAAAH675Us=")</f>
        <v>#VALUE!</v>
      </c>
      <c r="BY61" t="e">
        <f>AND(medidas!BC111,"AAAAAH675Uw=")</f>
        <v>#VALUE!</v>
      </c>
      <c r="BZ61" t="e">
        <f>AND(medidas!BD111,"AAAAAH675U0=")</f>
        <v>#VALUE!</v>
      </c>
      <c r="CA61" t="e">
        <f>AND(medidas!BE111,"AAAAAH675U4=")</f>
        <v>#VALUE!</v>
      </c>
      <c r="CB61" t="e">
        <f>AND(medidas!BF111,"AAAAAH675U8=")</f>
        <v>#VALUE!</v>
      </c>
      <c r="CC61" t="e">
        <f>AND(medidas!BG111,"AAAAAH675VA=")</f>
        <v>#VALUE!</v>
      </c>
      <c r="CD61" t="e">
        <f>AND(medidas!BH111,"AAAAAH675VE=")</f>
        <v>#VALUE!</v>
      </c>
      <c r="CE61" t="e">
        <f>AND(medidas!BI111,"AAAAAH675VI=")</f>
        <v>#VALUE!</v>
      </c>
      <c r="CF61" t="e">
        <f>AND(medidas!BJ111,"AAAAAH675VM=")</f>
        <v>#VALUE!</v>
      </c>
      <c r="CG61" t="e">
        <f>AND(medidas!BK111,"AAAAAH675VQ=")</f>
        <v>#VALUE!</v>
      </c>
      <c r="CH61" t="e">
        <f>AND(medidas!BL111,"AAAAAH675VU=")</f>
        <v>#VALUE!</v>
      </c>
      <c r="CI61" t="e">
        <f>AND(medidas!BM111,"AAAAAH675VY=")</f>
        <v>#VALUE!</v>
      </c>
      <c r="CJ61" t="e">
        <f>AND(medidas!BN111,"AAAAAH675Vc=")</f>
        <v>#VALUE!</v>
      </c>
      <c r="CK61" t="e">
        <f>AND(medidas!BO111,"AAAAAH675Vg=")</f>
        <v>#VALUE!</v>
      </c>
      <c r="CL61" t="e">
        <f>AND(medidas!BP111,"AAAAAH675Vk=")</f>
        <v>#VALUE!</v>
      </c>
      <c r="CM61" t="e">
        <f>AND(medidas!BQ111,"AAAAAH675Vo=")</f>
        <v>#VALUE!</v>
      </c>
      <c r="CN61" t="e">
        <f>AND(medidas!BR111,"AAAAAH675Vs=")</f>
        <v>#VALUE!</v>
      </c>
      <c r="CO61" t="e">
        <f>AND(medidas!BS111,"AAAAAH675Vw=")</f>
        <v>#VALUE!</v>
      </c>
      <c r="CP61" t="e">
        <f>AND(medidas!BT111,"AAAAAH675V0=")</f>
        <v>#VALUE!</v>
      </c>
      <c r="CQ61" t="e">
        <f>AND(medidas!BU111,"AAAAAH675V4=")</f>
        <v>#VALUE!</v>
      </c>
      <c r="CR61" t="e">
        <f>AND(medidas!BV111,"AAAAAH675V8=")</f>
        <v>#VALUE!</v>
      </c>
      <c r="CS61" t="e">
        <f>AND(medidas!BW111,"AAAAAH675WA=")</f>
        <v>#VALUE!</v>
      </c>
      <c r="CT61" t="e">
        <f>AND(medidas!BX111,"AAAAAH675WE=")</f>
        <v>#VALUE!</v>
      </c>
      <c r="CU61" t="e">
        <f>AND(medidas!BY111,"AAAAAH675WI=")</f>
        <v>#VALUE!</v>
      </c>
      <c r="CV61">
        <f>IF(medidas!112:112,"AAAAAH675WM=",0)</f>
        <v>0</v>
      </c>
      <c r="CW61" t="e">
        <f>AND(medidas!B112,"AAAAAH675WQ=")</f>
        <v>#VALUE!</v>
      </c>
      <c r="CX61" t="e">
        <f>AND(medidas!C112,"AAAAAH675WU=")</f>
        <v>#VALUE!</v>
      </c>
      <c r="CY61" t="e">
        <f>AND(medidas!D112,"AAAAAH675WY=")</f>
        <v>#VALUE!</v>
      </c>
      <c r="CZ61" t="e">
        <f>AND(medidas!E112,"AAAAAH675Wc=")</f>
        <v>#VALUE!</v>
      </c>
      <c r="DA61" t="e">
        <f>AND(medidas!F112,"AAAAAH675Wg=")</f>
        <v>#VALUE!</v>
      </c>
      <c r="DB61" t="e">
        <f>AND(medidas!G112,"AAAAAH675Wk=")</f>
        <v>#VALUE!</v>
      </c>
      <c r="DC61" t="e">
        <f>AND(medidas!H112,"AAAAAH675Wo=")</f>
        <v>#VALUE!</v>
      </c>
      <c r="DD61" t="e">
        <f>AND(medidas!I112,"AAAAAH675Ws=")</f>
        <v>#VALUE!</v>
      </c>
      <c r="DE61" t="e">
        <f>AND(medidas!J112,"AAAAAH675Ww=")</f>
        <v>#VALUE!</v>
      </c>
      <c r="DF61" t="e">
        <f>AND(medidas!K112,"AAAAAH675W0=")</f>
        <v>#VALUE!</v>
      </c>
      <c r="DG61" t="e">
        <f>AND(medidas!L112,"AAAAAH675W4=")</f>
        <v>#VALUE!</v>
      </c>
      <c r="DH61" t="e">
        <f>AND(medidas!M112,"AAAAAH675W8=")</f>
        <v>#VALUE!</v>
      </c>
      <c r="DI61" t="e">
        <f>AND(medidas!N112,"AAAAAH675XA=")</f>
        <v>#VALUE!</v>
      </c>
      <c r="DJ61" t="e">
        <f>AND(medidas!O112,"AAAAAH675XE=")</f>
        <v>#VALUE!</v>
      </c>
      <c r="DK61" t="e">
        <f>AND(medidas!P112,"AAAAAH675XI=")</f>
        <v>#VALUE!</v>
      </c>
      <c r="DL61" t="e">
        <f>AND(medidas!Q112,"AAAAAH675XM=")</f>
        <v>#VALUE!</v>
      </c>
      <c r="DM61" t="e">
        <f>AND(medidas!R112,"AAAAAH675XQ=")</f>
        <v>#VALUE!</v>
      </c>
      <c r="DN61" t="e">
        <f>AND(medidas!S112,"AAAAAH675XU=")</f>
        <v>#VALUE!</v>
      </c>
      <c r="DO61" t="e">
        <f>AND(medidas!T112,"AAAAAH675XY=")</f>
        <v>#VALUE!</v>
      </c>
      <c r="DP61" t="e">
        <f>AND(medidas!U112,"AAAAAH675Xc=")</f>
        <v>#VALUE!</v>
      </c>
      <c r="DQ61" t="e">
        <f>AND(medidas!V112,"AAAAAH675Xg=")</f>
        <v>#VALUE!</v>
      </c>
      <c r="DR61" t="e">
        <f>AND(medidas!W112,"AAAAAH675Xk=")</f>
        <v>#VALUE!</v>
      </c>
      <c r="DS61" t="e">
        <f>AND(medidas!X112,"AAAAAH675Xo=")</f>
        <v>#VALUE!</v>
      </c>
      <c r="DT61" t="e">
        <f>AND(medidas!Y112,"AAAAAH675Xs=")</f>
        <v>#VALUE!</v>
      </c>
      <c r="DU61" t="e">
        <f>AND(medidas!Z112,"AAAAAH675Xw=")</f>
        <v>#VALUE!</v>
      </c>
      <c r="DV61" t="e">
        <f>AND(medidas!AA112,"AAAAAH675X0=")</f>
        <v>#VALUE!</v>
      </c>
      <c r="DW61" t="e">
        <f>AND(medidas!AB112,"AAAAAH675X4=")</f>
        <v>#VALUE!</v>
      </c>
      <c r="DX61" t="e">
        <f>AND(medidas!AC112,"AAAAAH675X8=")</f>
        <v>#VALUE!</v>
      </c>
      <c r="DY61" t="e">
        <f>AND(medidas!AD112,"AAAAAH675YA=")</f>
        <v>#VALUE!</v>
      </c>
      <c r="DZ61" t="e">
        <f>AND(medidas!AE112,"AAAAAH675YE=")</f>
        <v>#VALUE!</v>
      </c>
      <c r="EA61" t="e">
        <f>AND(medidas!AF112,"AAAAAH675YI=")</f>
        <v>#VALUE!</v>
      </c>
      <c r="EB61" t="e">
        <f>AND(medidas!AG112,"AAAAAH675YM=")</f>
        <v>#VALUE!</v>
      </c>
      <c r="EC61" t="e">
        <f>AND(medidas!AH112,"AAAAAH675YQ=")</f>
        <v>#VALUE!</v>
      </c>
      <c r="ED61" t="e">
        <f>AND(medidas!AI112,"AAAAAH675YU=")</f>
        <v>#VALUE!</v>
      </c>
      <c r="EE61" t="e">
        <f>AND(medidas!AJ112,"AAAAAH675YY=")</f>
        <v>#VALUE!</v>
      </c>
      <c r="EF61" t="e">
        <f>AND(medidas!AK112,"AAAAAH675Yc=")</f>
        <v>#VALUE!</v>
      </c>
      <c r="EG61" t="e">
        <f>AND(medidas!AL112,"AAAAAH675Yg=")</f>
        <v>#VALUE!</v>
      </c>
      <c r="EH61" t="e">
        <f>AND(medidas!AM112,"AAAAAH675Yk=")</f>
        <v>#VALUE!</v>
      </c>
      <c r="EI61" t="e">
        <f>AND(medidas!AN112,"AAAAAH675Yo=")</f>
        <v>#VALUE!</v>
      </c>
      <c r="EJ61" t="e">
        <f>AND(medidas!AO112,"AAAAAH675Ys=")</f>
        <v>#VALUE!</v>
      </c>
      <c r="EK61" t="e">
        <f>AND(medidas!AP112,"AAAAAH675Yw=")</f>
        <v>#VALUE!</v>
      </c>
      <c r="EL61" t="e">
        <f>AND(medidas!AQ112,"AAAAAH675Y0=")</f>
        <v>#VALUE!</v>
      </c>
      <c r="EM61" t="e">
        <f>AND(medidas!AR112,"AAAAAH675Y4=")</f>
        <v>#VALUE!</v>
      </c>
      <c r="EN61" t="e">
        <f>AND(medidas!AS112,"AAAAAH675Y8=")</f>
        <v>#VALUE!</v>
      </c>
      <c r="EO61" t="e">
        <f>AND(medidas!AT112,"AAAAAH675ZA=")</f>
        <v>#VALUE!</v>
      </c>
      <c r="EP61" t="e">
        <f>AND(medidas!AU112,"AAAAAH675ZE=")</f>
        <v>#VALUE!</v>
      </c>
      <c r="EQ61" t="e">
        <f>AND(medidas!AV112,"AAAAAH675ZI=")</f>
        <v>#VALUE!</v>
      </c>
      <c r="ER61" t="e">
        <f>AND(medidas!AW112,"AAAAAH675ZM=")</f>
        <v>#VALUE!</v>
      </c>
      <c r="ES61" t="e">
        <f>AND(medidas!AX112,"AAAAAH675ZQ=")</f>
        <v>#VALUE!</v>
      </c>
      <c r="ET61" t="e">
        <f>AND(medidas!AY112,"AAAAAH675ZU=")</f>
        <v>#VALUE!</v>
      </c>
      <c r="EU61" t="e">
        <f>AND(medidas!AZ112,"AAAAAH675ZY=")</f>
        <v>#VALUE!</v>
      </c>
      <c r="EV61" t="e">
        <f>AND(medidas!BA112,"AAAAAH675Zc=")</f>
        <v>#VALUE!</v>
      </c>
      <c r="EW61" t="e">
        <f>AND(medidas!BB112,"AAAAAH675Zg=")</f>
        <v>#VALUE!</v>
      </c>
      <c r="EX61" t="e">
        <f>AND(medidas!BC112,"AAAAAH675Zk=")</f>
        <v>#VALUE!</v>
      </c>
      <c r="EY61" t="e">
        <f>AND(medidas!BD112,"AAAAAH675Zo=")</f>
        <v>#VALUE!</v>
      </c>
      <c r="EZ61" t="e">
        <f>AND(medidas!BE112,"AAAAAH675Zs=")</f>
        <v>#VALUE!</v>
      </c>
      <c r="FA61" t="e">
        <f>AND(medidas!BF112,"AAAAAH675Zw=")</f>
        <v>#VALUE!</v>
      </c>
      <c r="FB61" t="e">
        <f>AND(medidas!BG112,"AAAAAH675Z0=")</f>
        <v>#VALUE!</v>
      </c>
      <c r="FC61" t="e">
        <f>AND(medidas!BH112,"AAAAAH675Z4=")</f>
        <v>#VALUE!</v>
      </c>
      <c r="FD61" t="e">
        <f>AND(medidas!BI112,"AAAAAH675Z8=")</f>
        <v>#VALUE!</v>
      </c>
      <c r="FE61" t="e">
        <f>AND(medidas!BJ112,"AAAAAH675aA=")</f>
        <v>#VALUE!</v>
      </c>
      <c r="FF61" t="e">
        <f>AND(medidas!BK112,"AAAAAH675aE=")</f>
        <v>#VALUE!</v>
      </c>
      <c r="FG61" t="e">
        <f>AND(medidas!BL112,"AAAAAH675aI=")</f>
        <v>#VALUE!</v>
      </c>
      <c r="FH61" t="e">
        <f>AND(medidas!BM112,"AAAAAH675aM=")</f>
        <v>#VALUE!</v>
      </c>
      <c r="FI61" t="e">
        <f>AND(medidas!BN112,"AAAAAH675aQ=")</f>
        <v>#VALUE!</v>
      </c>
      <c r="FJ61" t="e">
        <f>AND(medidas!BO112,"AAAAAH675aU=")</f>
        <v>#VALUE!</v>
      </c>
      <c r="FK61" t="e">
        <f>AND(medidas!BP112,"AAAAAH675aY=")</f>
        <v>#VALUE!</v>
      </c>
      <c r="FL61" t="e">
        <f>AND(medidas!BQ112,"AAAAAH675ac=")</f>
        <v>#VALUE!</v>
      </c>
      <c r="FM61" t="e">
        <f>AND(medidas!BR112,"AAAAAH675ag=")</f>
        <v>#VALUE!</v>
      </c>
      <c r="FN61" t="e">
        <f>AND(medidas!BS112,"AAAAAH675ak=")</f>
        <v>#VALUE!</v>
      </c>
      <c r="FO61" t="e">
        <f>AND(medidas!BT112,"AAAAAH675ao=")</f>
        <v>#VALUE!</v>
      </c>
      <c r="FP61" t="e">
        <f>AND(medidas!BU112,"AAAAAH675as=")</f>
        <v>#VALUE!</v>
      </c>
      <c r="FQ61" t="e">
        <f>AND(medidas!BV112,"AAAAAH675aw=")</f>
        <v>#VALUE!</v>
      </c>
      <c r="FR61" t="e">
        <f>AND(medidas!BW112,"AAAAAH675a0=")</f>
        <v>#VALUE!</v>
      </c>
      <c r="FS61" t="e">
        <f>AND(medidas!BX112,"AAAAAH675a4=")</f>
        <v>#VALUE!</v>
      </c>
      <c r="FT61" t="e">
        <f>AND(medidas!BY112,"AAAAAH675a8=")</f>
        <v>#VALUE!</v>
      </c>
      <c r="FU61">
        <f>IF(medidas!113:113,"AAAAAH675bA=",0)</f>
        <v>0</v>
      </c>
      <c r="FV61" t="e">
        <f>AND(medidas!B113,"AAAAAH675bE=")</f>
        <v>#VALUE!</v>
      </c>
      <c r="FW61" t="e">
        <f>AND(medidas!C113,"AAAAAH675bI=")</f>
        <v>#VALUE!</v>
      </c>
      <c r="FX61" t="e">
        <f>AND(medidas!D113,"AAAAAH675bM=")</f>
        <v>#VALUE!</v>
      </c>
      <c r="FY61" t="e">
        <f>AND(medidas!E113,"AAAAAH675bQ=")</f>
        <v>#VALUE!</v>
      </c>
      <c r="FZ61" t="e">
        <f>AND(medidas!F113,"AAAAAH675bU=")</f>
        <v>#VALUE!</v>
      </c>
      <c r="GA61" t="e">
        <f>AND(medidas!G113,"AAAAAH675bY=")</f>
        <v>#VALUE!</v>
      </c>
      <c r="GB61" t="e">
        <f>AND(medidas!H113,"AAAAAH675bc=")</f>
        <v>#VALUE!</v>
      </c>
      <c r="GC61" t="e">
        <f>AND(medidas!I113,"AAAAAH675bg=")</f>
        <v>#VALUE!</v>
      </c>
      <c r="GD61" t="e">
        <f>AND(medidas!J113,"AAAAAH675bk=")</f>
        <v>#VALUE!</v>
      </c>
      <c r="GE61" t="e">
        <f>AND(medidas!K113,"AAAAAH675bo=")</f>
        <v>#VALUE!</v>
      </c>
      <c r="GF61" t="e">
        <f>AND(medidas!L113,"AAAAAH675bs=")</f>
        <v>#VALUE!</v>
      </c>
      <c r="GG61" t="e">
        <f>AND(medidas!M113,"AAAAAH675bw=")</f>
        <v>#VALUE!</v>
      </c>
      <c r="GH61" t="e">
        <f>AND(medidas!N113,"AAAAAH675b0=")</f>
        <v>#VALUE!</v>
      </c>
      <c r="GI61" t="e">
        <f>AND(medidas!O113,"AAAAAH675b4=")</f>
        <v>#VALUE!</v>
      </c>
      <c r="GJ61" t="e">
        <f>AND(medidas!P113,"AAAAAH675b8=")</f>
        <v>#VALUE!</v>
      </c>
      <c r="GK61" t="e">
        <f>AND(medidas!Q113,"AAAAAH675cA=")</f>
        <v>#VALUE!</v>
      </c>
      <c r="GL61" t="e">
        <f>AND(medidas!R113,"AAAAAH675cE=")</f>
        <v>#VALUE!</v>
      </c>
      <c r="GM61" t="e">
        <f>AND(medidas!S113,"AAAAAH675cI=")</f>
        <v>#VALUE!</v>
      </c>
      <c r="GN61" t="e">
        <f>AND(medidas!T113,"AAAAAH675cM=")</f>
        <v>#VALUE!</v>
      </c>
      <c r="GO61" t="e">
        <f>AND(medidas!U113,"AAAAAH675cQ=")</f>
        <v>#VALUE!</v>
      </c>
      <c r="GP61" t="e">
        <f>AND(medidas!V113,"AAAAAH675cU=")</f>
        <v>#VALUE!</v>
      </c>
      <c r="GQ61" t="e">
        <f>AND(medidas!W113,"AAAAAH675cY=")</f>
        <v>#VALUE!</v>
      </c>
      <c r="GR61" t="e">
        <f>AND(medidas!X113,"AAAAAH675cc=")</f>
        <v>#VALUE!</v>
      </c>
      <c r="GS61" t="e">
        <f>AND(medidas!Y113,"AAAAAH675cg=")</f>
        <v>#VALUE!</v>
      </c>
      <c r="GT61" t="e">
        <f>AND(medidas!Z113,"AAAAAH675ck=")</f>
        <v>#VALUE!</v>
      </c>
      <c r="GU61" t="e">
        <f>AND(medidas!AA113,"AAAAAH675co=")</f>
        <v>#VALUE!</v>
      </c>
      <c r="GV61" t="e">
        <f>AND(medidas!AB113,"AAAAAH675cs=")</f>
        <v>#VALUE!</v>
      </c>
      <c r="GW61" t="e">
        <f>AND(medidas!AC113,"AAAAAH675cw=")</f>
        <v>#VALUE!</v>
      </c>
      <c r="GX61" t="e">
        <f>AND(medidas!AD113,"AAAAAH675c0=")</f>
        <v>#VALUE!</v>
      </c>
      <c r="GY61" t="e">
        <f>AND(medidas!AE113,"AAAAAH675c4=")</f>
        <v>#VALUE!</v>
      </c>
      <c r="GZ61" t="e">
        <f>AND(medidas!AF113,"AAAAAH675c8=")</f>
        <v>#VALUE!</v>
      </c>
      <c r="HA61" t="e">
        <f>AND(medidas!AG113,"AAAAAH675dA=")</f>
        <v>#VALUE!</v>
      </c>
      <c r="HB61" t="e">
        <f>AND(medidas!AH113,"AAAAAH675dE=")</f>
        <v>#VALUE!</v>
      </c>
      <c r="HC61" t="e">
        <f>AND(medidas!AI113,"AAAAAH675dI=")</f>
        <v>#VALUE!</v>
      </c>
      <c r="HD61" t="e">
        <f>AND(medidas!AJ113,"AAAAAH675dM=")</f>
        <v>#VALUE!</v>
      </c>
      <c r="HE61" t="e">
        <f>AND(medidas!AK113,"AAAAAH675dQ=")</f>
        <v>#VALUE!</v>
      </c>
      <c r="HF61" t="e">
        <f>AND(medidas!AL113,"AAAAAH675dU=")</f>
        <v>#VALUE!</v>
      </c>
      <c r="HG61" t="e">
        <f>AND(medidas!AM113,"AAAAAH675dY=")</f>
        <v>#VALUE!</v>
      </c>
      <c r="HH61" t="e">
        <f>AND(medidas!AN113,"AAAAAH675dc=")</f>
        <v>#VALUE!</v>
      </c>
      <c r="HI61" t="e">
        <f>AND(medidas!AO113,"AAAAAH675dg=")</f>
        <v>#VALUE!</v>
      </c>
      <c r="HJ61" t="e">
        <f>AND(medidas!AP113,"AAAAAH675dk=")</f>
        <v>#VALUE!</v>
      </c>
      <c r="HK61" t="e">
        <f>AND(medidas!AQ113,"AAAAAH675do=")</f>
        <v>#VALUE!</v>
      </c>
      <c r="HL61" t="e">
        <f>AND(medidas!AR113,"AAAAAH675ds=")</f>
        <v>#VALUE!</v>
      </c>
      <c r="HM61" t="e">
        <f>AND(medidas!AS113,"AAAAAH675dw=")</f>
        <v>#VALUE!</v>
      </c>
      <c r="HN61" t="e">
        <f>AND(medidas!AT113,"AAAAAH675d0=")</f>
        <v>#VALUE!</v>
      </c>
      <c r="HO61" t="e">
        <f>AND(medidas!AU113,"AAAAAH675d4=")</f>
        <v>#VALUE!</v>
      </c>
      <c r="HP61" t="e">
        <f>AND(medidas!AV113,"AAAAAH675d8=")</f>
        <v>#VALUE!</v>
      </c>
      <c r="HQ61" t="e">
        <f>AND(medidas!AW113,"AAAAAH675eA=")</f>
        <v>#VALUE!</v>
      </c>
      <c r="HR61" t="e">
        <f>AND(medidas!AX113,"AAAAAH675eE=")</f>
        <v>#VALUE!</v>
      </c>
      <c r="HS61" t="e">
        <f>AND(medidas!AY113,"AAAAAH675eI=")</f>
        <v>#VALUE!</v>
      </c>
      <c r="HT61" t="e">
        <f>AND(medidas!AZ113,"AAAAAH675eM=")</f>
        <v>#VALUE!</v>
      </c>
      <c r="HU61" t="e">
        <f>AND(medidas!BA113,"AAAAAH675eQ=")</f>
        <v>#VALUE!</v>
      </c>
      <c r="HV61" t="e">
        <f>AND(medidas!BB113,"AAAAAH675eU=")</f>
        <v>#VALUE!</v>
      </c>
      <c r="HW61" t="e">
        <f>AND(medidas!BC113,"AAAAAH675eY=")</f>
        <v>#VALUE!</v>
      </c>
      <c r="HX61" t="e">
        <f>AND(medidas!BD113,"AAAAAH675ec=")</f>
        <v>#VALUE!</v>
      </c>
      <c r="HY61" t="e">
        <f>AND(medidas!BE113,"AAAAAH675eg=")</f>
        <v>#VALUE!</v>
      </c>
      <c r="HZ61" t="e">
        <f>AND(medidas!BF113,"AAAAAH675ek=")</f>
        <v>#VALUE!</v>
      </c>
      <c r="IA61" t="e">
        <f>AND(medidas!BG113,"AAAAAH675eo=")</f>
        <v>#VALUE!</v>
      </c>
      <c r="IB61" t="e">
        <f>AND(medidas!BH113,"AAAAAH675es=")</f>
        <v>#VALUE!</v>
      </c>
      <c r="IC61" t="e">
        <f>AND(medidas!BI113,"AAAAAH675ew=")</f>
        <v>#VALUE!</v>
      </c>
      <c r="ID61" t="e">
        <f>AND(medidas!BJ113,"AAAAAH675e0=")</f>
        <v>#VALUE!</v>
      </c>
      <c r="IE61" t="e">
        <f>AND(medidas!BK113,"AAAAAH675e4=")</f>
        <v>#VALUE!</v>
      </c>
      <c r="IF61" t="e">
        <f>AND(medidas!BL113,"AAAAAH675e8=")</f>
        <v>#VALUE!</v>
      </c>
      <c r="IG61" t="e">
        <f>AND(medidas!BM113,"AAAAAH675fA=")</f>
        <v>#VALUE!</v>
      </c>
      <c r="IH61" t="e">
        <f>AND(medidas!BN113,"AAAAAH675fE=")</f>
        <v>#VALUE!</v>
      </c>
      <c r="II61" t="e">
        <f>AND(medidas!BO113,"AAAAAH675fI=")</f>
        <v>#VALUE!</v>
      </c>
      <c r="IJ61" t="e">
        <f>AND(medidas!BP113,"AAAAAH675fM=")</f>
        <v>#VALUE!</v>
      </c>
      <c r="IK61" t="e">
        <f>AND(medidas!BQ113,"AAAAAH675fQ=")</f>
        <v>#VALUE!</v>
      </c>
      <c r="IL61" t="e">
        <f>AND(medidas!BR113,"AAAAAH675fU=")</f>
        <v>#VALUE!</v>
      </c>
      <c r="IM61" t="e">
        <f>AND(medidas!BS113,"AAAAAH675fY=")</f>
        <v>#VALUE!</v>
      </c>
      <c r="IN61" t="e">
        <f>AND(medidas!BT113,"AAAAAH675fc=")</f>
        <v>#VALUE!</v>
      </c>
      <c r="IO61" t="e">
        <f>AND(medidas!BU113,"AAAAAH675fg=")</f>
        <v>#VALUE!</v>
      </c>
      <c r="IP61" t="e">
        <f>AND(medidas!BV113,"AAAAAH675fk=")</f>
        <v>#VALUE!</v>
      </c>
      <c r="IQ61" t="e">
        <f>AND(medidas!BW113,"AAAAAH675fo=")</f>
        <v>#VALUE!</v>
      </c>
      <c r="IR61" t="e">
        <f>AND(medidas!BX113,"AAAAAH675fs=")</f>
        <v>#VALUE!</v>
      </c>
      <c r="IS61" t="e">
        <f>AND(medidas!BY113,"AAAAAH675fw=")</f>
        <v>#VALUE!</v>
      </c>
      <c r="IT61">
        <f>IF(medidas!114:114,"AAAAAH675f0=",0)</f>
        <v>0</v>
      </c>
      <c r="IU61" t="e">
        <f>AND(medidas!B114,"AAAAAH675f4=")</f>
        <v>#VALUE!</v>
      </c>
      <c r="IV61" t="e">
        <f>AND(medidas!C114,"AAAAAH675f8=")</f>
        <v>#VALUE!</v>
      </c>
    </row>
    <row r="62" spans="1:256" x14ac:dyDescent="0.2">
      <c r="A62" t="e">
        <f>AND(medidas!D114,"AAAAAH2+3wA=")</f>
        <v>#VALUE!</v>
      </c>
      <c r="B62" t="e">
        <f>AND(medidas!E114,"AAAAAH2+3wE=")</f>
        <v>#VALUE!</v>
      </c>
      <c r="C62" t="e">
        <f>AND(medidas!F114,"AAAAAH2+3wI=")</f>
        <v>#VALUE!</v>
      </c>
      <c r="D62" t="e">
        <f>AND(medidas!G114,"AAAAAH2+3wM=")</f>
        <v>#VALUE!</v>
      </c>
      <c r="E62" t="e">
        <f>AND(medidas!H114,"AAAAAH2+3wQ=")</f>
        <v>#VALUE!</v>
      </c>
      <c r="F62" t="e">
        <f>AND(medidas!I114,"AAAAAH2+3wU=")</f>
        <v>#VALUE!</v>
      </c>
      <c r="G62" t="e">
        <f>AND(medidas!J114,"AAAAAH2+3wY=")</f>
        <v>#VALUE!</v>
      </c>
      <c r="H62" t="e">
        <f>AND(medidas!K114,"AAAAAH2+3wc=")</f>
        <v>#VALUE!</v>
      </c>
      <c r="I62" t="e">
        <f>AND(medidas!L114,"AAAAAH2+3wg=")</f>
        <v>#VALUE!</v>
      </c>
      <c r="J62" t="e">
        <f>AND(medidas!M114,"AAAAAH2+3wk=")</f>
        <v>#VALUE!</v>
      </c>
      <c r="K62" t="e">
        <f>AND(medidas!N114,"AAAAAH2+3wo=")</f>
        <v>#VALUE!</v>
      </c>
      <c r="L62" t="e">
        <f>AND(medidas!O114,"AAAAAH2+3ws=")</f>
        <v>#VALUE!</v>
      </c>
      <c r="M62" t="e">
        <f>AND(medidas!P114,"AAAAAH2+3ww=")</f>
        <v>#VALUE!</v>
      </c>
      <c r="N62" t="e">
        <f>AND(medidas!Q114,"AAAAAH2+3w0=")</f>
        <v>#VALUE!</v>
      </c>
      <c r="O62" t="e">
        <f>AND(medidas!R114,"AAAAAH2+3w4=")</f>
        <v>#VALUE!</v>
      </c>
      <c r="P62" t="e">
        <f>AND(medidas!S114,"AAAAAH2+3w8=")</f>
        <v>#VALUE!</v>
      </c>
      <c r="Q62" t="e">
        <f>AND(medidas!T114,"AAAAAH2+3xA=")</f>
        <v>#VALUE!</v>
      </c>
      <c r="R62" t="e">
        <f>AND(medidas!U114,"AAAAAH2+3xE=")</f>
        <v>#VALUE!</v>
      </c>
      <c r="S62" t="e">
        <f>AND(medidas!V114,"AAAAAH2+3xI=")</f>
        <v>#VALUE!</v>
      </c>
      <c r="T62" t="e">
        <f>AND(medidas!W114,"AAAAAH2+3xM=")</f>
        <v>#VALUE!</v>
      </c>
      <c r="U62" t="e">
        <f>AND(medidas!X114,"AAAAAH2+3xQ=")</f>
        <v>#VALUE!</v>
      </c>
      <c r="V62" t="e">
        <f>AND(medidas!Y114,"AAAAAH2+3xU=")</f>
        <v>#VALUE!</v>
      </c>
      <c r="W62" t="e">
        <f>AND(medidas!Z114,"AAAAAH2+3xY=")</f>
        <v>#VALUE!</v>
      </c>
      <c r="X62" t="e">
        <f>AND(medidas!AA114,"AAAAAH2+3xc=")</f>
        <v>#VALUE!</v>
      </c>
      <c r="Y62" t="e">
        <f>AND(medidas!AB114,"AAAAAH2+3xg=")</f>
        <v>#VALUE!</v>
      </c>
      <c r="Z62" t="e">
        <f>AND(medidas!AC114,"AAAAAH2+3xk=")</f>
        <v>#VALUE!</v>
      </c>
      <c r="AA62" t="e">
        <f>AND(medidas!AD114,"AAAAAH2+3xo=")</f>
        <v>#VALUE!</v>
      </c>
      <c r="AB62" t="e">
        <f>AND(medidas!AE114,"AAAAAH2+3xs=")</f>
        <v>#VALUE!</v>
      </c>
      <c r="AC62" t="e">
        <f>AND(medidas!AF114,"AAAAAH2+3xw=")</f>
        <v>#VALUE!</v>
      </c>
      <c r="AD62" t="e">
        <f>AND(medidas!AG114,"AAAAAH2+3x0=")</f>
        <v>#VALUE!</v>
      </c>
      <c r="AE62" t="e">
        <f>AND(medidas!AH114,"AAAAAH2+3x4=")</f>
        <v>#VALUE!</v>
      </c>
      <c r="AF62" t="e">
        <f>AND(medidas!AI114,"AAAAAH2+3x8=")</f>
        <v>#VALUE!</v>
      </c>
      <c r="AG62" t="e">
        <f>AND(medidas!AJ114,"AAAAAH2+3yA=")</f>
        <v>#VALUE!</v>
      </c>
      <c r="AH62" t="e">
        <f>AND(medidas!AK114,"AAAAAH2+3yE=")</f>
        <v>#VALUE!</v>
      </c>
      <c r="AI62" t="e">
        <f>AND(medidas!AL114,"AAAAAH2+3yI=")</f>
        <v>#VALUE!</v>
      </c>
      <c r="AJ62" t="e">
        <f>AND(medidas!AM114,"AAAAAH2+3yM=")</f>
        <v>#VALUE!</v>
      </c>
      <c r="AK62" t="e">
        <f>AND(medidas!AN114,"AAAAAH2+3yQ=")</f>
        <v>#VALUE!</v>
      </c>
      <c r="AL62" t="e">
        <f>AND(medidas!AO114,"AAAAAH2+3yU=")</f>
        <v>#VALUE!</v>
      </c>
      <c r="AM62" t="e">
        <f>AND(medidas!AP114,"AAAAAH2+3yY=")</f>
        <v>#VALUE!</v>
      </c>
      <c r="AN62" t="e">
        <f>AND(medidas!AQ114,"AAAAAH2+3yc=")</f>
        <v>#VALUE!</v>
      </c>
      <c r="AO62" t="e">
        <f>AND(medidas!AR114,"AAAAAH2+3yg=")</f>
        <v>#VALUE!</v>
      </c>
      <c r="AP62" t="e">
        <f>AND(medidas!AS114,"AAAAAH2+3yk=")</f>
        <v>#VALUE!</v>
      </c>
      <c r="AQ62" t="e">
        <f>AND(medidas!AT114,"AAAAAH2+3yo=")</f>
        <v>#VALUE!</v>
      </c>
      <c r="AR62" t="e">
        <f>AND(medidas!AU114,"AAAAAH2+3ys=")</f>
        <v>#VALUE!</v>
      </c>
      <c r="AS62" t="e">
        <f>AND(medidas!AV114,"AAAAAH2+3yw=")</f>
        <v>#VALUE!</v>
      </c>
      <c r="AT62" t="e">
        <f>AND(medidas!AW114,"AAAAAH2+3y0=")</f>
        <v>#VALUE!</v>
      </c>
      <c r="AU62" t="e">
        <f>AND(medidas!AX114,"AAAAAH2+3y4=")</f>
        <v>#VALUE!</v>
      </c>
      <c r="AV62" t="e">
        <f>AND(medidas!AY114,"AAAAAH2+3y8=")</f>
        <v>#VALUE!</v>
      </c>
      <c r="AW62" t="e">
        <f>AND(medidas!AZ114,"AAAAAH2+3zA=")</f>
        <v>#VALUE!</v>
      </c>
      <c r="AX62" t="e">
        <f>AND(medidas!BA114,"AAAAAH2+3zE=")</f>
        <v>#VALUE!</v>
      </c>
      <c r="AY62" t="e">
        <f>AND(medidas!BB114,"AAAAAH2+3zI=")</f>
        <v>#VALUE!</v>
      </c>
      <c r="AZ62" t="e">
        <f>AND(medidas!BC114,"AAAAAH2+3zM=")</f>
        <v>#VALUE!</v>
      </c>
      <c r="BA62" t="e">
        <f>AND(medidas!BD114,"AAAAAH2+3zQ=")</f>
        <v>#VALUE!</v>
      </c>
      <c r="BB62" t="e">
        <f>AND(medidas!BE114,"AAAAAH2+3zU=")</f>
        <v>#VALUE!</v>
      </c>
      <c r="BC62" t="e">
        <f>AND(medidas!BF114,"AAAAAH2+3zY=")</f>
        <v>#VALUE!</v>
      </c>
      <c r="BD62" t="e">
        <f>AND(medidas!BG114,"AAAAAH2+3zc=")</f>
        <v>#VALUE!</v>
      </c>
      <c r="BE62" t="e">
        <f>AND(medidas!BH114,"AAAAAH2+3zg=")</f>
        <v>#VALUE!</v>
      </c>
      <c r="BF62" t="e">
        <f>AND(medidas!BI114,"AAAAAH2+3zk=")</f>
        <v>#VALUE!</v>
      </c>
      <c r="BG62" t="e">
        <f>AND(medidas!BJ114,"AAAAAH2+3zo=")</f>
        <v>#VALUE!</v>
      </c>
      <c r="BH62" t="e">
        <f>AND(medidas!BK114,"AAAAAH2+3zs=")</f>
        <v>#VALUE!</v>
      </c>
      <c r="BI62" t="e">
        <f>AND(medidas!BL114,"AAAAAH2+3zw=")</f>
        <v>#VALUE!</v>
      </c>
      <c r="BJ62" t="e">
        <f>AND(medidas!BM114,"AAAAAH2+3z0=")</f>
        <v>#VALUE!</v>
      </c>
      <c r="BK62" t="e">
        <f>AND(medidas!BN114,"AAAAAH2+3z4=")</f>
        <v>#VALUE!</v>
      </c>
      <c r="BL62" t="e">
        <f>AND(medidas!BO114,"AAAAAH2+3z8=")</f>
        <v>#VALUE!</v>
      </c>
      <c r="BM62" t="e">
        <f>AND(medidas!BP114,"AAAAAH2+30A=")</f>
        <v>#VALUE!</v>
      </c>
      <c r="BN62" t="e">
        <f>AND(medidas!BQ114,"AAAAAH2+30E=")</f>
        <v>#VALUE!</v>
      </c>
      <c r="BO62" t="e">
        <f>AND(medidas!BR114,"AAAAAH2+30I=")</f>
        <v>#VALUE!</v>
      </c>
      <c r="BP62" t="e">
        <f>AND(medidas!BS114,"AAAAAH2+30M=")</f>
        <v>#VALUE!</v>
      </c>
      <c r="BQ62" t="e">
        <f>AND(medidas!BT114,"AAAAAH2+30Q=")</f>
        <v>#VALUE!</v>
      </c>
      <c r="BR62" t="e">
        <f>AND(medidas!BU114,"AAAAAH2+30U=")</f>
        <v>#VALUE!</v>
      </c>
      <c r="BS62" t="e">
        <f>AND(medidas!BV114,"AAAAAH2+30Y=")</f>
        <v>#VALUE!</v>
      </c>
      <c r="BT62" t="e">
        <f>AND(medidas!BW114,"AAAAAH2+30c=")</f>
        <v>#VALUE!</v>
      </c>
      <c r="BU62" t="e">
        <f>AND(medidas!BX114,"AAAAAH2+30g=")</f>
        <v>#VALUE!</v>
      </c>
      <c r="BV62" t="e">
        <f>AND(medidas!BY114,"AAAAAH2+30k=")</f>
        <v>#VALUE!</v>
      </c>
      <c r="BW62">
        <f>IF(medidas!115:115,"AAAAAH2+30o=",0)</f>
        <v>0</v>
      </c>
      <c r="BX62" t="e">
        <f>AND(medidas!B115,"AAAAAH2+30s=")</f>
        <v>#VALUE!</v>
      </c>
      <c r="BY62" t="e">
        <f>AND(medidas!C115,"AAAAAH2+30w=")</f>
        <v>#VALUE!</v>
      </c>
      <c r="BZ62" t="e">
        <f>AND(medidas!D115,"AAAAAH2+300=")</f>
        <v>#VALUE!</v>
      </c>
      <c r="CA62" t="e">
        <f>AND(medidas!E115,"AAAAAH2+304=")</f>
        <v>#VALUE!</v>
      </c>
      <c r="CB62" t="e">
        <f>AND(medidas!F115,"AAAAAH2+308=")</f>
        <v>#VALUE!</v>
      </c>
      <c r="CC62" t="e">
        <f>AND(medidas!G115,"AAAAAH2+31A=")</f>
        <v>#VALUE!</v>
      </c>
      <c r="CD62" t="e">
        <f>AND(medidas!H115,"AAAAAH2+31E=")</f>
        <v>#VALUE!</v>
      </c>
      <c r="CE62" t="e">
        <f>AND(medidas!I115,"AAAAAH2+31I=")</f>
        <v>#VALUE!</v>
      </c>
      <c r="CF62" t="e">
        <f>AND(medidas!J115,"AAAAAH2+31M=")</f>
        <v>#VALUE!</v>
      </c>
      <c r="CG62" t="e">
        <f>AND(medidas!K115,"AAAAAH2+31Q=")</f>
        <v>#VALUE!</v>
      </c>
      <c r="CH62" t="e">
        <f>AND(medidas!L115,"AAAAAH2+31U=")</f>
        <v>#VALUE!</v>
      </c>
      <c r="CI62" t="e">
        <f>AND(medidas!M115,"AAAAAH2+31Y=")</f>
        <v>#VALUE!</v>
      </c>
      <c r="CJ62" t="e">
        <f>AND(medidas!N115,"AAAAAH2+31c=")</f>
        <v>#VALUE!</v>
      </c>
      <c r="CK62" t="e">
        <f>AND(medidas!O115,"AAAAAH2+31g=")</f>
        <v>#VALUE!</v>
      </c>
      <c r="CL62" t="e">
        <f>AND(medidas!P115,"AAAAAH2+31k=")</f>
        <v>#VALUE!</v>
      </c>
      <c r="CM62" t="e">
        <f>AND(medidas!Q115,"AAAAAH2+31o=")</f>
        <v>#VALUE!</v>
      </c>
      <c r="CN62" t="e">
        <f>AND(medidas!R115,"AAAAAH2+31s=")</f>
        <v>#VALUE!</v>
      </c>
      <c r="CO62" t="e">
        <f>AND(medidas!S115,"AAAAAH2+31w=")</f>
        <v>#VALUE!</v>
      </c>
      <c r="CP62" t="e">
        <f>AND(medidas!T115,"AAAAAH2+310=")</f>
        <v>#VALUE!</v>
      </c>
      <c r="CQ62" t="e">
        <f>AND(medidas!U115,"AAAAAH2+314=")</f>
        <v>#VALUE!</v>
      </c>
      <c r="CR62" t="e">
        <f>AND(medidas!V115,"AAAAAH2+318=")</f>
        <v>#VALUE!</v>
      </c>
      <c r="CS62" t="e">
        <f>AND(medidas!W115,"AAAAAH2+32A=")</f>
        <v>#VALUE!</v>
      </c>
      <c r="CT62" t="e">
        <f>AND(medidas!X115,"AAAAAH2+32E=")</f>
        <v>#VALUE!</v>
      </c>
      <c r="CU62" t="e">
        <f>AND(medidas!Y115,"AAAAAH2+32I=")</f>
        <v>#VALUE!</v>
      </c>
      <c r="CV62" t="e">
        <f>AND(medidas!Z115,"AAAAAH2+32M=")</f>
        <v>#VALUE!</v>
      </c>
      <c r="CW62" t="e">
        <f>AND(medidas!AA115,"AAAAAH2+32Q=")</f>
        <v>#VALUE!</v>
      </c>
      <c r="CX62" t="e">
        <f>AND(medidas!AB115,"AAAAAH2+32U=")</f>
        <v>#VALUE!</v>
      </c>
      <c r="CY62" t="e">
        <f>AND(medidas!AC115,"AAAAAH2+32Y=")</f>
        <v>#VALUE!</v>
      </c>
      <c r="CZ62" t="e">
        <f>AND(medidas!AD115,"AAAAAH2+32c=")</f>
        <v>#VALUE!</v>
      </c>
      <c r="DA62" t="e">
        <f>AND(medidas!AE115,"AAAAAH2+32g=")</f>
        <v>#VALUE!</v>
      </c>
      <c r="DB62" t="e">
        <f>AND(medidas!AF115,"AAAAAH2+32k=")</f>
        <v>#VALUE!</v>
      </c>
      <c r="DC62" t="e">
        <f>AND(medidas!AG115,"AAAAAH2+32o=")</f>
        <v>#VALUE!</v>
      </c>
      <c r="DD62" t="e">
        <f>AND(medidas!AH115,"AAAAAH2+32s=")</f>
        <v>#VALUE!</v>
      </c>
      <c r="DE62" t="e">
        <f>AND(medidas!AI115,"AAAAAH2+32w=")</f>
        <v>#VALUE!</v>
      </c>
      <c r="DF62" t="e">
        <f>AND(medidas!AJ115,"AAAAAH2+320=")</f>
        <v>#VALUE!</v>
      </c>
      <c r="DG62" t="e">
        <f>AND(medidas!AK115,"AAAAAH2+324=")</f>
        <v>#VALUE!</v>
      </c>
      <c r="DH62" t="e">
        <f>AND(medidas!AL115,"AAAAAH2+328=")</f>
        <v>#VALUE!</v>
      </c>
      <c r="DI62" t="e">
        <f>AND(medidas!AM115,"AAAAAH2+33A=")</f>
        <v>#VALUE!</v>
      </c>
      <c r="DJ62" t="e">
        <f>AND(medidas!AN115,"AAAAAH2+33E=")</f>
        <v>#VALUE!</v>
      </c>
      <c r="DK62" t="e">
        <f>AND(medidas!AO115,"AAAAAH2+33I=")</f>
        <v>#VALUE!</v>
      </c>
      <c r="DL62" t="e">
        <f>AND(medidas!AP115,"AAAAAH2+33M=")</f>
        <v>#VALUE!</v>
      </c>
      <c r="DM62" t="e">
        <f>AND(medidas!AQ115,"AAAAAH2+33Q=")</f>
        <v>#VALUE!</v>
      </c>
      <c r="DN62" t="e">
        <f>AND(medidas!AR115,"AAAAAH2+33U=")</f>
        <v>#VALUE!</v>
      </c>
      <c r="DO62" t="e">
        <f>AND(medidas!AS115,"AAAAAH2+33Y=")</f>
        <v>#VALUE!</v>
      </c>
      <c r="DP62" t="e">
        <f>AND(medidas!AT115,"AAAAAH2+33c=")</f>
        <v>#VALUE!</v>
      </c>
      <c r="DQ62" t="e">
        <f>AND(medidas!AU115,"AAAAAH2+33g=")</f>
        <v>#VALUE!</v>
      </c>
      <c r="DR62" t="e">
        <f>AND(medidas!AV115,"AAAAAH2+33k=")</f>
        <v>#VALUE!</v>
      </c>
      <c r="DS62" t="e">
        <f>AND(medidas!AW115,"AAAAAH2+33o=")</f>
        <v>#VALUE!</v>
      </c>
      <c r="DT62" t="e">
        <f>AND(medidas!AX115,"AAAAAH2+33s=")</f>
        <v>#VALUE!</v>
      </c>
      <c r="DU62" t="e">
        <f>AND(medidas!AY115,"AAAAAH2+33w=")</f>
        <v>#VALUE!</v>
      </c>
      <c r="DV62" t="e">
        <f>AND(medidas!AZ115,"AAAAAH2+330=")</f>
        <v>#VALUE!</v>
      </c>
      <c r="DW62" t="e">
        <f>AND(medidas!BA115,"AAAAAH2+334=")</f>
        <v>#VALUE!</v>
      </c>
      <c r="DX62" t="e">
        <f>AND(medidas!BB115,"AAAAAH2+338=")</f>
        <v>#VALUE!</v>
      </c>
      <c r="DY62" t="e">
        <f>AND(medidas!BC115,"AAAAAH2+34A=")</f>
        <v>#VALUE!</v>
      </c>
      <c r="DZ62" t="e">
        <f>AND(medidas!BD115,"AAAAAH2+34E=")</f>
        <v>#VALUE!</v>
      </c>
      <c r="EA62" t="e">
        <f>AND(medidas!BE115,"AAAAAH2+34I=")</f>
        <v>#VALUE!</v>
      </c>
      <c r="EB62" t="e">
        <f>AND(medidas!BF115,"AAAAAH2+34M=")</f>
        <v>#VALUE!</v>
      </c>
      <c r="EC62" t="e">
        <f>AND(medidas!BG115,"AAAAAH2+34Q=")</f>
        <v>#VALUE!</v>
      </c>
      <c r="ED62" t="e">
        <f>AND(medidas!BH115,"AAAAAH2+34U=")</f>
        <v>#VALUE!</v>
      </c>
      <c r="EE62" t="e">
        <f>AND(medidas!BI115,"AAAAAH2+34Y=")</f>
        <v>#VALUE!</v>
      </c>
      <c r="EF62" t="e">
        <f>AND(medidas!BJ115,"AAAAAH2+34c=")</f>
        <v>#VALUE!</v>
      </c>
      <c r="EG62" t="e">
        <f>AND(medidas!BK115,"AAAAAH2+34g=")</f>
        <v>#VALUE!</v>
      </c>
      <c r="EH62" t="e">
        <f>AND(medidas!BL115,"AAAAAH2+34k=")</f>
        <v>#VALUE!</v>
      </c>
      <c r="EI62" t="e">
        <f>AND(medidas!BM115,"AAAAAH2+34o=")</f>
        <v>#VALUE!</v>
      </c>
      <c r="EJ62" t="e">
        <f>AND(medidas!BN115,"AAAAAH2+34s=")</f>
        <v>#VALUE!</v>
      </c>
      <c r="EK62" t="e">
        <f>AND(medidas!BO115,"AAAAAH2+34w=")</f>
        <v>#VALUE!</v>
      </c>
      <c r="EL62" t="e">
        <f>AND(medidas!BP115,"AAAAAH2+340=")</f>
        <v>#VALUE!</v>
      </c>
      <c r="EM62" t="e">
        <f>AND(medidas!BQ115,"AAAAAH2+344=")</f>
        <v>#VALUE!</v>
      </c>
      <c r="EN62" t="e">
        <f>AND(medidas!BR115,"AAAAAH2+348=")</f>
        <v>#VALUE!</v>
      </c>
      <c r="EO62" t="e">
        <f>AND(medidas!BS115,"AAAAAH2+35A=")</f>
        <v>#VALUE!</v>
      </c>
      <c r="EP62" t="e">
        <f>AND(medidas!BT115,"AAAAAH2+35E=")</f>
        <v>#VALUE!</v>
      </c>
      <c r="EQ62" t="e">
        <f>AND(medidas!BU115,"AAAAAH2+35I=")</f>
        <v>#VALUE!</v>
      </c>
      <c r="ER62" t="e">
        <f>AND(medidas!BV115,"AAAAAH2+35M=")</f>
        <v>#VALUE!</v>
      </c>
      <c r="ES62" t="e">
        <f>AND(medidas!BW115,"AAAAAH2+35Q=")</f>
        <v>#VALUE!</v>
      </c>
      <c r="ET62" t="e">
        <f>AND(medidas!BX115,"AAAAAH2+35U=")</f>
        <v>#VALUE!</v>
      </c>
      <c r="EU62" t="e">
        <f>AND(medidas!BY115,"AAAAAH2+35Y=")</f>
        <v>#VALUE!</v>
      </c>
      <c r="EV62">
        <f>IF(medidas!116:116,"AAAAAH2+35c=",0)</f>
        <v>0</v>
      </c>
      <c r="EW62" t="e">
        <f>AND(medidas!B116,"AAAAAH2+35g=")</f>
        <v>#VALUE!</v>
      </c>
      <c r="EX62" t="e">
        <f>AND(medidas!C116,"AAAAAH2+35k=")</f>
        <v>#VALUE!</v>
      </c>
      <c r="EY62" t="e">
        <f>AND(medidas!D116,"AAAAAH2+35o=")</f>
        <v>#VALUE!</v>
      </c>
      <c r="EZ62" t="e">
        <f>AND(medidas!E116,"AAAAAH2+35s=")</f>
        <v>#VALUE!</v>
      </c>
      <c r="FA62" t="e">
        <f>AND(medidas!F116,"AAAAAH2+35w=")</f>
        <v>#VALUE!</v>
      </c>
      <c r="FB62" t="e">
        <f>AND(medidas!G116,"AAAAAH2+350=")</f>
        <v>#VALUE!</v>
      </c>
      <c r="FC62" t="e">
        <f>AND(medidas!H116,"AAAAAH2+354=")</f>
        <v>#VALUE!</v>
      </c>
      <c r="FD62" t="e">
        <f>AND(medidas!I116,"AAAAAH2+358=")</f>
        <v>#VALUE!</v>
      </c>
      <c r="FE62" t="e">
        <f>AND(medidas!J116,"AAAAAH2+36A=")</f>
        <v>#VALUE!</v>
      </c>
      <c r="FF62" t="e">
        <f>AND(medidas!K116,"AAAAAH2+36E=")</f>
        <v>#VALUE!</v>
      </c>
      <c r="FG62" t="e">
        <f>AND(medidas!L116,"AAAAAH2+36I=")</f>
        <v>#VALUE!</v>
      </c>
      <c r="FH62" t="e">
        <f>AND(medidas!M116,"AAAAAH2+36M=")</f>
        <v>#VALUE!</v>
      </c>
      <c r="FI62" t="e">
        <f>AND(medidas!N116,"AAAAAH2+36Q=")</f>
        <v>#VALUE!</v>
      </c>
      <c r="FJ62" t="e">
        <f>AND(medidas!O116,"AAAAAH2+36U=")</f>
        <v>#VALUE!</v>
      </c>
      <c r="FK62" t="e">
        <f>AND(medidas!P116,"AAAAAH2+36Y=")</f>
        <v>#VALUE!</v>
      </c>
      <c r="FL62" t="e">
        <f>AND(medidas!Q116,"AAAAAH2+36c=")</f>
        <v>#VALUE!</v>
      </c>
      <c r="FM62" t="e">
        <f>AND(medidas!R116,"AAAAAH2+36g=")</f>
        <v>#VALUE!</v>
      </c>
      <c r="FN62" t="e">
        <f>AND(medidas!S116,"AAAAAH2+36k=")</f>
        <v>#VALUE!</v>
      </c>
      <c r="FO62" t="e">
        <f>AND(medidas!T116,"AAAAAH2+36o=")</f>
        <v>#VALUE!</v>
      </c>
      <c r="FP62" t="e">
        <f>AND(medidas!U116,"AAAAAH2+36s=")</f>
        <v>#VALUE!</v>
      </c>
      <c r="FQ62" t="e">
        <f>AND(medidas!V116,"AAAAAH2+36w=")</f>
        <v>#VALUE!</v>
      </c>
      <c r="FR62" t="e">
        <f>AND(medidas!W116,"AAAAAH2+360=")</f>
        <v>#VALUE!</v>
      </c>
      <c r="FS62" t="e">
        <f>AND(medidas!X116,"AAAAAH2+364=")</f>
        <v>#VALUE!</v>
      </c>
      <c r="FT62" t="e">
        <f>AND(medidas!Y116,"AAAAAH2+368=")</f>
        <v>#VALUE!</v>
      </c>
      <c r="FU62" t="e">
        <f>AND(medidas!Z116,"AAAAAH2+37A=")</f>
        <v>#VALUE!</v>
      </c>
      <c r="FV62" t="e">
        <f>AND(medidas!AA116,"AAAAAH2+37E=")</f>
        <v>#VALUE!</v>
      </c>
      <c r="FW62" t="e">
        <f>AND(medidas!AB116,"AAAAAH2+37I=")</f>
        <v>#VALUE!</v>
      </c>
      <c r="FX62" t="e">
        <f>AND(medidas!AC116,"AAAAAH2+37M=")</f>
        <v>#VALUE!</v>
      </c>
      <c r="FY62" t="e">
        <f>AND(medidas!AD116,"AAAAAH2+37Q=")</f>
        <v>#VALUE!</v>
      </c>
      <c r="FZ62" t="e">
        <f>AND(medidas!AE116,"AAAAAH2+37U=")</f>
        <v>#VALUE!</v>
      </c>
      <c r="GA62" t="e">
        <f>AND(medidas!AF116,"AAAAAH2+37Y=")</f>
        <v>#VALUE!</v>
      </c>
      <c r="GB62" t="e">
        <f>AND(medidas!AG116,"AAAAAH2+37c=")</f>
        <v>#VALUE!</v>
      </c>
      <c r="GC62" t="e">
        <f>AND(medidas!AH116,"AAAAAH2+37g=")</f>
        <v>#VALUE!</v>
      </c>
      <c r="GD62" t="e">
        <f>AND(medidas!AI116,"AAAAAH2+37k=")</f>
        <v>#VALUE!</v>
      </c>
      <c r="GE62" t="e">
        <f>AND(medidas!AJ116,"AAAAAH2+37o=")</f>
        <v>#VALUE!</v>
      </c>
      <c r="GF62" t="e">
        <f>AND(medidas!AK116,"AAAAAH2+37s=")</f>
        <v>#VALUE!</v>
      </c>
      <c r="GG62" t="e">
        <f>AND(medidas!AL116,"AAAAAH2+37w=")</f>
        <v>#VALUE!</v>
      </c>
      <c r="GH62" t="e">
        <f>AND(medidas!AM116,"AAAAAH2+370=")</f>
        <v>#VALUE!</v>
      </c>
      <c r="GI62" t="e">
        <f>AND(medidas!AN116,"AAAAAH2+374=")</f>
        <v>#VALUE!</v>
      </c>
      <c r="GJ62" t="e">
        <f>AND(medidas!AO116,"AAAAAH2+378=")</f>
        <v>#VALUE!</v>
      </c>
      <c r="GK62" t="e">
        <f>AND(medidas!AP116,"AAAAAH2+38A=")</f>
        <v>#VALUE!</v>
      </c>
      <c r="GL62" t="e">
        <f>AND(medidas!AQ116,"AAAAAH2+38E=")</f>
        <v>#VALUE!</v>
      </c>
      <c r="GM62" t="e">
        <f>AND(medidas!AR116,"AAAAAH2+38I=")</f>
        <v>#VALUE!</v>
      </c>
      <c r="GN62" t="e">
        <f>AND(medidas!AS116,"AAAAAH2+38M=")</f>
        <v>#VALUE!</v>
      </c>
      <c r="GO62" t="e">
        <f>AND(medidas!AT116,"AAAAAH2+38Q=")</f>
        <v>#VALUE!</v>
      </c>
      <c r="GP62" t="e">
        <f>AND(medidas!AU116,"AAAAAH2+38U=")</f>
        <v>#VALUE!</v>
      </c>
      <c r="GQ62" t="e">
        <f>AND(medidas!AV116,"AAAAAH2+38Y=")</f>
        <v>#VALUE!</v>
      </c>
      <c r="GR62" t="e">
        <f>AND(medidas!AW116,"AAAAAH2+38c=")</f>
        <v>#VALUE!</v>
      </c>
      <c r="GS62" t="e">
        <f>AND(medidas!AX116,"AAAAAH2+38g=")</f>
        <v>#VALUE!</v>
      </c>
      <c r="GT62" t="e">
        <f>AND(medidas!AY116,"AAAAAH2+38k=")</f>
        <v>#VALUE!</v>
      </c>
      <c r="GU62" t="e">
        <f>AND(medidas!AZ116,"AAAAAH2+38o=")</f>
        <v>#VALUE!</v>
      </c>
      <c r="GV62" t="e">
        <f>AND(medidas!BA116,"AAAAAH2+38s=")</f>
        <v>#VALUE!</v>
      </c>
      <c r="GW62" t="e">
        <f>AND(medidas!BB116,"AAAAAH2+38w=")</f>
        <v>#VALUE!</v>
      </c>
      <c r="GX62" t="e">
        <f>AND(medidas!BC116,"AAAAAH2+380=")</f>
        <v>#VALUE!</v>
      </c>
      <c r="GY62" t="e">
        <f>AND(medidas!BD116,"AAAAAH2+384=")</f>
        <v>#VALUE!</v>
      </c>
      <c r="GZ62" t="e">
        <f>AND(medidas!BE116,"AAAAAH2+388=")</f>
        <v>#VALUE!</v>
      </c>
      <c r="HA62" t="e">
        <f>AND(medidas!BF116,"AAAAAH2+39A=")</f>
        <v>#VALUE!</v>
      </c>
      <c r="HB62" t="e">
        <f>AND(medidas!BG116,"AAAAAH2+39E=")</f>
        <v>#VALUE!</v>
      </c>
      <c r="HC62" t="e">
        <f>AND(medidas!BH116,"AAAAAH2+39I=")</f>
        <v>#VALUE!</v>
      </c>
      <c r="HD62" t="e">
        <f>AND(medidas!BI116,"AAAAAH2+39M=")</f>
        <v>#VALUE!</v>
      </c>
      <c r="HE62" t="e">
        <f>AND(medidas!BJ116,"AAAAAH2+39Q=")</f>
        <v>#VALUE!</v>
      </c>
      <c r="HF62" t="e">
        <f>AND(medidas!BK116,"AAAAAH2+39U=")</f>
        <v>#VALUE!</v>
      </c>
      <c r="HG62" t="e">
        <f>AND(medidas!BL116,"AAAAAH2+39Y=")</f>
        <v>#VALUE!</v>
      </c>
      <c r="HH62" t="e">
        <f>AND(medidas!BM116,"AAAAAH2+39c=")</f>
        <v>#VALUE!</v>
      </c>
      <c r="HI62" t="e">
        <f>AND(medidas!BN116,"AAAAAH2+39g=")</f>
        <v>#VALUE!</v>
      </c>
      <c r="HJ62" t="e">
        <f>AND(medidas!BO116,"AAAAAH2+39k=")</f>
        <v>#VALUE!</v>
      </c>
      <c r="HK62" t="e">
        <f>AND(medidas!BP116,"AAAAAH2+39o=")</f>
        <v>#VALUE!</v>
      </c>
      <c r="HL62" t="e">
        <f>AND(medidas!BQ116,"AAAAAH2+39s=")</f>
        <v>#VALUE!</v>
      </c>
      <c r="HM62" t="e">
        <f>AND(medidas!BR116,"AAAAAH2+39w=")</f>
        <v>#VALUE!</v>
      </c>
      <c r="HN62" t="e">
        <f>AND(medidas!BS116,"AAAAAH2+390=")</f>
        <v>#VALUE!</v>
      </c>
      <c r="HO62" t="e">
        <f>AND(medidas!BT116,"AAAAAH2+394=")</f>
        <v>#VALUE!</v>
      </c>
      <c r="HP62" t="e">
        <f>AND(medidas!BU116,"AAAAAH2+398=")</f>
        <v>#VALUE!</v>
      </c>
      <c r="HQ62" t="e">
        <f>AND(medidas!BV116,"AAAAAH2+3+A=")</f>
        <v>#VALUE!</v>
      </c>
      <c r="HR62" t="e">
        <f>AND(medidas!BW116,"AAAAAH2+3+E=")</f>
        <v>#VALUE!</v>
      </c>
      <c r="HS62" t="e">
        <f>AND(medidas!BX116,"AAAAAH2+3+I=")</f>
        <v>#VALUE!</v>
      </c>
      <c r="HT62" t="e">
        <f>AND(medidas!BY116,"AAAAAH2+3+M=")</f>
        <v>#VALUE!</v>
      </c>
      <c r="HU62">
        <f>IF(medidas!117:117,"AAAAAH2+3+Q=",0)</f>
        <v>0</v>
      </c>
      <c r="HV62" t="e">
        <f>AND(medidas!B117,"AAAAAH2+3+U=")</f>
        <v>#VALUE!</v>
      </c>
      <c r="HW62" t="e">
        <f>AND(medidas!C117,"AAAAAH2+3+Y=")</f>
        <v>#VALUE!</v>
      </c>
      <c r="HX62" t="e">
        <f>AND(medidas!D117,"AAAAAH2+3+c=")</f>
        <v>#VALUE!</v>
      </c>
      <c r="HY62" t="e">
        <f>AND(medidas!E117,"AAAAAH2+3+g=")</f>
        <v>#VALUE!</v>
      </c>
      <c r="HZ62" t="e">
        <f>AND(medidas!F117,"AAAAAH2+3+k=")</f>
        <v>#VALUE!</v>
      </c>
      <c r="IA62" t="e">
        <f>AND(medidas!G117,"AAAAAH2+3+o=")</f>
        <v>#VALUE!</v>
      </c>
      <c r="IB62" t="e">
        <f>AND(medidas!H117,"AAAAAH2+3+s=")</f>
        <v>#VALUE!</v>
      </c>
      <c r="IC62" t="e">
        <f>AND(medidas!I117,"AAAAAH2+3+w=")</f>
        <v>#VALUE!</v>
      </c>
      <c r="ID62" t="e">
        <f>AND(medidas!J117,"AAAAAH2+3+0=")</f>
        <v>#VALUE!</v>
      </c>
      <c r="IE62" t="e">
        <f>AND(medidas!K117,"AAAAAH2+3+4=")</f>
        <v>#VALUE!</v>
      </c>
      <c r="IF62" t="e">
        <f>AND(medidas!L117,"AAAAAH2+3+8=")</f>
        <v>#VALUE!</v>
      </c>
      <c r="IG62" t="e">
        <f>AND(medidas!M117,"AAAAAH2+3/A=")</f>
        <v>#VALUE!</v>
      </c>
      <c r="IH62" t="e">
        <f>AND(medidas!N117,"AAAAAH2+3/E=")</f>
        <v>#VALUE!</v>
      </c>
      <c r="II62" t="e">
        <f>AND(medidas!O117,"AAAAAH2+3/I=")</f>
        <v>#VALUE!</v>
      </c>
      <c r="IJ62" t="e">
        <f>AND(medidas!P117,"AAAAAH2+3/M=")</f>
        <v>#VALUE!</v>
      </c>
      <c r="IK62" t="e">
        <f>AND(medidas!Q117,"AAAAAH2+3/Q=")</f>
        <v>#VALUE!</v>
      </c>
      <c r="IL62" t="e">
        <f>AND(medidas!R117,"AAAAAH2+3/U=")</f>
        <v>#VALUE!</v>
      </c>
      <c r="IM62" t="e">
        <f>AND(medidas!S117,"AAAAAH2+3/Y=")</f>
        <v>#VALUE!</v>
      </c>
      <c r="IN62" t="e">
        <f>AND(medidas!T117,"AAAAAH2+3/c=")</f>
        <v>#VALUE!</v>
      </c>
      <c r="IO62" t="e">
        <f>AND(medidas!U117,"AAAAAH2+3/g=")</f>
        <v>#VALUE!</v>
      </c>
      <c r="IP62" t="e">
        <f>AND(medidas!V117,"AAAAAH2+3/k=")</f>
        <v>#VALUE!</v>
      </c>
      <c r="IQ62" t="e">
        <f>AND(medidas!W117,"AAAAAH2+3/o=")</f>
        <v>#VALUE!</v>
      </c>
      <c r="IR62" t="e">
        <f>AND(medidas!X117,"AAAAAH2+3/s=")</f>
        <v>#VALUE!</v>
      </c>
      <c r="IS62" t="e">
        <f>AND(medidas!Y117,"AAAAAH2+3/w=")</f>
        <v>#VALUE!</v>
      </c>
      <c r="IT62" t="e">
        <f>AND(medidas!Z117,"AAAAAH2+3/0=")</f>
        <v>#VALUE!</v>
      </c>
      <c r="IU62" t="e">
        <f>AND(medidas!AA117,"AAAAAH2+3/4=")</f>
        <v>#VALUE!</v>
      </c>
      <c r="IV62" t="e">
        <f>AND(medidas!AB117,"AAAAAH2+3/8=")</f>
        <v>#VALUE!</v>
      </c>
    </row>
    <row r="63" spans="1:256" x14ac:dyDescent="0.2">
      <c r="A63" t="e">
        <f>AND(medidas!AC117,"AAAAAF9//gA=")</f>
        <v>#VALUE!</v>
      </c>
      <c r="B63" t="e">
        <f>AND(medidas!AD117,"AAAAAF9//gE=")</f>
        <v>#VALUE!</v>
      </c>
      <c r="C63" t="e">
        <f>AND(medidas!AE117,"AAAAAF9//gI=")</f>
        <v>#VALUE!</v>
      </c>
      <c r="D63" t="e">
        <f>AND(medidas!AF117,"AAAAAF9//gM=")</f>
        <v>#VALUE!</v>
      </c>
      <c r="E63" t="e">
        <f>AND(medidas!AG117,"AAAAAF9//gQ=")</f>
        <v>#VALUE!</v>
      </c>
      <c r="F63" t="e">
        <f>AND(medidas!AH117,"AAAAAF9//gU=")</f>
        <v>#VALUE!</v>
      </c>
      <c r="G63" t="e">
        <f>AND(medidas!AI117,"AAAAAF9//gY=")</f>
        <v>#VALUE!</v>
      </c>
      <c r="H63" t="e">
        <f>AND(medidas!AJ117,"AAAAAF9//gc=")</f>
        <v>#VALUE!</v>
      </c>
      <c r="I63" t="e">
        <f>AND(medidas!AK117,"AAAAAF9//gg=")</f>
        <v>#VALUE!</v>
      </c>
      <c r="J63" t="e">
        <f>AND(medidas!AL117,"AAAAAF9//gk=")</f>
        <v>#VALUE!</v>
      </c>
      <c r="K63" t="e">
        <f>AND(medidas!AM117,"AAAAAF9//go=")</f>
        <v>#VALUE!</v>
      </c>
      <c r="L63" t="e">
        <f>AND(medidas!AN117,"AAAAAF9//gs=")</f>
        <v>#VALUE!</v>
      </c>
      <c r="M63" t="e">
        <f>AND(medidas!AO117,"AAAAAF9//gw=")</f>
        <v>#VALUE!</v>
      </c>
      <c r="N63" t="e">
        <f>AND(medidas!AP117,"AAAAAF9//g0=")</f>
        <v>#VALUE!</v>
      </c>
      <c r="O63" t="e">
        <f>AND(medidas!AQ117,"AAAAAF9//g4=")</f>
        <v>#VALUE!</v>
      </c>
      <c r="P63" t="e">
        <f>AND(medidas!AR117,"AAAAAF9//g8=")</f>
        <v>#VALUE!</v>
      </c>
      <c r="Q63" t="e">
        <f>AND(medidas!AS117,"AAAAAF9//hA=")</f>
        <v>#VALUE!</v>
      </c>
      <c r="R63" t="e">
        <f>AND(medidas!AT117,"AAAAAF9//hE=")</f>
        <v>#VALUE!</v>
      </c>
      <c r="S63" t="e">
        <f>AND(medidas!AU117,"AAAAAF9//hI=")</f>
        <v>#VALUE!</v>
      </c>
      <c r="T63" t="e">
        <f>AND(medidas!AV117,"AAAAAF9//hM=")</f>
        <v>#VALUE!</v>
      </c>
      <c r="U63" t="e">
        <f>AND(medidas!AW117,"AAAAAF9//hQ=")</f>
        <v>#VALUE!</v>
      </c>
      <c r="V63" t="e">
        <f>AND(medidas!AX117,"AAAAAF9//hU=")</f>
        <v>#VALUE!</v>
      </c>
      <c r="W63" t="e">
        <f>AND(medidas!AY117,"AAAAAF9//hY=")</f>
        <v>#VALUE!</v>
      </c>
      <c r="X63" t="e">
        <f>AND(medidas!AZ117,"AAAAAF9//hc=")</f>
        <v>#VALUE!</v>
      </c>
      <c r="Y63" t="e">
        <f>AND(medidas!BA117,"AAAAAF9//hg=")</f>
        <v>#VALUE!</v>
      </c>
      <c r="Z63" t="e">
        <f>AND(medidas!BB117,"AAAAAF9//hk=")</f>
        <v>#VALUE!</v>
      </c>
      <c r="AA63" t="e">
        <f>AND(medidas!BC117,"AAAAAF9//ho=")</f>
        <v>#VALUE!</v>
      </c>
      <c r="AB63" t="e">
        <f>AND(medidas!BD117,"AAAAAF9//hs=")</f>
        <v>#VALUE!</v>
      </c>
      <c r="AC63" t="e">
        <f>AND(medidas!BE117,"AAAAAF9//hw=")</f>
        <v>#VALUE!</v>
      </c>
      <c r="AD63" t="e">
        <f>AND(medidas!BF117,"AAAAAF9//h0=")</f>
        <v>#VALUE!</v>
      </c>
      <c r="AE63" t="e">
        <f>AND(medidas!BG117,"AAAAAF9//h4=")</f>
        <v>#VALUE!</v>
      </c>
      <c r="AF63" t="e">
        <f>AND(medidas!BH117,"AAAAAF9//h8=")</f>
        <v>#VALUE!</v>
      </c>
      <c r="AG63" t="e">
        <f>AND(medidas!BI117,"AAAAAF9//iA=")</f>
        <v>#VALUE!</v>
      </c>
      <c r="AH63" t="e">
        <f>AND(medidas!BJ117,"AAAAAF9//iE=")</f>
        <v>#VALUE!</v>
      </c>
      <c r="AI63" t="e">
        <f>AND(medidas!BK117,"AAAAAF9//iI=")</f>
        <v>#VALUE!</v>
      </c>
      <c r="AJ63" t="e">
        <f>AND(medidas!BL117,"AAAAAF9//iM=")</f>
        <v>#VALUE!</v>
      </c>
      <c r="AK63" t="e">
        <f>AND(medidas!BM117,"AAAAAF9//iQ=")</f>
        <v>#VALUE!</v>
      </c>
      <c r="AL63" t="e">
        <f>AND(medidas!BN117,"AAAAAF9//iU=")</f>
        <v>#VALUE!</v>
      </c>
      <c r="AM63" t="e">
        <f>AND(medidas!BO117,"AAAAAF9//iY=")</f>
        <v>#VALUE!</v>
      </c>
      <c r="AN63" t="e">
        <f>AND(medidas!BP117,"AAAAAF9//ic=")</f>
        <v>#VALUE!</v>
      </c>
      <c r="AO63" t="e">
        <f>AND(medidas!BQ117,"AAAAAF9//ig=")</f>
        <v>#VALUE!</v>
      </c>
      <c r="AP63" t="e">
        <f>AND(medidas!BR117,"AAAAAF9//ik=")</f>
        <v>#VALUE!</v>
      </c>
      <c r="AQ63" t="e">
        <f>AND(medidas!BS117,"AAAAAF9//io=")</f>
        <v>#VALUE!</v>
      </c>
      <c r="AR63" t="e">
        <f>AND(medidas!BT117,"AAAAAF9//is=")</f>
        <v>#VALUE!</v>
      </c>
      <c r="AS63" t="e">
        <f>AND(medidas!BU117,"AAAAAF9//iw=")</f>
        <v>#VALUE!</v>
      </c>
      <c r="AT63" t="e">
        <f>AND(medidas!BV117,"AAAAAF9//i0=")</f>
        <v>#VALUE!</v>
      </c>
      <c r="AU63" t="e">
        <f>AND(medidas!BW117,"AAAAAF9//i4=")</f>
        <v>#VALUE!</v>
      </c>
      <c r="AV63" t="e">
        <f>AND(medidas!BX117,"AAAAAF9//i8=")</f>
        <v>#VALUE!</v>
      </c>
      <c r="AW63" t="e">
        <f>AND(medidas!BY117,"AAAAAF9//jA=")</f>
        <v>#VALUE!</v>
      </c>
      <c r="AX63">
        <f>IF(medidas!118:118,"AAAAAF9//jE=",0)</f>
        <v>0</v>
      </c>
      <c r="AY63" t="e">
        <f>AND(medidas!B118,"AAAAAF9//jI=")</f>
        <v>#VALUE!</v>
      </c>
      <c r="AZ63" t="e">
        <f>AND(medidas!C118,"AAAAAF9//jM=")</f>
        <v>#VALUE!</v>
      </c>
      <c r="BA63" t="e">
        <f>AND(medidas!D118,"AAAAAF9//jQ=")</f>
        <v>#VALUE!</v>
      </c>
      <c r="BB63" t="e">
        <f>AND(medidas!E118,"AAAAAF9//jU=")</f>
        <v>#VALUE!</v>
      </c>
      <c r="BC63" t="e">
        <f>AND(medidas!F118,"AAAAAF9//jY=")</f>
        <v>#VALUE!</v>
      </c>
      <c r="BD63" t="e">
        <f>AND(medidas!G118,"AAAAAF9//jc=")</f>
        <v>#VALUE!</v>
      </c>
      <c r="BE63" t="e">
        <f>AND(medidas!H118,"AAAAAF9//jg=")</f>
        <v>#VALUE!</v>
      </c>
      <c r="BF63" t="e">
        <f>AND(medidas!I118,"AAAAAF9//jk=")</f>
        <v>#VALUE!</v>
      </c>
      <c r="BG63" t="e">
        <f>AND(medidas!J118,"AAAAAF9//jo=")</f>
        <v>#VALUE!</v>
      </c>
      <c r="BH63" t="e">
        <f>AND(medidas!K118,"AAAAAF9//js=")</f>
        <v>#VALUE!</v>
      </c>
      <c r="BI63" t="e">
        <f>AND(medidas!L118,"AAAAAF9//jw=")</f>
        <v>#VALUE!</v>
      </c>
      <c r="BJ63" t="e">
        <f>AND(medidas!M118,"AAAAAF9//j0=")</f>
        <v>#VALUE!</v>
      </c>
      <c r="BK63" t="e">
        <f>AND(medidas!N118,"AAAAAF9//j4=")</f>
        <v>#VALUE!</v>
      </c>
      <c r="BL63" t="e">
        <f>AND(medidas!O118,"AAAAAF9//j8=")</f>
        <v>#VALUE!</v>
      </c>
      <c r="BM63" t="e">
        <f>AND(medidas!P118,"AAAAAF9//kA=")</f>
        <v>#VALUE!</v>
      </c>
      <c r="BN63" t="e">
        <f>AND(medidas!Q118,"AAAAAF9//kE=")</f>
        <v>#VALUE!</v>
      </c>
      <c r="BO63" t="e">
        <f>AND(medidas!R118,"AAAAAF9//kI=")</f>
        <v>#VALUE!</v>
      </c>
      <c r="BP63" t="e">
        <f>AND(medidas!S118,"AAAAAF9//kM=")</f>
        <v>#VALUE!</v>
      </c>
      <c r="BQ63" t="e">
        <f>AND(medidas!T118,"AAAAAF9//kQ=")</f>
        <v>#VALUE!</v>
      </c>
      <c r="BR63" t="e">
        <f>AND(medidas!U118,"AAAAAF9//kU=")</f>
        <v>#VALUE!</v>
      </c>
      <c r="BS63" t="e">
        <f>AND(medidas!V118,"AAAAAF9//kY=")</f>
        <v>#VALUE!</v>
      </c>
      <c r="BT63" t="e">
        <f>AND(medidas!W118,"AAAAAF9//kc=")</f>
        <v>#VALUE!</v>
      </c>
      <c r="BU63" t="e">
        <f>AND(medidas!X118,"AAAAAF9//kg=")</f>
        <v>#VALUE!</v>
      </c>
      <c r="BV63" t="e">
        <f>AND(medidas!Y118,"AAAAAF9//kk=")</f>
        <v>#VALUE!</v>
      </c>
      <c r="BW63" t="e">
        <f>AND(medidas!Z118,"AAAAAF9//ko=")</f>
        <v>#VALUE!</v>
      </c>
      <c r="BX63" t="e">
        <f>AND(medidas!AA118,"AAAAAF9//ks=")</f>
        <v>#VALUE!</v>
      </c>
      <c r="BY63" t="e">
        <f>AND(medidas!AB118,"AAAAAF9//kw=")</f>
        <v>#VALUE!</v>
      </c>
      <c r="BZ63" t="e">
        <f>AND(medidas!AC118,"AAAAAF9//k0=")</f>
        <v>#VALUE!</v>
      </c>
      <c r="CA63" t="e">
        <f>AND(medidas!AD118,"AAAAAF9//k4=")</f>
        <v>#VALUE!</v>
      </c>
      <c r="CB63" t="e">
        <f>AND(medidas!AE118,"AAAAAF9//k8=")</f>
        <v>#VALUE!</v>
      </c>
      <c r="CC63" t="e">
        <f>AND(medidas!AF118,"AAAAAF9//lA=")</f>
        <v>#VALUE!</v>
      </c>
      <c r="CD63" t="e">
        <f>AND(medidas!AG118,"AAAAAF9//lE=")</f>
        <v>#VALUE!</v>
      </c>
      <c r="CE63" t="e">
        <f>AND(medidas!AH118,"AAAAAF9//lI=")</f>
        <v>#VALUE!</v>
      </c>
      <c r="CF63" t="e">
        <f>AND(medidas!AI118,"AAAAAF9//lM=")</f>
        <v>#VALUE!</v>
      </c>
      <c r="CG63" t="e">
        <f>AND(medidas!AJ118,"AAAAAF9//lQ=")</f>
        <v>#VALUE!</v>
      </c>
      <c r="CH63" t="e">
        <f>AND(medidas!AK118,"AAAAAF9//lU=")</f>
        <v>#VALUE!</v>
      </c>
      <c r="CI63" t="e">
        <f>AND(medidas!AL118,"AAAAAF9//lY=")</f>
        <v>#VALUE!</v>
      </c>
      <c r="CJ63" t="e">
        <f>AND(medidas!AM118,"AAAAAF9//lc=")</f>
        <v>#VALUE!</v>
      </c>
      <c r="CK63" t="e">
        <f>AND(medidas!AN118,"AAAAAF9//lg=")</f>
        <v>#VALUE!</v>
      </c>
      <c r="CL63" t="e">
        <f>AND(medidas!AO118,"AAAAAF9//lk=")</f>
        <v>#VALUE!</v>
      </c>
      <c r="CM63" t="e">
        <f>AND(medidas!AP118,"AAAAAF9//lo=")</f>
        <v>#VALUE!</v>
      </c>
      <c r="CN63" t="e">
        <f>AND(medidas!AQ118,"AAAAAF9//ls=")</f>
        <v>#VALUE!</v>
      </c>
      <c r="CO63" t="e">
        <f>AND(medidas!AR118,"AAAAAF9//lw=")</f>
        <v>#VALUE!</v>
      </c>
      <c r="CP63" t="e">
        <f>AND(medidas!AS118,"AAAAAF9//l0=")</f>
        <v>#VALUE!</v>
      </c>
      <c r="CQ63" t="e">
        <f>AND(medidas!AT118,"AAAAAF9//l4=")</f>
        <v>#VALUE!</v>
      </c>
      <c r="CR63" t="e">
        <f>AND(medidas!AU118,"AAAAAF9//l8=")</f>
        <v>#VALUE!</v>
      </c>
      <c r="CS63" t="e">
        <f>AND(medidas!AV118,"AAAAAF9//mA=")</f>
        <v>#VALUE!</v>
      </c>
      <c r="CT63" t="e">
        <f>AND(medidas!AW118,"AAAAAF9//mE=")</f>
        <v>#VALUE!</v>
      </c>
      <c r="CU63" t="e">
        <f>AND(medidas!AX118,"AAAAAF9//mI=")</f>
        <v>#VALUE!</v>
      </c>
      <c r="CV63" t="e">
        <f>AND(medidas!AY118,"AAAAAF9//mM=")</f>
        <v>#VALUE!</v>
      </c>
      <c r="CW63" t="e">
        <f>AND(medidas!AZ118,"AAAAAF9//mQ=")</f>
        <v>#VALUE!</v>
      </c>
      <c r="CX63" t="e">
        <f>AND(medidas!BA118,"AAAAAF9//mU=")</f>
        <v>#VALUE!</v>
      </c>
      <c r="CY63" t="e">
        <f>AND(medidas!BB118,"AAAAAF9//mY=")</f>
        <v>#VALUE!</v>
      </c>
      <c r="CZ63" t="e">
        <f>AND(medidas!BC118,"AAAAAF9//mc=")</f>
        <v>#VALUE!</v>
      </c>
      <c r="DA63" t="e">
        <f>AND(medidas!BD118,"AAAAAF9//mg=")</f>
        <v>#VALUE!</v>
      </c>
      <c r="DB63" t="e">
        <f>AND(medidas!BE118,"AAAAAF9//mk=")</f>
        <v>#VALUE!</v>
      </c>
      <c r="DC63" t="e">
        <f>AND(medidas!BF118,"AAAAAF9//mo=")</f>
        <v>#VALUE!</v>
      </c>
      <c r="DD63" t="e">
        <f>AND(medidas!BG118,"AAAAAF9//ms=")</f>
        <v>#VALUE!</v>
      </c>
      <c r="DE63" t="e">
        <f>AND(medidas!BH118,"AAAAAF9//mw=")</f>
        <v>#VALUE!</v>
      </c>
      <c r="DF63" t="e">
        <f>AND(medidas!BI118,"AAAAAF9//m0=")</f>
        <v>#VALUE!</v>
      </c>
      <c r="DG63" t="e">
        <f>AND(medidas!BJ118,"AAAAAF9//m4=")</f>
        <v>#VALUE!</v>
      </c>
      <c r="DH63" t="e">
        <f>AND(medidas!BK118,"AAAAAF9//m8=")</f>
        <v>#VALUE!</v>
      </c>
      <c r="DI63" t="e">
        <f>AND(medidas!BL118,"AAAAAF9//nA=")</f>
        <v>#VALUE!</v>
      </c>
      <c r="DJ63" t="e">
        <f>AND(medidas!BM118,"AAAAAF9//nE=")</f>
        <v>#VALUE!</v>
      </c>
      <c r="DK63" t="e">
        <f>AND(medidas!BN118,"AAAAAF9//nI=")</f>
        <v>#VALUE!</v>
      </c>
      <c r="DL63" t="e">
        <f>AND(medidas!BO118,"AAAAAF9//nM=")</f>
        <v>#VALUE!</v>
      </c>
      <c r="DM63" t="e">
        <f>AND(medidas!BP118,"AAAAAF9//nQ=")</f>
        <v>#VALUE!</v>
      </c>
      <c r="DN63" t="e">
        <f>AND(medidas!BQ118,"AAAAAF9//nU=")</f>
        <v>#VALUE!</v>
      </c>
      <c r="DO63" t="e">
        <f>AND(medidas!BR118,"AAAAAF9//nY=")</f>
        <v>#VALUE!</v>
      </c>
      <c r="DP63" t="e">
        <f>AND(medidas!BS118,"AAAAAF9//nc=")</f>
        <v>#VALUE!</v>
      </c>
      <c r="DQ63" t="e">
        <f>AND(medidas!BT118,"AAAAAF9//ng=")</f>
        <v>#VALUE!</v>
      </c>
      <c r="DR63" t="e">
        <f>AND(medidas!BU118,"AAAAAF9//nk=")</f>
        <v>#VALUE!</v>
      </c>
      <c r="DS63" t="e">
        <f>AND(medidas!BV118,"AAAAAF9//no=")</f>
        <v>#VALUE!</v>
      </c>
      <c r="DT63" t="e">
        <f>AND(medidas!BW118,"AAAAAF9//ns=")</f>
        <v>#VALUE!</v>
      </c>
      <c r="DU63" t="e">
        <f>AND(medidas!BX118,"AAAAAF9//nw=")</f>
        <v>#VALUE!</v>
      </c>
      <c r="DV63" t="e">
        <f>AND(medidas!BY118,"AAAAAF9//n0=")</f>
        <v>#VALUE!</v>
      </c>
      <c r="DW63">
        <f>IF(medidas!119:119,"AAAAAF9//n4=",0)</f>
        <v>0</v>
      </c>
      <c r="DX63" t="e">
        <f>AND(medidas!B119,"AAAAAF9//n8=")</f>
        <v>#VALUE!</v>
      </c>
      <c r="DY63" t="e">
        <f>AND(medidas!C119,"AAAAAF9//oA=")</f>
        <v>#VALUE!</v>
      </c>
      <c r="DZ63" t="e">
        <f>AND(medidas!D119,"AAAAAF9//oE=")</f>
        <v>#VALUE!</v>
      </c>
      <c r="EA63" t="e">
        <f>AND(medidas!E119,"AAAAAF9//oI=")</f>
        <v>#VALUE!</v>
      </c>
      <c r="EB63" t="e">
        <f>AND(medidas!F119,"AAAAAF9//oM=")</f>
        <v>#VALUE!</v>
      </c>
      <c r="EC63" t="e">
        <f>AND(medidas!G119,"AAAAAF9//oQ=")</f>
        <v>#VALUE!</v>
      </c>
      <c r="ED63" t="e">
        <f>AND(medidas!H119,"AAAAAF9//oU=")</f>
        <v>#VALUE!</v>
      </c>
      <c r="EE63" t="e">
        <f>AND(medidas!I119,"AAAAAF9//oY=")</f>
        <v>#VALUE!</v>
      </c>
      <c r="EF63" t="e">
        <f>AND(medidas!J119,"AAAAAF9//oc=")</f>
        <v>#VALUE!</v>
      </c>
      <c r="EG63" t="e">
        <f>AND(medidas!K119,"AAAAAF9//og=")</f>
        <v>#VALUE!</v>
      </c>
      <c r="EH63" t="e">
        <f>AND(medidas!L119,"AAAAAF9//ok=")</f>
        <v>#VALUE!</v>
      </c>
      <c r="EI63" t="e">
        <f>AND(medidas!M119,"AAAAAF9//oo=")</f>
        <v>#VALUE!</v>
      </c>
      <c r="EJ63" t="e">
        <f>AND(medidas!N119,"AAAAAF9//os=")</f>
        <v>#VALUE!</v>
      </c>
      <c r="EK63" t="e">
        <f>AND(medidas!O119,"AAAAAF9//ow=")</f>
        <v>#VALUE!</v>
      </c>
      <c r="EL63" t="e">
        <f>AND(medidas!P119,"AAAAAF9//o0=")</f>
        <v>#VALUE!</v>
      </c>
      <c r="EM63" t="e">
        <f>AND(medidas!Q119,"AAAAAF9//o4=")</f>
        <v>#VALUE!</v>
      </c>
      <c r="EN63" t="e">
        <f>AND(medidas!R119,"AAAAAF9//o8=")</f>
        <v>#VALUE!</v>
      </c>
      <c r="EO63" t="e">
        <f>AND(medidas!S119,"AAAAAF9//pA=")</f>
        <v>#VALUE!</v>
      </c>
      <c r="EP63" t="e">
        <f>AND(medidas!T119,"AAAAAF9//pE=")</f>
        <v>#VALUE!</v>
      </c>
      <c r="EQ63" t="e">
        <f>AND(medidas!U119,"AAAAAF9//pI=")</f>
        <v>#VALUE!</v>
      </c>
      <c r="ER63" t="e">
        <f>AND(medidas!V119,"AAAAAF9//pM=")</f>
        <v>#VALUE!</v>
      </c>
      <c r="ES63" t="e">
        <f>AND(medidas!W119,"AAAAAF9//pQ=")</f>
        <v>#VALUE!</v>
      </c>
      <c r="ET63" t="e">
        <f>AND(medidas!X119,"AAAAAF9//pU=")</f>
        <v>#VALUE!</v>
      </c>
      <c r="EU63" t="e">
        <f>AND(medidas!Y119,"AAAAAF9//pY=")</f>
        <v>#VALUE!</v>
      </c>
      <c r="EV63" t="e">
        <f>AND(medidas!Z119,"AAAAAF9//pc=")</f>
        <v>#VALUE!</v>
      </c>
      <c r="EW63" t="e">
        <f>AND(medidas!AA119,"AAAAAF9//pg=")</f>
        <v>#VALUE!</v>
      </c>
      <c r="EX63" t="e">
        <f>AND(medidas!AB119,"AAAAAF9//pk=")</f>
        <v>#VALUE!</v>
      </c>
      <c r="EY63" t="e">
        <f>AND(medidas!AC119,"AAAAAF9//po=")</f>
        <v>#VALUE!</v>
      </c>
      <c r="EZ63" t="e">
        <f>AND(medidas!AD119,"AAAAAF9//ps=")</f>
        <v>#VALUE!</v>
      </c>
      <c r="FA63" t="e">
        <f>AND(medidas!AE119,"AAAAAF9//pw=")</f>
        <v>#VALUE!</v>
      </c>
      <c r="FB63" t="e">
        <f>AND(medidas!AF119,"AAAAAF9//p0=")</f>
        <v>#VALUE!</v>
      </c>
      <c r="FC63" t="e">
        <f>AND(medidas!AG119,"AAAAAF9//p4=")</f>
        <v>#VALUE!</v>
      </c>
      <c r="FD63" t="e">
        <f>AND(medidas!AH119,"AAAAAF9//p8=")</f>
        <v>#VALUE!</v>
      </c>
      <c r="FE63" t="e">
        <f>AND(medidas!AI119,"AAAAAF9//qA=")</f>
        <v>#VALUE!</v>
      </c>
      <c r="FF63" t="e">
        <f>AND(medidas!AJ119,"AAAAAF9//qE=")</f>
        <v>#VALUE!</v>
      </c>
      <c r="FG63" t="e">
        <f>AND(medidas!AK119,"AAAAAF9//qI=")</f>
        <v>#VALUE!</v>
      </c>
      <c r="FH63" t="e">
        <f>AND(medidas!AL119,"AAAAAF9//qM=")</f>
        <v>#VALUE!</v>
      </c>
      <c r="FI63" t="e">
        <f>AND(medidas!AM119,"AAAAAF9//qQ=")</f>
        <v>#VALUE!</v>
      </c>
      <c r="FJ63" t="e">
        <f>AND(medidas!AN119,"AAAAAF9//qU=")</f>
        <v>#VALUE!</v>
      </c>
      <c r="FK63" t="e">
        <f>AND(medidas!AO119,"AAAAAF9//qY=")</f>
        <v>#VALUE!</v>
      </c>
      <c r="FL63" t="e">
        <f>AND(medidas!AP119,"AAAAAF9//qc=")</f>
        <v>#VALUE!</v>
      </c>
      <c r="FM63" t="e">
        <f>AND(medidas!AQ119,"AAAAAF9//qg=")</f>
        <v>#VALUE!</v>
      </c>
      <c r="FN63" t="e">
        <f>AND(medidas!AR119,"AAAAAF9//qk=")</f>
        <v>#VALUE!</v>
      </c>
      <c r="FO63" t="e">
        <f>AND(medidas!AS119,"AAAAAF9//qo=")</f>
        <v>#VALUE!</v>
      </c>
      <c r="FP63" t="e">
        <f>AND(medidas!AT119,"AAAAAF9//qs=")</f>
        <v>#VALUE!</v>
      </c>
      <c r="FQ63" t="e">
        <f>AND(medidas!AU119,"AAAAAF9//qw=")</f>
        <v>#VALUE!</v>
      </c>
      <c r="FR63" t="e">
        <f>AND(medidas!AV119,"AAAAAF9//q0=")</f>
        <v>#VALUE!</v>
      </c>
      <c r="FS63" t="e">
        <f>AND(medidas!AW119,"AAAAAF9//q4=")</f>
        <v>#VALUE!</v>
      </c>
      <c r="FT63" t="e">
        <f>AND(medidas!AX119,"AAAAAF9//q8=")</f>
        <v>#VALUE!</v>
      </c>
      <c r="FU63" t="e">
        <f>AND(medidas!AY119,"AAAAAF9//rA=")</f>
        <v>#VALUE!</v>
      </c>
      <c r="FV63" t="e">
        <f>AND(medidas!AZ119,"AAAAAF9//rE=")</f>
        <v>#VALUE!</v>
      </c>
      <c r="FW63" t="e">
        <f>AND(medidas!BA119,"AAAAAF9//rI=")</f>
        <v>#VALUE!</v>
      </c>
      <c r="FX63" t="e">
        <f>AND(medidas!BB119,"AAAAAF9//rM=")</f>
        <v>#VALUE!</v>
      </c>
      <c r="FY63" t="e">
        <f>AND(medidas!BC119,"AAAAAF9//rQ=")</f>
        <v>#VALUE!</v>
      </c>
      <c r="FZ63" t="e">
        <f>AND(medidas!BD119,"AAAAAF9//rU=")</f>
        <v>#VALUE!</v>
      </c>
      <c r="GA63" t="e">
        <f>AND(medidas!BE119,"AAAAAF9//rY=")</f>
        <v>#VALUE!</v>
      </c>
      <c r="GB63" t="e">
        <f>AND(medidas!BF119,"AAAAAF9//rc=")</f>
        <v>#VALUE!</v>
      </c>
      <c r="GC63" t="e">
        <f>AND(medidas!BG119,"AAAAAF9//rg=")</f>
        <v>#VALUE!</v>
      </c>
      <c r="GD63" t="e">
        <f>AND(medidas!BH119,"AAAAAF9//rk=")</f>
        <v>#VALUE!</v>
      </c>
      <c r="GE63" t="e">
        <f>AND(medidas!BI119,"AAAAAF9//ro=")</f>
        <v>#VALUE!</v>
      </c>
      <c r="GF63" t="e">
        <f>AND(medidas!BJ119,"AAAAAF9//rs=")</f>
        <v>#VALUE!</v>
      </c>
      <c r="GG63" t="e">
        <f>AND(medidas!BK119,"AAAAAF9//rw=")</f>
        <v>#VALUE!</v>
      </c>
      <c r="GH63" t="e">
        <f>AND(medidas!BL119,"AAAAAF9//r0=")</f>
        <v>#VALUE!</v>
      </c>
      <c r="GI63" t="e">
        <f>AND(medidas!BM119,"AAAAAF9//r4=")</f>
        <v>#VALUE!</v>
      </c>
      <c r="GJ63" t="e">
        <f>AND(medidas!BN119,"AAAAAF9//r8=")</f>
        <v>#VALUE!</v>
      </c>
      <c r="GK63" t="e">
        <f>AND(medidas!BO119,"AAAAAF9//sA=")</f>
        <v>#VALUE!</v>
      </c>
      <c r="GL63" t="e">
        <f>AND(medidas!BP119,"AAAAAF9//sE=")</f>
        <v>#VALUE!</v>
      </c>
      <c r="GM63" t="e">
        <f>AND(medidas!BQ119,"AAAAAF9//sI=")</f>
        <v>#VALUE!</v>
      </c>
      <c r="GN63" t="e">
        <f>AND(medidas!BR119,"AAAAAF9//sM=")</f>
        <v>#VALUE!</v>
      </c>
      <c r="GO63" t="e">
        <f>AND(medidas!BS119,"AAAAAF9//sQ=")</f>
        <v>#VALUE!</v>
      </c>
      <c r="GP63" t="e">
        <f>AND(medidas!BT119,"AAAAAF9//sU=")</f>
        <v>#VALUE!</v>
      </c>
      <c r="GQ63" t="e">
        <f>AND(medidas!BU119,"AAAAAF9//sY=")</f>
        <v>#VALUE!</v>
      </c>
      <c r="GR63" t="e">
        <f>AND(medidas!BV119,"AAAAAF9//sc=")</f>
        <v>#VALUE!</v>
      </c>
      <c r="GS63" t="e">
        <f>AND(medidas!BW119,"AAAAAF9//sg=")</f>
        <v>#VALUE!</v>
      </c>
      <c r="GT63" t="e">
        <f>AND(medidas!BX119,"AAAAAF9//sk=")</f>
        <v>#VALUE!</v>
      </c>
      <c r="GU63" t="e">
        <f>AND(medidas!BY119,"AAAAAF9//so=")</f>
        <v>#VALUE!</v>
      </c>
      <c r="GV63">
        <f>IF(medidas!120:120,"AAAAAF9//ss=",0)</f>
        <v>0</v>
      </c>
      <c r="GW63" t="e">
        <f>AND(medidas!B120,"AAAAAF9//sw=")</f>
        <v>#VALUE!</v>
      </c>
      <c r="GX63" t="e">
        <f>AND(medidas!C120,"AAAAAF9//s0=")</f>
        <v>#VALUE!</v>
      </c>
      <c r="GY63" t="e">
        <f>AND(medidas!D120,"AAAAAF9//s4=")</f>
        <v>#VALUE!</v>
      </c>
      <c r="GZ63" t="e">
        <f>AND(medidas!E120,"AAAAAF9//s8=")</f>
        <v>#VALUE!</v>
      </c>
      <c r="HA63" t="e">
        <f>AND(medidas!F120,"AAAAAF9//tA=")</f>
        <v>#VALUE!</v>
      </c>
      <c r="HB63" t="e">
        <f>AND(medidas!G120,"AAAAAF9//tE=")</f>
        <v>#VALUE!</v>
      </c>
      <c r="HC63" t="e">
        <f>AND(medidas!H120,"AAAAAF9//tI=")</f>
        <v>#VALUE!</v>
      </c>
      <c r="HD63" t="e">
        <f>AND(medidas!I120,"AAAAAF9//tM=")</f>
        <v>#VALUE!</v>
      </c>
      <c r="HE63" t="e">
        <f>AND(medidas!J120,"AAAAAF9//tQ=")</f>
        <v>#VALUE!</v>
      </c>
      <c r="HF63" t="e">
        <f>AND(medidas!K120,"AAAAAF9//tU=")</f>
        <v>#VALUE!</v>
      </c>
      <c r="HG63" t="e">
        <f>AND(medidas!L120,"AAAAAF9//tY=")</f>
        <v>#VALUE!</v>
      </c>
      <c r="HH63" t="e">
        <f>AND(medidas!M120,"AAAAAF9//tc=")</f>
        <v>#VALUE!</v>
      </c>
      <c r="HI63" t="e">
        <f>AND(medidas!N120,"AAAAAF9//tg=")</f>
        <v>#VALUE!</v>
      </c>
      <c r="HJ63" t="e">
        <f>AND(medidas!O120,"AAAAAF9//tk=")</f>
        <v>#VALUE!</v>
      </c>
      <c r="HK63" t="e">
        <f>AND(medidas!P120,"AAAAAF9//to=")</f>
        <v>#VALUE!</v>
      </c>
      <c r="HL63" t="e">
        <f>AND(medidas!Q120,"AAAAAF9//ts=")</f>
        <v>#VALUE!</v>
      </c>
      <c r="HM63" t="e">
        <f>AND(medidas!R120,"AAAAAF9//tw=")</f>
        <v>#VALUE!</v>
      </c>
      <c r="HN63" t="e">
        <f>AND(medidas!S120,"AAAAAF9//t0=")</f>
        <v>#VALUE!</v>
      </c>
      <c r="HO63" t="e">
        <f>AND(medidas!T120,"AAAAAF9//t4=")</f>
        <v>#VALUE!</v>
      </c>
      <c r="HP63" t="e">
        <f>AND(medidas!U120,"AAAAAF9//t8=")</f>
        <v>#VALUE!</v>
      </c>
      <c r="HQ63" t="e">
        <f>AND(medidas!V120,"AAAAAF9//uA=")</f>
        <v>#VALUE!</v>
      </c>
      <c r="HR63" t="e">
        <f>AND(medidas!W120,"AAAAAF9//uE=")</f>
        <v>#VALUE!</v>
      </c>
      <c r="HS63" t="e">
        <f>AND(medidas!X120,"AAAAAF9//uI=")</f>
        <v>#VALUE!</v>
      </c>
      <c r="HT63" t="e">
        <f>AND(medidas!Y120,"AAAAAF9//uM=")</f>
        <v>#VALUE!</v>
      </c>
      <c r="HU63" t="e">
        <f>AND(medidas!Z120,"AAAAAF9//uQ=")</f>
        <v>#VALUE!</v>
      </c>
      <c r="HV63" t="e">
        <f>AND(medidas!AA120,"AAAAAF9//uU=")</f>
        <v>#VALUE!</v>
      </c>
      <c r="HW63" t="e">
        <f>AND(medidas!AB120,"AAAAAF9//uY=")</f>
        <v>#VALUE!</v>
      </c>
      <c r="HX63" t="e">
        <f>AND(medidas!AC120,"AAAAAF9//uc=")</f>
        <v>#VALUE!</v>
      </c>
      <c r="HY63" t="e">
        <f>AND(medidas!AD120,"AAAAAF9//ug=")</f>
        <v>#VALUE!</v>
      </c>
      <c r="HZ63" t="e">
        <f>AND(medidas!AE120,"AAAAAF9//uk=")</f>
        <v>#VALUE!</v>
      </c>
      <c r="IA63" t="e">
        <f>AND(medidas!AF120,"AAAAAF9//uo=")</f>
        <v>#VALUE!</v>
      </c>
      <c r="IB63" t="e">
        <f>AND(medidas!AG120,"AAAAAF9//us=")</f>
        <v>#VALUE!</v>
      </c>
      <c r="IC63" t="e">
        <f>AND(medidas!AH120,"AAAAAF9//uw=")</f>
        <v>#VALUE!</v>
      </c>
      <c r="ID63" t="e">
        <f>AND(medidas!AI120,"AAAAAF9//u0=")</f>
        <v>#VALUE!</v>
      </c>
      <c r="IE63" t="e">
        <f>AND(medidas!AJ120,"AAAAAF9//u4=")</f>
        <v>#VALUE!</v>
      </c>
      <c r="IF63" t="e">
        <f>AND(medidas!AK120,"AAAAAF9//u8=")</f>
        <v>#VALUE!</v>
      </c>
      <c r="IG63" t="e">
        <f>AND(medidas!AL120,"AAAAAF9//vA=")</f>
        <v>#VALUE!</v>
      </c>
      <c r="IH63" t="e">
        <f>AND(medidas!AM120,"AAAAAF9//vE=")</f>
        <v>#VALUE!</v>
      </c>
      <c r="II63" t="e">
        <f>AND(medidas!AN120,"AAAAAF9//vI=")</f>
        <v>#VALUE!</v>
      </c>
      <c r="IJ63" t="e">
        <f>AND(medidas!AO120,"AAAAAF9//vM=")</f>
        <v>#VALUE!</v>
      </c>
      <c r="IK63" t="e">
        <f>AND(medidas!AP120,"AAAAAF9//vQ=")</f>
        <v>#VALUE!</v>
      </c>
      <c r="IL63" t="e">
        <f>AND(medidas!AQ120,"AAAAAF9//vU=")</f>
        <v>#VALUE!</v>
      </c>
      <c r="IM63" t="e">
        <f>AND(medidas!AR120,"AAAAAF9//vY=")</f>
        <v>#VALUE!</v>
      </c>
      <c r="IN63" t="e">
        <f>AND(medidas!AS120,"AAAAAF9//vc=")</f>
        <v>#VALUE!</v>
      </c>
      <c r="IO63" t="e">
        <f>AND(medidas!AT120,"AAAAAF9//vg=")</f>
        <v>#VALUE!</v>
      </c>
      <c r="IP63" t="e">
        <f>AND(medidas!AU120,"AAAAAF9//vk=")</f>
        <v>#VALUE!</v>
      </c>
      <c r="IQ63" t="e">
        <f>AND(medidas!AV120,"AAAAAF9//vo=")</f>
        <v>#VALUE!</v>
      </c>
      <c r="IR63" t="e">
        <f>AND(medidas!AW120,"AAAAAF9//vs=")</f>
        <v>#VALUE!</v>
      </c>
      <c r="IS63" t="e">
        <f>AND(medidas!AX120,"AAAAAF9//vw=")</f>
        <v>#VALUE!</v>
      </c>
      <c r="IT63" t="e">
        <f>AND(medidas!AY120,"AAAAAF9//v0=")</f>
        <v>#VALUE!</v>
      </c>
      <c r="IU63" t="e">
        <f>AND(medidas!AZ120,"AAAAAF9//v4=")</f>
        <v>#VALUE!</v>
      </c>
      <c r="IV63" t="e">
        <f>AND(medidas!BA120,"AAAAAF9//v8=")</f>
        <v>#VALUE!</v>
      </c>
    </row>
    <row r="64" spans="1:256" x14ac:dyDescent="0.2">
      <c r="A64" t="e">
        <f>AND(medidas!BB120,"AAAAAFrvOgA=")</f>
        <v>#VALUE!</v>
      </c>
      <c r="B64" t="e">
        <f>AND(medidas!BC120,"AAAAAFrvOgE=")</f>
        <v>#VALUE!</v>
      </c>
      <c r="C64" t="e">
        <f>AND(medidas!BD120,"AAAAAFrvOgI=")</f>
        <v>#VALUE!</v>
      </c>
      <c r="D64" t="e">
        <f>AND(medidas!BE120,"AAAAAFrvOgM=")</f>
        <v>#VALUE!</v>
      </c>
      <c r="E64" t="e">
        <f>AND(medidas!BF120,"AAAAAFrvOgQ=")</f>
        <v>#VALUE!</v>
      </c>
      <c r="F64" t="e">
        <f>AND(medidas!BG120,"AAAAAFrvOgU=")</f>
        <v>#VALUE!</v>
      </c>
      <c r="G64" t="e">
        <f>AND(medidas!BH120,"AAAAAFrvOgY=")</f>
        <v>#VALUE!</v>
      </c>
      <c r="H64" t="e">
        <f>AND(medidas!BI120,"AAAAAFrvOgc=")</f>
        <v>#VALUE!</v>
      </c>
      <c r="I64" t="e">
        <f>AND(medidas!BJ120,"AAAAAFrvOgg=")</f>
        <v>#VALUE!</v>
      </c>
      <c r="J64" t="e">
        <f>AND(medidas!BK120,"AAAAAFrvOgk=")</f>
        <v>#VALUE!</v>
      </c>
      <c r="K64" t="e">
        <f>AND(medidas!BL120,"AAAAAFrvOgo=")</f>
        <v>#VALUE!</v>
      </c>
      <c r="L64" t="e">
        <f>AND(medidas!BM120,"AAAAAFrvOgs=")</f>
        <v>#VALUE!</v>
      </c>
      <c r="M64" t="e">
        <f>AND(medidas!BN120,"AAAAAFrvOgw=")</f>
        <v>#VALUE!</v>
      </c>
      <c r="N64" t="e">
        <f>AND(medidas!BO120,"AAAAAFrvOg0=")</f>
        <v>#VALUE!</v>
      </c>
      <c r="O64" t="e">
        <f>AND(medidas!BP120,"AAAAAFrvOg4=")</f>
        <v>#VALUE!</v>
      </c>
      <c r="P64" t="e">
        <f>AND(medidas!BQ120,"AAAAAFrvOg8=")</f>
        <v>#VALUE!</v>
      </c>
      <c r="Q64" t="e">
        <f>AND(medidas!BR120,"AAAAAFrvOhA=")</f>
        <v>#VALUE!</v>
      </c>
      <c r="R64" t="e">
        <f>AND(medidas!BS120,"AAAAAFrvOhE=")</f>
        <v>#VALUE!</v>
      </c>
      <c r="S64" t="e">
        <f>AND(medidas!BT120,"AAAAAFrvOhI=")</f>
        <v>#VALUE!</v>
      </c>
      <c r="T64" t="e">
        <f>AND(medidas!BU120,"AAAAAFrvOhM=")</f>
        <v>#VALUE!</v>
      </c>
      <c r="U64" t="e">
        <f>AND(medidas!BV120,"AAAAAFrvOhQ=")</f>
        <v>#VALUE!</v>
      </c>
      <c r="V64" t="e">
        <f>AND(medidas!BW120,"AAAAAFrvOhU=")</f>
        <v>#VALUE!</v>
      </c>
      <c r="W64" t="e">
        <f>AND(medidas!BX120,"AAAAAFrvOhY=")</f>
        <v>#VALUE!</v>
      </c>
      <c r="X64" t="e">
        <f>AND(medidas!BY120,"AAAAAFrvOhc=")</f>
        <v>#VALUE!</v>
      </c>
      <c r="Y64">
        <f>IF(medidas!121:121,"AAAAAFrvOhg=",0)</f>
        <v>0</v>
      </c>
      <c r="Z64" t="e">
        <f>AND(medidas!B121,"AAAAAFrvOhk=")</f>
        <v>#VALUE!</v>
      </c>
      <c r="AA64" t="e">
        <f>AND(medidas!C121,"AAAAAFrvOho=")</f>
        <v>#VALUE!</v>
      </c>
      <c r="AB64" t="e">
        <f>AND(medidas!D121,"AAAAAFrvOhs=")</f>
        <v>#VALUE!</v>
      </c>
      <c r="AC64" t="e">
        <f>AND(medidas!E121,"AAAAAFrvOhw=")</f>
        <v>#VALUE!</v>
      </c>
      <c r="AD64" t="e">
        <f>AND(medidas!F121,"AAAAAFrvOh0=")</f>
        <v>#VALUE!</v>
      </c>
      <c r="AE64" t="e">
        <f>AND(medidas!G121,"AAAAAFrvOh4=")</f>
        <v>#VALUE!</v>
      </c>
      <c r="AF64" t="e">
        <f>AND(medidas!H121,"AAAAAFrvOh8=")</f>
        <v>#VALUE!</v>
      </c>
      <c r="AG64" t="e">
        <f>AND(medidas!I121,"AAAAAFrvOiA=")</f>
        <v>#VALUE!</v>
      </c>
      <c r="AH64" t="e">
        <f>AND(medidas!J121,"AAAAAFrvOiE=")</f>
        <v>#VALUE!</v>
      </c>
      <c r="AI64" t="e">
        <f>AND(medidas!K121,"AAAAAFrvOiI=")</f>
        <v>#VALUE!</v>
      </c>
      <c r="AJ64" t="e">
        <f>AND(medidas!L121,"AAAAAFrvOiM=")</f>
        <v>#VALUE!</v>
      </c>
      <c r="AK64" t="e">
        <f>AND(medidas!M121,"AAAAAFrvOiQ=")</f>
        <v>#VALUE!</v>
      </c>
      <c r="AL64" t="e">
        <f>AND(medidas!N121,"AAAAAFrvOiU=")</f>
        <v>#VALUE!</v>
      </c>
      <c r="AM64" t="e">
        <f>AND(medidas!O121,"AAAAAFrvOiY=")</f>
        <v>#VALUE!</v>
      </c>
      <c r="AN64" t="e">
        <f>AND(medidas!P121,"AAAAAFrvOic=")</f>
        <v>#VALUE!</v>
      </c>
      <c r="AO64" t="e">
        <f>AND(medidas!Q121,"AAAAAFrvOig=")</f>
        <v>#VALUE!</v>
      </c>
      <c r="AP64" t="e">
        <f>AND(medidas!R121,"AAAAAFrvOik=")</f>
        <v>#VALUE!</v>
      </c>
      <c r="AQ64" t="e">
        <f>AND(medidas!S121,"AAAAAFrvOio=")</f>
        <v>#VALUE!</v>
      </c>
      <c r="AR64" t="e">
        <f>AND(medidas!T121,"AAAAAFrvOis=")</f>
        <v>#VALUE!</v>
      </c>
      <c r="AS64" t="e">
        <f>AND(medidas!U121,"AAAAAFrvOiw=")</f>
        <v>#VALUE!</v>
      </c>
      <c r="AT64" t="e">
        <f>AND(medidas!V121,"AAAAAFrvOi0=")</f>
        <v>#VALUE!</v>
      </c>
      <c r="AU64" t="e">
        <f>AND(medidas!W121,"AAAAAFrvOi4=")</f>
        <v>#VALUE!</v>
      </c>
      <c r="AV64" t="e">
        <f>AND(medidas!X121,"AAAAAFrvOi8=")</f>
        <v>#VALUE!</v>
      </c>
      <c r="AW64" t="e">
        <f>AND(medidas!Y121,"AAAAAFrvOjA=")</f>
        <v>#VALUE!</v>
      </c>
      <c r="AX64" t="e">
        <f>AND(medidas!Z121,"AAAAAFrvOjE=")</f>
        <v>#VALUE!</v>
      </c>
      <c r="AY64" t="e">
        <f>AND(medidas!AA121,"AAAAAFrvOjI=")</f>
        <v>#VALUE!</v>
      </c>
      <c r="AZ64" t="e">
        <f>AND(medidas!AB121,"AAAAAFrvOjM=")</f>
        <v>#VALUE!</v>
      </c>
      <c r="BA64" t="e">
        <f>AND(medidas!AC121,"AAAAAFrvOjQ=")</f>
        <v>#VALUE!</v>
      </c>
      <c r="BB64" t="e">
        <f>AND(medidas!AD121,"AAAAAFrvOjU=")</f>
        <v>#VALUE!</v>
      </c>
      <c r="BC64" t="e">
        <f>AND(medidas!AE121,"AAAAAFrvOjY=")</f>
        <v>#VALUE!</v>
      </c>
      <c r="BD64" t="e">
        <f>AND(medidas!AF121,"AAAAAFrvOjc=")</f>
        <v>#VALUE!</v>
      </c>
      <c r="BE64" t="e">
        <f>AND(medidas!AG121,"AAAAAFrvOjg=")</f>
        <v>#VALUE!</v>
      </c>
      <c r="BF64" t="e">
        <f>AND(medidas!AH121,"AAAAAFrvOjk=")</f>
        <v>#VALUE!</v>
      </c>
      <c r="BG64" t="e">
        <f>AND(medidas!AI121,"AAAAAFrvOjo=")</f>
        <v>#VALUE!</v>
      </c>
      <c r="BH64" t="e">
        <f>AND(medidas!AJ121,"AAAAAFrvOjs=")</f>
        <v>#VALUE!</v>
      </c>
      <c r="BI64" t="e">
        <f>AND(medidas!AK121,"AAAAAFrvOjw=")</f>
        <v>#VALUE!</v>
      </c>
      <c r="BJ64" t="e">
        <f>AND(medidas!AL121,"AAAAAFrvOj0=")</f>
        <v>#VALUE!</v>
      </c>
      <c r="BK64" t="e">
        <f>AND(medidas!AM121,"AAAAAFrvOj4=")</f>
        <v>#VALUE!</v>
      </c>
      <c r="BL64" t="e">
        <f>AND(medidas!AN121,"AAAAAFrvOj8=")</f>
        <v>#VALUE!</v>
      </c>
      <c r="BM64" t="e">
        <f>AND(medidas!AO121,"AAAAAFrvOkA=")</f>
        <v>#VALUE!</v>
      </c>
      <c r="BN64" t="e">
        <f>AND(medidas!AP121,"AAAAAFrvOkE=")</f>
        <v>#VALUE!</v>
      </c>
      <c r="BO64" t="e">
        <f>AND(medidas!AQ121,"AAAAAFrvOkI=")</f>
        <v>#VALUE!</v>
      </c>
      <c r="BP64" t="e">
        <f>AND(medidas!AR121,"AAAAAFrvOkM=")</f>
        <v>#VALUE!</v>
      </c>
      <c r="BQ64" t="e">
        <f>AND(medidas!AS121,"AAAAAFrvOkQ=")</f>
        <v>#VALUE!</v>
      </c>
      <c r="BR64" t="e">
        <f>AND(medidas!AT121,"AAAAAFrvOkU=")</f>
        <v>#VALUE!</v>
      </c>
      <c r="BS64" t="e">
        <f>AND(medidas!AU121,"AAAAAFrvOkY=")</f>
        <v>#VALUE!</v>
      </c>
      <c r="BT64" t="e">
        <f>AND(medidas!AV121,"AAAAAFrvOkc=")</f>
        <v>#VALUE!</v>
      </c>
      <c r="BU64" t="e">
        <f>AND(medidas!AW121,"AAAAAFrvOkg=")</f>
        <v>#VALUE!</v>
      </c>
      <c r="BV64" t="e">
        <f>AND(medidas!AX121,"AAAAAFrvOkk=")</f>
        <v>#VALUE!</v>
      </c>
      <c r="BW64" t="e">
        <f>AND(medidas!AY121,"AAAAAFrvOko=")</f>
        <v>#VALUE!</v>
      </c>
      <c r="BX64" t="e">
        <f>AND(medidas!AZ121,"AAAAAFrvOks=")</f>
        <v>#VALUE!</v>
      </c>
      <c r="BY64" t="e">
        <f>AND(medidas!BA121,"AAAAAFrvOkw=")</f>
        <v>#VALUE!</v>
      </c>
      <c r="BZ64" t="e">
        <f>AND(medidas!BB121,"AAAAAFrvOk0=")</f>
        <v>#VALUE!</v>
      </c>
      <c r="CA64" t="e">
        <f>AND(medidas!BC121,"AAAAAFrvOk4=")</f>
        <v>#VALUE!</v>
      </c>
      <c r="CB64" t="e">
        <f>AND(medidas!BD121,"AAAAAFrvOk8=")</f>
        <v>#VALUE!</v>
      </c>
      <c r="CC64" t="e">
        <f>AND(medidas!BE121,"AAAAAFrvOlA=")</f>
        <v>#VALUE!</v>
      </c>
      <c r="CD64" t="e">
        <f>AND(medidas!BF121,"AAAAAFrvOlE=")</f>
        <v>#VALUE!</v>
      </c>
      <c r="CE64" t="e">
        <f>AND(medidas!BG121,"AAAAAFrvOlI=")</f>
        <v>#VALUE!</v>
      </c>
      <c r="CF64" t="e">
        <f>AND(medidas!BH121,"AAAAAFrvOlM=")</f>
        <v>#VALUE!</v>
      </c>
      <c r="CG64" t="e">
        <f>AND(medidas!BI121,"AAAAAFrvOlQ=")</f>
        <v>#VALUE!</v>
      </c>
      <c r="CH64" t="e">
        <f>AND(medidas!BJ121,"AAAAAFrvOlU=")</f>
        <v>#VALUE!</v>
      </c>
      <c r="CI64" t="e">
        <f>AND(medidas!BK121,"AAAAAFrvOlY=")</f>
        <v>#VALUE!</v>
      </c>
      <c r="CJ64" t="e">
        <f>AND(medidas!BL121,"AAAAAFrvOlc=")</f>
        <v>#VALUE!</v>
      </c>
      <c r="CK64" t="e">
        <f>AND(medidas!BM121,"AAAAAFrvOlg=")</f>
        <v>#VALUE!</v>
      </c>
      <c r="CL64" t="e">
        <f>AND(medidas!BN121,"AAAAAFrvOlk=")</f>
        <v>#VALUE!</v>
      </c>
      <c r="CM64" t="e">
        <f>AND(medidas!BO121,"AAAAAFrvOlo=")</f>
        <v>#VALUE!</v>
      </c>
      <c r="CN64" t="e">
        <f>AND(medidas!BP121,"AAAAAFrvOls=")</f>
        <v>#VALUE!</v>
      </c>
      <c r="CO64" t="e">
        <f>AND(medidas!BQ121,"AAAAAFrvOlw=")</f>
        <v>#VALUE!</v>
      </c>
      <c r="CP64" t="e">
        <f>AND(medidas!BR121,"AAAAAFrvOl0=")</f>
        <v>#VALUE!</v>
      </c>
      <c r="CQ64" t="e">
        <f>AND(medidas!BS121,"AAAAAFrvOl4=")</f>
        <v>#VALUE!</v>
      </c>
      <c r="CR64" t="e">
        <f>AND(medidas!BT121,"AAAAAFrvOl8=")</f>
        <v>#VALUE!</v>
      </c>
      <c r="CS64" t="e">
        <f>AND(medidas!BU121,"AAAAAFrvOmA=")</f>
        <v>#VALUE!</v>
      </c>
      <c r="CT64" t="e">
        <f>AND(medidas!BV121,"AAAAAFrvOmE=")</f>
        <v>#VALUE!</v>
      </c>
      <c r="CU64" t="e">
        <f>AND(medidas!BW121,"AAAAAFrvOmI=")</f>
        <v>#VALUE!</v>
      </c>
      <c r="CV64" t="e">
        <f>AND(medidas!BX121,"AAAAAFrvOmM=")</f>
        <v>#VALUE!</v>
      </c>
      <c r="CW64" t="e">
        <f>AND(medidas!BY121,"AAAAAFrvOmQ=")</f>
        <v>#VALUE!</v>
      </c>
      <c r="CX64">
        <f>IF(medidas!122:122,"AAAAAFrvOmU=",0)</f>
        <v>0</v>
      </c>
      <c r="CY64" t="e">
        <f>AND(medidas!B122,"AAAAAFrvOmY=")</f>
        <v>#VALUE!</v>
      </c>
      <c r="CZ64" t="e">
        <f>AND(medidas!C122,"AAAAAFrvOmc=")</f>
        <v>#VALUE!</v>
      </c>
      <c r="DA64" t="e">
        <f>AND(medidas!D122,"AAAAAFrvOmg=")</f>
        <v>#VALUE!</v>
      </c>
      <c r="DB64" t="e">
        <f>AND(medidas!E122,"AAAAAFrvOmk=")</f>
        <v>#VALUE!</v>
      </c>
      <c r="DC64" t="e">
        <f>AND(medidas!F122,"AAAAAFrvOmo=")</f>
        <v>#VALUE!</v>
      </c>
      <c r="DD64" t="e">
        <f>AND(medidas!G122,"AAAAAFrvOms=")</f>
        <v>#VALUE!</v>
      </c>
      <c r="DE64" t="e">
        <f>AND(medidas!H122,"AAAAAFrvOmw=")</f>
        <v>#VALUE!</v>
      </c>
      <c r="DF64" t="e">
        <f>AND(medidas!I122,"AAAAAFrvOm0=")</f>
        <v>#VALUE!</v>
      </c>
      <c r="DG64" t="e">
        <f>AND(medidas!J122,"AAAAAFrvOm4=")</f>
        <v>#VALUE!</v>
      </c>
      <c r="DH64" t="e">
        <f>AND(medidas!K122,"AAAAAFrvOm8=")</f>
        <v>#VALUE!</v>
      </c>
      <c r="DI64" t="e">
        <f>AND(medidas!L122,"AAAAAFrvOnA=")</f>
        <v>#VALUE!</v>
      </c>
      <c r="DJ64" t="e">
        <f>AND(medidas!M122,"AAAAAFrvOnE=")</f>
        <v>#VALUE!</v>
      </c>
      <c r="DK64" t="e">
        <f>AND(medidas!N122,"AAAAAFrvOnI=")</f>
        <v>#VALUE!</v>
      </c>
      <c r="DL64" t="e">
        <f>AND(medidas!O122,"AAAAAFrvOnM=")</f>
        <v>#VALUE!</v>
      </c>
      <c r="DM64" t="e">
        <f>AND(medidas!P122,"AAAAAFrvOnQ=")</f>
        <v>#VALUE!</v>
      </c>
      <c r="DN64" t="e">
        <f>AND(medidas!Q122,"AAAAAFrvOnU=")</f>
        <v>#VALUE!</v>
      </c>
      <c r="DO64" t="e">
        <f>AND(medidas!R122,"AAAAAFrvOnY=")</f>
        <v>#VALUE!</v>
      </c>
      <c r="DP64" t="e">
        <f>AND(medidas!S122,"AAAAAFrvOnc=")</f>
        <v>#VALUE!</v>
      </c>
      <c r="DQ64" t="e">
        <f>AND(medidas!T122,"AAAAAFrvOng=")</f>
        <v>#VALUE!</v>
      </c>
      <c r="DR64" t="e">
        <f>AND(medidas!U122,"AAAAAFrvOnk=")</f>
        <v>#VALUE!</v>
      </c>
      <c r="DS64" t="e">
        <f>AND(medidas!V122,"AAAAAFrvOno=")</f>
        <v>#VALUE!</v>
      </c>
      <c r="DT64" t="e">
        <f>AND(medidas!W122,"AAAAAFrvOns=")</f>
        <v>#VALUE!</v>
      </c>
      <c r="DU64" t="e">
        <f>AND(medidas!X122,"AAAAAFrvOnw=")</f>
        <v>#VALUE!</v>
      </c>
      <c r="DV64" t="e">
        <f>AND(medidas!Y122,"AAAAAFrvOn0=")</f>
        <v>#VALUE!</v>
      </c>
      <c r="DW64" t="e">
        <f>AND(medidas!Z122,"AAAAAFrvOn4=")</f>
        <v>#VALUE!</v>
      </c>
      <c r="DX64" t="e">
        <f>AND(medidas!AA122,"AAAAAFrvOn8=")</f>
        <v>#VALUE!</v>
      </c>
      <c r="DY64" t="e">
        <f>AND(medidas!AB122,"AAAAAFrvOoA=")</f>
        <v>#VALUE!</v>
      </c>
      <c r="DZ64" t="e">
        <f>AND(medidas!AC122,"AAAAAFrvOoE=")</f>
        <v>#VALUE!</v>
      </c>
      <c r="EA64" t="e">
        <f>AND(medidas!AD122,"AAAAAFrvOoI=")</f>
        <v>#VALUE!</v>
      </c>
      <c r="EB64" t="e">
        <f>AND(medidas!AE122,"AAAAAFrvOoM=")</f>
        <v>#VALUE!</v>
      </c>
      <c r="EC64" t="e">
        <f>AND(medidas!AF122,"AAAAAFrvOoQ=")</f>
        <v>#VALUE!</v>
      </c>
      <c r="ED64" t="e">
        <f>AND(medidas!AG122,"AAAAAFrvOoU=")</f>
        <v>#VALUE!</v>
      </c>
      <c r="EE64" t="e">
        <f>AND(medidas!AH122,"AAAAAFrvOoY=")</f>
        <v>#VALUE!</v>
      </c>
      <c r="EF64" t="e">
        <f>AND(medidas!AI122,"AAAAAFrvOoc=")</f>
        <v>#VALUE!</v>
      </c>
      <c r="EG64" t="e">
        <f>AND(medidas!AJ122,"AAAAAFrvOog=")</f>
        <v>#VALUE!</v>
      </c>
      <c r="EH64" t="e">
        <f>AND(medidas!AK122,"AAAAAFrvOok=")</f>
        <v>#VALUE!</v>
      </c>
      <c r="EI64" t="e">
        <f>AND(medidas!AL122,"AAAAAFrvOoo=")</f>
        <v>#VALUE!</v>
      </c>
      <c r="EJ64" t="e">
        <f>AND(medidas!AM122,"AAAAAFrvOos=")</f>
        <v>#VALUE!</v>
      </c>
      <c r="EK64" t="e">
        <f>AND(medidas!AN122,"AAAAAFrvOow=")</f>
        <v>#VALUE!</v>
      </c>
      <c r="EL64" t="e">
        <f>AND(medidas!AO122,"AAAAAFrvOo0=")</f>
        <v>#VALUE!</v>
      </c>
      <c r="EM64" t="e">
        <f>AND(medidas!AP122,"AAAAAFrvOo4=")</f>
        <v>#VALUE!</v>
      </c>
      <c r="EN64" t="e">
        <f>AND(medidas!AQ122,"AAAAAFrvOo8=")</f>
        <v>#VALUE!</v>
      </c>
      <c r="EO64" t="e">
        <f>AND(medidas!AR122,"AAAAAFrvOpA=")</f>
        <v>#VALUE!</v>
      </c>
      <c r="EP64" t="e">
        <f>AND(medidas!AS122,"AAAAAFrvOpE=")</f>
        <v>#VALUE!</v>
      </c>
      <c r="EQ64" t="e">
        <f>AND(medidas!AT122,"AAAAAFrvOpI=")</f>
        <v>#VALUE!</v>
      </c>
      <c r="ER64" t="e">
        <f>AND(medidas!AU122,"AAAAAFrvOpM=")</f>
        <v>#VALUE!</v>
      </c>
      <c r="ES64" t="e">
        <f>AND(medidas!AV122,"AAAAAFrvOpQ=")</f>
        <v>#VALUE!</v>
      </c>
      <c r="ET64" t="e">
        <f>AND(medidas!AW122,"AAAAAFrvOpU=")</f>
        <v>#VALUE!</v>
      </c>
      <c r="EU64" t="e">
        <f>AND(medidas!AX122,"AAAAAFrvOpY=")</f>
        <v>#VALUE!</v>
      </c>
      <c r="EV64" t="e">
        <f>AND(medidas!AY122,"AAAAAFrvOpc=")</f>
        <v>#VALUE!</v>
      </c>
      <c r="EW64" t="e">
        <f>AND(medidas!AZ122,"AAAAAFrvOpg=")</f>
        <v>#VALUE!</v>
      </c>
      <c r="EX64" t="e">
        <f>AND(medidas!BA122,"AAAAAFrvOpk=")</f>
        <v>#VALUE!</v>
      </c>
      <c r="EY64" t="e">
        <f>AND(medidas!BB122,"AAAAAFrvOpo=")</f>
        <v>#VALUE!</v>
      </c>
      <c r="EZ64" t="e">
        <f>AND(medidas!BC122,"AAAAAFrvOps=")</f>
        <v>#VALUE!</v>
      </c>
      <c r="FA64" t="e">
        <f>AND(medidas!BD122,"AAAAAFrvOpw=")</f>
        <v>#VALUE!</v>
      </c>
      <c r="FB64" t="e">
        <f>AND(medidas!BE122,"AAAAAFrvOp0=")</f>
        <v>#VALUE!</v>
      </c>
      <c r="FC64" t="e">
        <f>AND(medidas!BF122,"AAAAAFrvOp4=")</f>
        <v>#VALUE!</v>
      </c>
      <c r="FD64" t="e">
        <f>AND(medidas!BG122,"AAAAAFrvOp8=")</f>
        <v>#VALUE!</v>
      </c>
      <c r="FE64" t="e">
        <f>AND(medidas!BH122,"AAAAAFrvOqA=")</f>
        <v>#VALUE!</v>
      </c>
      <c r="FF64" t="e">
        <f>AND(medidas!BI122,"AAAAAFrvOqE=")</f>
        <v>#VALUE!</v>
      </c>
      <c r="FG64" t="e">
        <f>AND(medidas!BJ122,"AAAAAFrvOqI=")</f>
        <v>#VALUE!</v>
      </c>
      <c r="FH64" t="e">
        <f>AND(medidas!BK122,"AAAAAFrvOqM=")</f>
        <v>#VALUE!</v>
      </c>
      <c r="FI64" t="e">
        <f>AND(medidas!BL122,"AAAAAFrvOqQ=")</f>
        <v>#VALUE!</v>
      </c>
      <c r="FJ64" t="e">
        <f>AND(medidas!BM122,"AAAAAFrvOqU=")</f>
        <v>#VALUE!</v>
      </c>
      <c r="FK64" t="e">
        <f>AND(medidas!BN122,"AAAAAFrvOqY=")</f>
        <v>#VALUE!</v>
      </c>
      <c r="FL64" t="e">
        <f>AND(medidas!BO122,"AAAAAFrvOqc=")</f>
        <v>#VALUE!</v>
      </c>
      <c r="FM64" t="e">
        <f>AND(medidas!BP122,"AAAAAFrvOqg=")</f>
        <v>#VALUE!</v>
      </c>
      <c r="FN64" t="e">
        <f>AND(medidas!BQ122,"AAAAAFrvOqk=")</f>
        <v>#VALUE!</v>
      </c>
      <c r="FO64" t="e">
        <f>AND(medidas!BR122,"AAAAAFrvOqo=")</f>
        <v>#VALUE!</v>
      </c>
      <c r="FP64" t="e">
        <f>AND(medidas!BS122,"AAAAAFrvOqs=")</f>
        <v>#VALUE!</v>
      </c>
      <c r="FQ64" t="e">
        <f>AND(medidas!BT122,"AAAAAFrvOqw=")</f>
        <v>#VALUE!</v>
      </c>
      <c r="FR64" t="e">
        <f>AND(medidas!BU122,"AAAAAFrvOq0=")</f>
        <v>#VALUE!</v>
      </c>
      <c r="FS64" t="e">
        <f>AND(medidas!BV122,"AAAAAFrvOq4=")</f>
        <v>#VALUE!</v>
      </c>
      <c r="FT64" t="e">
        <f>AND(medidas!BW122,"AAAAAFrvOq8=")</f>
        <v>#VALUE!</v>
      </c>
      <c r="FU64" t="e">
        <f>AND(medidas!BX122,"AAAAAFrvOrA=")</f>
        <v>#VALUE!</v>
      </c>
      <c r="FV64" t="e">
        <f>AND(medidas!BY122,"AAAAAFrvOrE=")</f>
        <v>#VALUE!</v>
      </c>
      <c r="FW64">
        <f>IF(medidas!123:123,"AAAAAFrvOrI=",0)</f>
        <v>0</v>
      </c>
      <c r="FX64" t="e">
        <f>AND(medidas!B123,"AAAAAFrvOrM=")</f>
        <v>#VALUE!</v>
      </c>
      <c r="FY64" t="e">
        <f>AND(medidas!C123,"AAAAAFrvOrQ=")</f>
        <v>#VALUE!</v>
      </c>
      <c r="FZ64" t="e">
        <f>AND(medidas!D123,"AAAAAFrvOrU=")</f>
        <v>#VALUE!</v>
      </c>
      <c r="GA64" t="e">
        <f>AND(medidas!E123,"AAAAAFrvOrY=")</f>
        <v>#VALUE!</v>
      </c>
      <c r="GB64" t="e">
        <f>AND(medidas!F123,"AAAAAFrvOrc=")</f>
        <v>#VALUE!</v>
      </c>
      <c r="GC64" t="e">
        <f>AND(medidas!G123,"AAAAAFrvOrg=")</f>
        <v>#VALUE!</v>
      </c>
      <c r="GD64" t="e">
        <f>AND(medidas!H123,"AAAAAFrvOrk=")</f>
        <v>#VALUE!</v>
      </c>
      <c r="GE64" t="e">
        <f>AND(medidas!I123,"AAAAAFrvOro=")</f>
        <v>#VALUE!</v>
      </c>
      <c r="GF64" t="e">
        <f>AND(medidas!J123,"AAAAAFrvOrs=")</f>
        <v>#VALUE!</v>
      </c>
      <c r="GG64" t="e">
        <f>AND(medidas!K123,"AAAAAFrvOrw=")</f>
        <v>#VALUE!</v>
      </c>
      <c r="GH64" t="e">
        <f>AND(medidas!L123,"AAAAAFrvOr0=")</f>
        <v>#VALUE!</v>
      </c>
      <c r="GI64" t="e">
        <f>AND(medidas!M123,"AAAAAFrvOr4=")</f>
        <v>#VALUE!</v>
      </c>
      <c r="GJ64" t="e">
        <f>AND(medidas!N123,"AAAAAFrvOr8=")</f>
        <v>#VALUE!</v>
      </c>
      <c r="GK64" t="e">
        <f>AND(medidas!O123,"AAAAAFrvOsA=")</f>
        <v>#VALUE!</v>
      </c>
      <c r="GL64" t="e">
        <f>AND(medidas!P123,"AAAAAFrvOsE=")</f>
        <v>#VALUE!</v>
      </c>
      <c r="GM64" t="e">
        <f>AND(medidas!Q123,"AAAAAFrvOsI=")</f>
        <v>#VALUE!</v>
      </c>
      <c r="GN64" t="e">
        <f>AND(medidas!R123,"AAAAAFrvOsM=")</f>
        <v>#VALUE!</v>
      </c>
      <c r="GO64" t="e">
        <f>AND(medidas!S123,"AAAAAFrvOsQ=")</f>
        <v>#VALUE!</v>
      </c>
      <c r="GP64" t="e">
        <f>AND(medidas!T123,"AAAAAFrvOsU=")</f>
        <v>#VALUE!</v>
      </c>
      <c r="GQ64" t="e">
        <f>AND(medidas!U123,"AAAAAFrvOsY=")</f>
        <v>#VALUE!</v>
      </c>
      <c r="GR64" t="e">
        <f>AND(medidas!V123,"AAAAAFrvOsc=")</f>
        <v>#VALUE!</v>
      </c>
      <c r="GS64" t="e">
        <f>AND(medidas!W123,"AAAAAFrvOsg=")</f>
        <v>#VALUE!</v>
      </c>
      <c r="GT64" t="e">
        <f>AND(medidas!X123,"AAAAAFrvOsk=")</f>
        <v>#VALUE!</v>
      </c>
      <c r="GU64" t="e">
        <f>AND(medidas!Y123,"AAAAAFrvOso=")</f>
        <v>#VALUE!</v>
      </c>
      <c r="GV64" t="e">
        <f>AND(medidas!Z123,"AAAAAFrvOss=")</f>
        <v>#VALUE!</v>
      </c>
      <c r="GW64" t="e">
        <f>AND(medidas!AA123,"AAAAAFrvOsw=")</f>
        <v>#VALUE!</v>
      </c>
      <c r="GX64" t="e">
        <f>AND(medidas!AB123,"AAAAAFrvOs0=")</f>
        <v>#VALUE!</v>
      </c>
      <c r="GY64" t="e">
        <f>AND(medidas!AC123,"AAAAAFrvOs4=")</f>
        <v>#VALUE!</v>
      </c>
      <c r="GZ64" t="e">
        <f>AND(medidas!AD123,"AAAAAFrvOs8=")</f>
        <v>#VALUE!</v>
      </c>
      <c r="HA64" t="e">
        <f>AND(medidas!AE123,"AAAAAFrvOtA=")</f>
        <v>#VALUE!</v>
      </c>
      <c r="HB64" t="e">
        <f>AND(medidas!AF123,"AAAAAFrvOtE=")</f>
        <v>#VALUE!</v>
      </c>
      <c r="HC64" t="e">
        <f>AND(medidas!AG123,"AAAAAFrvOtI=")</f>
        <v>#VALUE!</v>
      </c>
      <c r="HD64" t="e">
        <f>AND(medidas!AH123,"AAAAAFrvOtM=")</f>
        <v>#VALUE!</v>
      </c>
      <c r="HE64" t="e">
        <f>AND(medidas!AI123,"AAAAAFrvOtQ=")</f>
        <v>#VALUE!</v>
      </c>
      <c r="HF64" t="e">
        <f>AND(medidas!AJ123,"AAAAAFrvOtU=")</f>
        <v>#VALUE!</v>
      </c>
      <c r="HG64" t="e">
        <f>AND(medidas!AK123,"AAAAAFrvOtY=")</f>
        <v>#VALUE!</v>
      </c>
      <c r="HH64" t="e">
        <f>AND(medidas!AL123,"AAAAAFrvOtc=")</f>
        <v>#VALUE!</v>
      </c>
      <c r="HI64" t="e">
        <f>AND(medidas!AM123,"AAAAAFrvOtg=")</f>
        <v>#VALUE!</v>
      </c>
      <c r="HJ64" t="e">
        <f>AND(medidas!AN123,"AAAAAFrvOtk=")</f>
        <v>#VALUE!</v>
      </c>
      <c r="HK64" t="e">
        <f>AND(medidas!AO123,"AAAAAFrvOto=")</f>
        <v>#VALUE!</v>
      </c>
      <c r="HL64" t="e">
        <f>AND(medidas!AP123,"AAAAAFrvOts=")</f>
        <v>#VALUE!</v>
      </c>
      <c r="HM64" t="e">
        <f>AND(medidas!AQ123,"AAAAAFrvOtw=")</f>
        <v>#VALUE!</v>
      </c>
      <c r="HN64" t="e">
        <f>AND(medidas!AR123,"AAAAAFrvOt0=")</f>
        <v>#VALUE!</v>
      </c>
      <c r="HO64" t="e">
        <f>AND(medidas!AS123,"AAAAAFrvOt4=")</f>
        <v>#VALUE!</v>
      </c>
      <c r="HP64" t="e">
        <f>AND(medidas!AT123,"AAAAAFrvOt8=")</f>
        <v>#VALUE!</v>
      </c>
      <c r="HQ64" t="e">
        <f>AND(medidas!AU123,"AAAAAFrvOuA=")</f>
        <v>#VALUE!</v>
      </c>
      <c r="HR64" t="e">
        <f>AND(medidas!AV123,"AAAAAFrvOuE=")</f>
        <v>#VALUE!</v>
      </c>
      <c r="HS64" t="e">
        <f>AND(medidas!AW123,"AAAAAFrvOuI=")</f>
        <v>#VALUE!</v>
      </c>
      <c r="HT64" t="e">
        <f>AND(medidas!AX123,"AAAAAFrvOuM=")</f>
        <v>#VALUE!</v>
      </c>
      <c r="HU64" t="e">
        <f>AND(medidas!AY123,"AAAAAFrvOuQ=")</f>
        <v>#VALUE!</v>
      </c>
      <c r="HV64" t="e">
        <f>AND(medidas!AZ123,"AAAAAFrvOuU=")</f>
        <v>#VALUE!</v>
      </c>
      <c r="HW64" t="e">
        <f>AND(medidas!BA123,"AAAAAFrvOuY=")</f>
        <v>#VALUE!</v>
      </c>
      <c r="HX64" t="e">
        <f>AND(medidas!BB123,"AAAAAFrvOuc=")</f>
        <v>#VALUE!</v>
      </c>
      <c r="HY64" t="e">
        <f>AND(medidas!BC123,"AAAAAFrvOug=")</f>
        <v>#VALUE!</v>
      </c>
      <c r="HZ64" t="e">
        <f>AND(medidas!BD123,"AAAAAFrvOuk=")</f>
        <v>#VALUE!</v>
      </c>
      <c r="IA64" t="e">
        <f>AND(medidas!BE123,"AAAAAFrvOuo=")</f>
        <v>#VALUE!</v>
      </c>
      <c r="IB64" t="e">
        <f>AND(medidas!BF123,"AAAAAFrvOus=")</f>
        <v>#VALUE!</v>
      </c>
      <c r="IC64" t="e">
        <f>AND(medidas!BG123,"AAAAAFrvOuw=")</f>
        <v>#VALUE!</v>
      </c>
      <c r="ID64" t="e">
        <f>AND(medidas!BH123,"AAAAAFrvOu0=")</f>
        <v>#VALUE!</v>
      </c>
      <c r="IE64" t="e">
        <f>AND(medidas!BI123,"AAAAAFrvOu4=")</f>
        <v>#VALUE!</v>
      </c>
      <c r="IF64" t="e">
        <f>AND(medidas!BJ123,"AAAAAFrvOu8=")</f>
        <v>#VALUE!</v>
      </c>
      <c r="IG64" t="e">
        <f>AND(medidas!BK123,"AAAAAFrvOvA=")</f>
        <v>#VALUE!</v>
      </c>
      <c r="IH64" t="e">
        <f>AND(medidas!BL123,"AAAAAFrvOvE=")</f>
        <v>#VALUE!</v>
      </c>
      <c r="II64" t="e">
        <f>AND(medidas!BM123,"AAAAAFrvOvI=")</f>
        <v>#VALUE!</v>
      </c>
      <c r="IJ64" t="e">
        <f>AND(medidas!BN123,"AAAAAFrvOvM=")</f>
        <v>#VALUE!</v>
      </c>
      <c r="IK64" t="e">
        <f>AND(medidas!BO123,"AAAAAFrvOvQ=")</f>
        <v>#VALUE!</v>
      </c>
      <c r="IL64" t="e">
        <f>AND(medidas!BP123,"AAAAAFrvOvU=")</f>
        <v>#VALUE!</v>
      </c>
      <c r="IM64" t="e">
        <f>AND(medidas!BQ123,"AAAAAFrvOvY=")</f>
        <v>#VALUE!</v>
      </c>
      <c r="IN64" t="e">
        <f>AND(medidas!BR123,"AAAAAFrvOvc=")</f>
        <v>#VALUE!</v>
      </c>
      <c r="IO64" t="e">
        <f>AND(medidas!BS123,"AAAAAFrvOvg=")</f>
        <v>#VALUE!</v>
      </c>
      <c r="IP64" t="e">
        <f>AND(medidas!BT123,"AAAAAFrvOvk=")</f>
        <v>#VALUE!</v>
      </c>
      <c r="IQ64" t="e">
        <f>AND(medidas!BU123,"AAAAAFrvOvo=")</f>
        <v>#VALUE!</v>
      </c>
      <c r="IR64" t="e">
        <f>AND(medidas!BV123,"AAAAAFrvOvs=")</f>
        <v>#VALUE!</v>
      </c>
      <c r="IS64" t="e">
        <f>AND(medidas!BW123,"AAAAAFrvOvw=")</f>
        <v>#VALUE!</v>
      </c>
      <c r="IT64" t="e">
        <f>AND(medidas!BX123,"AAAAAFrvOv0=")</f>
        <v>#VALUE!</v>
      </c>
      <c r="IU64" t="e">
        <f>AND(medidas!BY123,"AAAAAFrvOv4=")</f>
        <v>#VALUE!</v>
      </c>
      <c r="IV64">
        <f>IF(medidas!124:124,"AAAAAFrvOv8=",0)</f>
        <v>0</v>
      </c>
    </row>
    <row r="65" spans="1:256" x14ac:dyDescent="0.2">
      <c r="A65" t="e">
        <f>AND(medidas!B124,"AAAAAH1/dgA=")</f>
        <v>#VALUE!</v>
      </c>
      <c r="B65" t="e">
        <f>AND(medidas!C124,"AAAAAH1/dgE=")</f>
        <v>#VALUE!</v>
      </c>
      <c r="C65" t="e">
        <f>AND(medidas!D124,"AAAAAH1/dgI=")</f>
        <v>#VALUE!</v>
      </c>
      <c r="D65" t="e">
        <f>AND(medidas!E124,"AAAAAH1/dgM=")</f>
        <v>#VALUE!</v>
      </c>
      <c r="E65" t="e">
        <f>AND(medidas!F124,"AAAAAH1/dgQ=")</f>
        <v>#VALUE!</v>
      </c>
      <c r="F65" t="e">
        <f>AND(medidas!G124,"AAAAAH1/dgU=")</f>
        <v>#VALUE!</v>
      </c>
      <c r="G65" t="e">
        <f>AND(medidas!H124,"AAAAAH1/dgY=")</f>
        <v>#VALUE!</v>
      </c>
      <c r="H65" t="e">
        <f>AND(medidas!I124,"AAAAAH1/dgc=")</f>
        <v>#VALUE!</v>
      </c>
      <c r="I65" t="e">
        <f>AND(medidas!J124,"AAAAAH1/dgg=")</f>
        <v>#VALUE!</v>
      </c>
      <c r="J65" t="e">
        <f>AND(medidas!K124,"AAAAAH1/dgk=")</f>
        <v>#VALUE!</v>
      </c>
      <c r="K65" t="e">
        <f>AND(medidas!L124,"AAAAAH1/dgo=")</f>
        <v>#VALUE!</v>
      </c>
      <c r="L65" t="e">
        <f>AND(medidas!M124,"AAAAAH1/dgs=")</f>
        <v>#VALUE!</v>
      </c>
      <c r="M65" t="e">
        <f>AND(medidas!N124,"AAAAAH1/dgw=")</f>
        <v>#VALUE!</v>
      </c>
      <c r="N65" t="e">
        <f>AND(medidas!O124,"AAAAAH1/dg0=")</f>
        <v>#VALUE!</v>
      </c>
      <c r="O65" t="e">
        <f>AND(medidas!P124,"AAAAAH1/dg4=")</f>
        <v>#VALUE!</v>
      </c>
      <c r="P65" t="e">
        <f>AND(medidas!Q124,"AAAAAH1/dg8=")</f>
        <v>#VALUE!</v>
      </c>
      <c r="Q65" t="e">
        <f>AND(medidas!R124,"AAAAAH1/dhA=")</f>
        <v>#VALUE!</v>
      </c>
      <c r="R65" t="e">
        <f>AND(medidas!S124,"AAAAAH1/dhE=")</f>
        <v>#VALUE!</v>
      </c>
      <c r="S65" t="e">
        <f>AND(medidas!T124,"AAAAAH1/dhI=")</f>
        <v>#VALUE!</v>
      </c>
      <c r="T65" t="e">
        <f>AND(medidas!U124,"AAAAAH1/dhM=")</f>
        <v>#VALUE!</v>
      </c>
      <c r="U65" t="e">
        <f>AND(medidas!V124,"AAAAAH1/dhQ=")</f>
        <v>#VALUE!</v>
      </c>
      <c r="V65" t="e">
        <f>AND(medidas!W124,"AAAAAH1/dhU=")</f>
        <v>#VALUE!</v>
      </c>
      <c r="W65" t="e">
        <f>AND(medidas!X124,"AAAAAH1/dhY=")</f>
        <v>#VALUE!</v>
      </c>
      <c r="X65" t="e">
        <f>AND(medidas!Y124,"AAAAAH1/dhc=")</f>
        <v>#VALUE!</v>
      </c>
      <c r="Y65" t="e">
        <f>AND(medidas!Z124,"AAAAAH1/dhg=")</f>
        <v>#VALUE!</v>
      </c>
      <c r="Z65" t="e">
        <f>AND(medidas!AA124,"AAAAAH1/dhk=")</f>
        <v>#VALUE!</v>
      </c>
      <c r="AA65" t="e">
        <f>AND(medidas!AB124,"AAAAAH1/dho=")</f>
        <v>#VALUE!</v>
      </c>
      <c r="AB65" t="e">
        <f>AND(medidas!AC124,"AAAAAH1/dhs=")</f>
        <v>#VALUE!</v>
      </c>
      <c r="AC65" t="e">
        <f>AND(medidas!AD124,"AAAAAH1/dhw=")</f>
        <v>#VALUE!</v>
      </c>
      <c r="AD65" t="e">
        <f>AND(medidas!AE124,"AAAAAH1/dh0=")</f>
        <v>#VALUE!</v>
      </c>
      <c r="AE65" t="e">
        <f>AND(medidas!AF124,"AAAAAH1/dh4=")</f>
        <v>#VALUE!</v>
      </c>
      <c r="AF65" t="e">
        <f>AND(medidas!AG124,"AAAAAH1/dh8=")</f>
        <v>#VALUE!</v>
      </c>
      <c r="AG65" t="e">
        <f>AND(medidas!AH124,"AAAAAH1/diA=")</f>
        <v>#VALUE!</v>
      </c>
      <c r="AH65" t="e">
        <f>AND(medidas!AI124,"AAAAAH1/diE=")</f>
        <v>#VALUE!</v>
      </c>
      <c r="AI65" t="e">
        <f>AND(medidas!AJ124,"AAAAAH1/diI=")</f>
        <v>#VALUE!</v>
      </c>
      <c r="AJ65" t="e">
        <f>AND(medidas!AK124,"AAAAAH1/diM=")</f>
        <v>#VALUE!</v>
      </c>
      <c r="AK65" t="e">
        <f>AND(medidas!AL124,"AAAAAH1/diQ=")</f>
        <v>#VALUE!</v>
      </c>
      <c r="AL65" t="e">
        <f>AND(medidas!AM124,"AAAAAH1/diU=")</f>
        <v>#VALUE!</v>
      </c>
      <c r="AM65" t="e">
        <f>AND(medidas!AN124,"AAAAAH1/diY=")</f>
        <v>#VALUE!</v>
      </c>
      <c r="AN65" t="e">
        <f>AND(medidas!AO124,"AAAAAH1/dic=")</f>
        <v>#VALUE!</v>
      </c>
      <c r="AO65" t="e">
        <f>AND(medidas!AP124,"AAAAAH1/dig=")</f>
        <v>#VALUE!</v>
      </c>
      <c r="AP65" t="e">
        <f>AND(medidas!AQ124,"AAAAAH1/dik=")</f>
        <v>#VALUE!</v>
      </c>
      <c r="AQ65" t="e">
        <f>AND(medidas!AR124,"AAAAAH1/dio=")</f>
        <v>#VALUE!</v>
      </c>
      <c r="AR65" t="e">
        <f>AND(medidas!AS124,"AAAAAH1/dis=")</f>
        <v>#VALUE!</v>
      </c>
      <c r="AS65" t="e">
        <f>AND(medidas!AT124,"AAAAAH1/diw=")</f>
        <v>#VALUE!</v>
      </c>
      <c r="AT65" t="e">
        <f>AND(medidas!AU124,"AAAAAH1/di0=")</f>
        <v>#VALUE!</v>
      </c>
      <c r="AU65" t="e">
        <f>AND(medidas!AV124,"AAAAAH1/di4=")</f>
        <v>#VALUE!</v>
      </c>
      <c r="AV65" t="e">
        <f>AND(medidas!AW124,"AAAAAH1/di8=")</f>
        <v>#VALUE!</v>
      </c>
      <c r="AW65" t="e">
        <f>AND(medidas!AX124,"AAAAAH1/djA=")</f>
        <v>#VALUE!</v>
      </c>
      <c r="AX65" t="e">
        <f>AND(medidas!AY124,"AAAAAH1/djE=")</f>
        <v>#VALUE!</v>
      </c>
      <c r="AY65" t="e">
        <f>AND(medidas!AZ124,"AAAAAH1/djI=")</f>
        <v>#VALUE!</v>
      </c>
      <c r="AZ65" t="e">
        <f>AND(medidas!BA124,"AAAAAH1/djM=")</f>
        <v>#VALUE!</v>
      </c>
      <c r="BA65" t="e">
        <f>AND(medidas!BB124,"AAAAAH1/djQ=")</f>
        <v>#VALUE!</v>
      </c>
      <c r="BB65" t="e">
        <f>AND(medidas!BC124,"AAAAAH1/djU=")</f>
        <v>#VALUE!</v>
      </c>
      <c r="BC65" t="e">
        <f>AND(medidas!BD124,"AAAAAH1/djY=")</f>
        <v>#VALUE!</v>
      </c>
      <c r="BD65" t="e">
        <f>AND(medidas!BE124,"AAAAAH1/djc=")</f>
        <v>#VALUE!</v>
      </c>
      <c r="BE65" t="e">
        <f>AND(medidas!BF124,"AAAAAH1/djg=")</f>
        <v>#VALUE!</v>
      </c>
      <c r="BF65" t="e">
        <f>AND(medidas!BG124,"AAAAAH1/djk=")</f>
        <v>#VALUE!</v>
      </c>
      <c r="BG65" t="e">
        <f>AND(medidas!BH124,"AAAAAH1/djo=")</f>
        <v>#VALUE!</v>
      </c>
      <c r="BH65" t="e">
        <f>AND(medidas!BI124,"AAAAAH1/djs=")</f>
        <v>#VALUE!</v>
      </c>
      <c r="BI65" t="e">
        <f>AND(medidas!BJ124,"AAAAAH1/djw=")</f>
        <v>#VALUE!</v>
      </c>
      <c r="BJ65" t="e">
        <f>AND(medidas!BK124,"AAAAAH1/dj0=")</f>
        <v>#VALUE!</v>
      </c>
      <c r="BK65" t="e">
        <f>AND(medidas!BL124,"AAAAAH1/dj4=")</f>
        <v>#VALUE!</v>
      </c>
      <c r="BL65" t="e">
        <f>AND(medidas!BM124,"AAAAAH1/dj8=")</f>
        <v>#VALUE!</v>
      </c>
      <c r="BM65" t="e">
        <f>AND(medidas!BN124,"AAAAAH1/dkA=")</f>
        <v>#VALUE!</v>
      </c>
      <c r="BN65" t="e">
        <f>AND(medidas!BO124,"AAAAAH1/dkE=")</f>
        <v>#VALUE!</v>
      </c>
      <c r="BO65" t="e">
        <f>AND(medidas!BP124,"AAAAAH1/dkI=")</f>
        <v>#VALUE!</v>
      </c>
      <c r="BP65" t="e">
        <f>AND(medidas!BQ124,"AAAAAH1/dkM=")</f>
        <v>#VALUE!</v>
      </c>
      <c r="BQ65" t="e">
        <f>AND(medidas!BR124,"AAAAAH1/dkQ=")</f>
        <v>#VALUE!</v>
      </c>
      <c r="BR65" t="e">
        <f>AND(medidas!BS124,"AAAAAH1/dkU=")</f>
        <v>#VALUE!</v>
      </c>
      <c r="BS65" t="e">
        <f>AND(medidas!BT124,"AAAAAH1/dkY=")</f>
        <v>#VALUE!</v>
      </c>
      <c r="BT65" t="e">
        <f>AND(medidas!BU124,"AAAAAH1/dkc=")</f>
        <v>#VALUE!</v>
      </c>
      <c r="BU65" t="e">
        <f>AND(medidas!BV124,"AAAAAH1/dkg=")</f>
        <v>#VALUE!</v>
      </c>
      <c r="BV65" t="e">
        <f>AND(medidas!BW124,"AAAAAH1/dkk=")</f>
        <v>#VALUE!</v>
      </c>
      <c r="BW65" t="e">
        <f>AND(medidas!BX124,"AAAAAH1/dko=")</f>
        <v>#VALUE!</v>
      </c>
      <c r="BX65" t="e">
        <f>AND(medidas!BY124,"AAAAAH1/dks=")</f>
        <v>#VALUE!</v>
      </c>
      <c r="BY65">
        <f>IF(medidas!125:125,"AAAAAH1/dkw=",0)</f>
        <v>0</v>
      </c>
      <c r="BZ65" t="e">
        <f>AND(medidas!B125,"AAAAAH1/dk0=")</f>
        <v>#VALUE!</v>
      </c>
      <c r="CA65" t="e">
        <f>AND(medidas!C125,"AAAAAH1/dk4=")</f>
        <v>#VALUE!</v>
      </c>
      <c r="CB65" t="e">
        <f>AND(medidas!D125,"AAAAAH1/dk8=")</f>
        <v>#VALUE!</v>
      </c>
      <c r="CC65" t="e">
        <f>AND(medidas!E125,"AAAAAH1/dlA=")</f>
        <v>#VALUE!</v>
      </c>
      <c r="CD65" t="e">
        <f>AND(medidas!F125,"AAAAAH1/dlE=")</f>
        <v>#VALUE!</v>
      </c>
      <c r="CE65" t="e">
        <f>AND(medidas!G125,"AAAAAH1/dlI=")</f>
        <v>#VALUE!</v>
      </c>
      <c r="CF65" t="e">
        <f>AND(medidas!H125,"AAAAAH1/dlM=")</f>
        <v>#VALUE!</v>
      </c>
      <c r="CG65" t="e">
        <f>AND(medidas!I125,"AAAAAH1/dlQ=")</f>
        <v>#VALUE!</v>
      </c>
      <c r="CH65" t="e">
        <f>AND(medidas!J125,"AAAAAH1/dlU=")</f>
        <v>#VALUE!</v>
      </c>
      <c r="CI65" t="e">
        <f>AND(medidas!K125,"AAAAAH1/dlY=")</f>
        <v>#VALUE!</v>
      </c>
      <c r="CJ65" t="e">
        <f>AND(medidas!L125,"AAAAAH1/dlc=")</f>
        <v>#VALUE!</v>
      </c>
      <c r="CK65" t="e">
        <f>AND(medidas!M125,"AAAAAH1/dlg=")</f>
        <v>#VALUE!</v>
      </c>
      <c r="CL65" t="e">
        <f>AND(medidas!N125,"AAAAAH1/dlk=")</f>
        <v>#VALUE!</v>
      </c>
      <c r="CM65" t="e">
        <f>AND(medidas!O125,"AAAAAH1/dlo=")</f>
        <v>#VALUE!</v>
      </c>
      <c r="CN65" t="e">
        <f>AND(medidas!P125,"AAAAAH1/dls=")</f>
        <v>#VALUE!</v>
      </c>
      <c r="CO65" t="e">
        <f>AND(medidas!Q125,"AAAAAH1/dlw=")</f>
        <v>#VALUE!</v>
      </c>
      <c r="CP65" t="e">
        <f>AND(medidas!R125,"AAAAAH1/dl0=")</f>
        <v>#VALUE!</v>
      </c>
      <c r="CQ65" t="e">
        <f>AND(medidas!S125,"AAAAAH1/dl4=")</f>
        <v>#VALUE!</v>
      </c>
      <c r="CR65" t="e">
        <f>AND(medidas!T125,"AAAAAH1/dl8=")</f>
        <v>#VALUE!</v>
      </c>
      <c r="CS65" t="e">
        <f>AND(medidas!U125,"AAAAAH1/dmA=")</f>
        <v>#VALUE!</v>
      </c>
      <c r="CT65" t="e">
        <f>AND(medidas!V125,"AAAAAH1/dmE=")</f>
        <v>#VALUE!</v>
      </c>
      <c r="CU65" t="e">
        <f>AND(medidas!W125,"AAAAAH1/dmI=")</f>
        <v>#VALUE!</v>
      </c>
      <c r="CV65" t="e">
        <f>AND(medidas!X125,"AAAAAH1/dmM=")</f>
        <v>#VALUE!</v>
      </c>
      <c r="CW65" t="e">
        <f>AND(medidas!Y125,"AAAAAH1/dmQ=")</f>
        <v>#VALUE!</v>
      </c>
      <c r="CX65" t="e">
        <f>AND(medidas!Z125,"AAAAAH1/dmU=")</f>
        <v>#VALUE!</v>
      </c>
      <c r="CY65" t="e">
        <f>AND(medidas!AA125,"AAAAAH1/dmY=")</f>
        <v>#VALUE!</v>
      </c>
      <c r="CZ65" t="e">
        <f>AND(medidas!AB125,"AAAAAH1/dmc=")</f>
        <v>#VALUE!</v>
      </c>
      <c r="DA65" t="e">
        <f>AND(medidas!AC125,"AAAAAH1/dmg=")</f>
        <v>#VALUE!</v>
      </c>
      <c r="DB65" t="e">
        <f>AND(medidas!AD125,"AAAAAH1/dmk=")</f>
        <v>#VALUE!</v>
      </c>
      <c r="DC65" t="e">
        <f>AND(medidas!AE125,"AAAAAH1/dmo=")</f>
        <v>#VALUE!</v>
      </c>
      <c r="DD65" t="e">
        <f>AND(medidas!AF125,"AAAAAH1/dms=")</f>
        <v>#VALUE!</v>
      </c>
      <c r="DE65" t="e">
        <f>AND(medidas!AG125,"AAAAAH1/dmw=")</f>
        <v>#VALUE!</v>
      </c>
      <c r="DF65" t="e">
        <f>AND(medidas!AH125,"AAAAAH1/dm0=")</f>
        <v>#VALUE!</v>
      </c>
      <c r="DG65" t="e">
        <f>AND(medidas!AI125,"AAAAAH1/dm4=")</f>
        <v>#VALUE!</v>
      </c>
      <c r="DH65" t="e">
        <f>AND(medidas!AJ125,"AAAAAH1/dm8=")</f>
        <v>#VALUE!</v>
      </c>
      <c r="DI65" t="e">
        <f>AND(medidas!AK125,"AAAAAH1/dnA=")</f>
        <v>#VALUE!</v>
      </c>
      <c r="DJ65" t="e">
        <f>AND(medidas!AL125,"AAAAAH1/dnE=")</f>
        <v>#VALUE!</v>
      </c>
      <c r="DK65" t="e">
        <f>AND(medidas!AM125,"AAAAAH1/dnI=")</f>
        <v>#VALUE!</v>
      </c>
      <c r="DL65" t="e">
        <f>AND(medidas!AN125,"AAAAAH1/dnM=")</f>
        <v>#VALUE!</v>
      </c>
      <c r="DM65" t="e">
        <f>AND(medidas!AO125,"AAAAAH1/dnQ=")</f>
        <v>#VALUE!</v>
      </c>
      <c r="DN65" t="e">
        <f>AND(medidas!AP125,"AAAAAH1/dnU=")</f>
        <v>#VALUE!</v>
      </c>
      <c r="DO65" t="e">
        <f>AND(medidas!AQ125,"AAAAAH1/dnY=")</f>
        <v>#VALUE!</v>
      </c>
      <c r="DP65" t="e">
        <f>AND(medidas!AR125,"AAAAAH1/dnc=")</f>
        <v>#VALUE!</v>
      </c>
      <c r="DQ65" t="e">
        <f>AND(medidas!AS125,"AAAAAH1/dng=")</f>
        <v>#VALUE!</v>
      </c>
      <c r="DR65" t="e">
        <f>AND(medidas!AT125,"AAAAAH1/dnk=")</f>
        <v>#VALUE!</v>
      </c>
      <c r="DS65" t="e">
        <f>AND(medidas!AU125,"AAAAAH1/dno=")</f>
        <v>#VALUE!</v>
      </c>
      <c r="DT65" t="e">
        <f>AND(medidas!AV125,"AAAAAH1/dns=")</f>
        <v>#VALUE!</v>
      </c>
      <c r="DU65" t="e">
        <f>AND(medidas!AW125,"AAAAAH1/dnw=")</f>
        <v>#VALUE!</v>
      </c>
      <c r="DV65" t="e">
        <f>AND(medidas!AX125,"AAAAAH1/dn0=")</f>
        <v>#VALUE!</v>
      </c>
      <c r="DW65" t="e">
        <f>AND(medidas!AY125,"AAAAAH1/dn4=")</f>
        <v>#VALUE!</v>
      </c>
      <c r="DX65" t="e">
        <f>AND(medidas!AZ125,"AAAAAH1/dn8=")</f>
        <v>#VALUE!</v>
      </c>
      <c r="DY65" t="e">
        <f>AND(medidas!BA125,"AAAAAH1/doA=")</f>
        <v>#VALUE!</v>
      </c>
      <c r="DZ65" t="e">
        <f>AND(medidas!BB125,"AAAAAH1/doE=")</f>
        <v>#VALUE!</v>
      </c>
      <c r="EA65" t="e">
        <f>AND(medidas!BC125,"AAAAAH1/doI=")</f>
        <v>#VALUE!</v>
      </c>
      <c r="EB65" t="e">
        <f>AND(medidas!BD125,"AAAAAH1/doM=")</f>
        <v>#VALUE!</v>
      </c>
      <c r="EC65" t="e">
        <f>AND(medidas!BE125,"AAAAAH1/doQ=")</f>
        <v>#VALUE!</v>
      </c>
      <c r="ED65" t="e">
        <f>AND(medidas!BF125,"AAAAAH1/doU=")</f>
        <v>#VALUE!</v>
      </c>
      <c r="EE65" t="e">
        <f>AND(medidas!BG125,"AAAAAH1/doY=")</f>
        <v>#VALUE!</v>
      </c>
      <c r="EF65" t="e">
        <f>AND(medidas!BH125,"AAAAAH1/doc=")</f>
        <v>#VALUE!</v>
      </c>
      <c r="EG65" t="e">
        <f>AND(medidas!BI125,"AAAAAH1/dog=")</f>
        <v>#VALUE!</v>
      </c>
      <c r="EH65" t="e">
        <f>AND(medidas!BJ125,"AAAAAH1/dok=")</f>
        <v>#VALUE!</v>
      </c>
      <c r="EI65" t="e">
        <f>AND(medidas!BK125,"AAAAAH1/doo=")</f>
        <v>#VALUE!</v>
      </c>
      <c r="EJ65" t="e">
        <f>AND(medidas!BL125,"AAAAAH1/dos=")</f>
        <v>#VALUE!</v>
      </c>
      <c r="EK65" t="e">
        <f>AND(medidas!BM125,"AAAAAH1/dow=")</f>
        <v>#VALUE!</v>
      </c>
      <c r="EL65" t="e">
        <f>AND(medidas!BN125,"AAAAAH1/do0=")</f>
        <v>#VALUE!</v>
      </c>
      <c r="EM65" t="e">
        <f>AND(medidas!BO125,"AAAAAH1/do4=")</f>
        <v>#VALUE!</v>
      </c>
      <c r="EN65" t="e">
        <f>AND(medidas!BP125,"AAAAAH1/do8=")</f>
        <v>#VALUE!</v>
      </c>
      <c r="EO65" t="e">
        <f>AND(medidas!BQ125,"AAAAAH1/dpA=")</f>
        <v>#VALUE!</v>
      </c>
      <c r="EP65" t="e">
        <f>AND(medidas!BR125,"AAAAAH1/dpE=")</f>
        <v>#VALUE!</v>
      </c>
      <c r="EQ65" t="e">
        <f>AND(medidas!BS125,"AAAAAH1/dpI=")</f>
        <v>#VALUE!</v>
      </c>
      <c r="ER65" t="e">
        <f>AND(medidas!BT125,"AAAAAH1/dpM=")</f>
        <v>#VALUE!</v>
      </c>
      <c r="ES65" t="e">
        <f>AND(medidas!BU125,"AAAAAH1/dpQ=")</f>
        <v>#VALUE!</v>
      </c>
      <c r="ET65" t="e">
        <f>AND(medidas!BV125,"AAAAAH1/dpU=")</f>
        <v>#VALUE!</v>
      </c>
      <c r="EU65" t="e">
        <f>AND(medidas!BW125,"AAAAAH1/dpY=")</f>
        <v>#VALUE!</v>
      </c>
      <c r="EV65" t="e">
        <f>AND(medidas!BX125,"AAAAAH1/dpc=")</f>
        <v>#VALUE!</v>
      </c>
      <c r="EW65" t="e">
        <f>AND(medidas!BY125,"AAAAAH1/dpg=")</f>
        <v>#VALUE!</v>
      </c>
      <c r="EX65">
        <f>IF(medidas!126:126,"AAAAAH1/dpk=",0)</f>
        <v>0</v>
      </c>
      <c r="EY65" t="e">
        <f>AND(medidas!B126,"AAAAAH1/dpo=")</f>
        <v>#VALUE!</v>
      </c>
      <c r="EZ65" t="e">
        <f>AND(medidas!C126,"AAAAAH1/dps=")</f>
        <v>#VALUE!</v>
      </c>
      <c r="FA65" t="e">
        <f>AND(medidas!D126,"AAAAAH1/dpw=")</f>
        <v>#VALUE!</v>
      </c>
      <c r="FB65" t="e">
        <f>AND(medidas!E126,"AAAAAH1/dp0=")</f>
        <v>#VALUE!</v>
      </c>
      <c r="FC65" t="e">
        <f>AND(medidas!F126,"AAAAAH1/dp4=")</f>
        <v>#VALUE!</v>
      </c>
      <c r="FD65" t="e">
        <f>AND(medidas!G126,"AAAAAH1/dp8=")</f>
        <v>#VALUE!</v>
      </c>
      <c r="FE65" t="e">
        <f>AND(medidas!H126,"AAAAAH1/dqA=")</f>
        <v>#VALUE!</v>
      </c>
      <c r="FF65" t="e">
        <f>AND(medidas!I126,"AAAAAH1/dqE=")</f>
        <v>#VALUE!</v>
      </c>
      <c r="FG65" t="e">
        <f>AND(medidas!J126,"AAAAAH1/dqI=")</f>
        <v>#VALUE!</v>
      </c>
      <c r="FH65" t="e">
        <f>AND(medidas!K126,"AAAAAH1/dqM=")</f>
        <v>#VALUE!</v>
      </c>
      <c r="FI65" t="e">
        <f>AND(medidas!L126,"AAAAAH1/dqQ=")</f>
        <v>#VALUE!</v>
      </c>
      <c r="FJ65" t="e">
        <f>AND(medidas!M126,"AAAAAH1/dqU=")</f>
        <v>#VALUE!</v>
      </c>
      <c r="FK65" t="e">
        <f>AND(medidas!N126,"AAAAAH1/dqY=")</f>
        <v>#VALUE!</v>
      </c>
      <c r="FL65" t="e">
        <f>AND(medidas!O126,"AAAAAH1/dqc=")</f>
        <v>#VALUE!</v>
      </c>
      <c r="FM65" t="e">
        <f>AND(medidas!P126,"AAAAAH1/dqg=")</f>
        <v>#VALUE!</v>
      </c>
      <c r="FN65" t="e">
        <f>AND(medidas!Q126,"AAAAAH1/dqk=")</f>
        <v>#VALUE!</v>
      </c>
      <c r="FO65" t="e">
        <f>AND(medidas!R126,"AAAAAH1/dqo=")</f>
        <v>#VALUE!</v>
      </c>
      <c r="FP65" t="e">
        <f>AND(medidas!S126,"AAAAAH1/dqs=")</f>
        <v>#VALUE!</v>
      </c>
      <c r="FQ65" t="e">
        <f>AND(medidas!T126,"AAAAAH1/dqw=")</f>
        <v>#VALUE!</v>
      </c>
      <c r="FR65" t="e">
        <f>AND(medidas!U126,"AAAAAH1/dq0=")</f>
        <v>#VALUE!</v>
      </c>
      <c r="FS65" t="e">
        <f>AND(medidas!V126,"AAAAAH1/dq4=")</f>
        <v>#VALUE!</v>
      </c>
      <c r="FT65" t="e">
        <f>AND(medidas!W126,"AAAAAH1/dq8=")</f>
        <v>#VALUE!</v>
      </c>
      <c r="FU65" t="e">
        <f>AND(medidas!X126,"AAAAAH1/drA=")</f>
        <v>#VALUE!</v>
      </c>
      <c r="FV65" t="e">
        <f>AND(medidas!Y126,"AAAAAH1/drE=")</f>
        <v>#VALUE!</v>
      </c>
      <c r="FW65" t="e">
        <f>AND(medidas!Z126,"AAAAAH1/drI=")</f>
        <v>#VALUE!</v>
      </c>
      <c r="FX65" t="e">
        <f>AND(medidas!AA126,"AAAAAH1/drM=")</f>
        <v>#VALUE!</v>
      </c>
      <c r="FY65" t="e">
        <f>AND(medidas!AB126,"AAAAAH1/drQ=")</f>
        <v>#VALUE!</v>
      </c>
      <c r="FZ65" t="e">
        <f>AND(medidas!AC126,"AAAAAH1/drU=")</f>
        <v>#VALUE!</v>
      </c>
      <c r="GA65" t="e">
        <f>AND(medidas!AD126,"AAAAAH1/drY=")</f>
        <v>#VALUE!</v>
      </c>
      <c r="GB65" t="e">
        <f>AND(medidas!AE126,"AAAAAH1/drc=")</f>
        <v>#VALUE!</v>
      </c>
      <c r="GC65" t="e">
        <f>AND(medidas!AF126,"AAAAAH1/drg=")</f>
        <v>#VALUE!</v>
      </c>
      <c r="GD65" t="e">
        <f>AND(medidas!AG126,"AAAAAH1/drk=")</f>
        <v>#VALUE!</v>
      </c>
      <c r="GE65" t="e">
        <f>AND(medidas!AH126,"AAAAAH1/dro=")</f>
        <v>#VALUE!</v>
      </c>
      <c r="GF65" t="e">
        <f>AND(medidas!AI126,"AAAAAH1/drs=")</f>
        <v>#VALUE!</v>
      </c>
      <c r="GG65" t="e">
        <f>AND(medidas!AJ126,"AAAAAH1/drw=")</f>
        <v>#VALUE!</v>
      </c>
      <c r="GH65" t="e">
        <f>AND(medidas!AK126,"AAAAAH1/dr0=")</f>
        <v>#VALUE!</v>
      </c>
      <c r="GI65" t="e">
        <f>AND(medidas!AL126,"AAAAAH1/dr4=")</f>
        <v>#VALUE!</v>
      </c>
      <c r="GJ65" t="e">
        <f>AND(medidas!AM126,"AAAAAH1/dr8=")</f>
        <v>#VALUE!</v>
      </c>
      <c r="GK65" t="e">
        <f>AND(medidas!AN126,"AAAAAH1/dsA=")</f>
        <v>#VALUE!</v>
      </c>
      <c r="GL65" t="e">
        <f>AND(medidas!AO126,"AAAAAH1/dsE=")</f>
        <v>#VALUE!</v>
      </c>
      <c r="GM65" t="e">
        <f>AND(medidas!AP126,"AAAAAH1/dsI=")</f>
        <v>#VALUE!</v>
      </c>
      <c r="GN65" t="e">
        <f>AND(medidas!AQ126,"AAAAAH1/dsM=")</f>
        <v>#VALUE!</v>
      </c>
      <c r="GO65" t="e">
        <f>AND(medidas!AR126,"AAAAAH1/dsQ=")</f>
        <v>#VALUE!</v>
      </c>
      <c r="GP65" t="e">
        <f>AND(medidas!AS126,"AAAAAH1/dsU=")</f>
        <v>#VALUE!</v>
      </c>
      <c r="GQ65" t="e">
        <f>AND(medidas!AT126,"AAAAAH1/dsY=")</f>
        <v>#VALUE!</v>
      </c>
      <c r="GR65" t="e">
        <f>AND(medidas!AU126,"AAAAAH1/dsc=")</f>
        <v>#VALUE!</v>
      </c>
      <c r="GS65" t="e">
        <f>AND(medidas!AV126,"AAAAAH1/dsg=")</f>
        <v>#VALUE!</v>
      </c>
      <c r="GT65" t="e">
        <f>AND(medidas!AW126,"AAAAAH1/dsk=")</f>
        <v>#VALUE!</v>
      </c>
      <c r="GU65" t="e">
        <f>AND(medidas!AX126,"AAAAAH1/dso=")</f>
        <v>#VALUE!</v>
      </c>
      <c r="GV65" t="e">
        <f>AND(medidas!AY126,"AAAAAH1/dss=")</f>
        <v>#VALUE!</v>
      </c>
      <c r="GW65" t="e">
        <f>AND(medidas!AZ126,"AAAAAH1/dsw=")</f>
        <v>#VALUE!</v>
      </c>
      <c r="GX65" t="e">
        <f>AND(medidas!BA126,"AAAAAH1/ds0=")</f>
        <v>#VALUE!</v>
      </c>
      <c r="GY65" t="e">
        <f>AND(medidas!BB126,"AAAAAH1/ds4=")</f>
        <v>#VALUE!</v>
      </c>
      <c r="GZ65" t="e">
        <f>AND(medidas!BC126,"AAAAAH1/ds8=")</f>
        <v>#VALUE!</v>
      </c>
      <c r="HA65" t="e">
        <f>AND(medidas!BD126,"AAAAAH1/dtA=")</f>
        <v>#VALUE!</v>
      </c>
      <c r="HB65" t="e">
        <f>AND(medidas!BE126,"AAAAAH1/dtE=")</f>
        <v>#VALUE!</v>
      </c>
      <c r="HC65" t="e">
        <f>AND(medidas!BF126,"AAAAAH1/dtI=")</f>
        <v>#VALUE!</v>
      </c>
      <c r="HD65" t="e">
        <f>AND(medidas!BG126,"AAAAAH1/dtM=")</f>
        <v>#VALUE!</v>
      </c>
      <c r="HE65" t="e">
        <f>AND(medidas!BH126,"AAAAAH1/dtQ=")</f>
        <v>#VALUE!</v>
      </c>
      <c r="HF65" t="e">
        <f>AND(medidas!BI126,"AAAAAH1/dtU=")</f>
        <v>#VALUE!</v>
      </c>
      <c r="HG65" t="e">
        <f>AND(medidas!BJ126,"AAAAAH1/dtY=")</f>
        <v>#VALUE!</v>
      </c>
      <c r="HH65" t="e">
        <f>AND(medidas!BK126,"AAAAAH1/dtc=")</f>
        <v>#VALUE!</v>
      </c>
      <c r="HI65" t="e">
        <f>AND(medidas!BL126,"AAAAAH1/dtg=")</f>
        <v>#VALUE!</v>
      </c>
      <c r="HJ65" t="e">
        <f>AND(medidas!BM126,"AAAAAH1/dtk=")</f>
        <v>#VALUE!</v>
      </c>
      <c r="HK65" t="e">
        <f>AND(medidas!BN126,"AAAAAH1/dto=")</f>
        <v>#VALUE!</v>
      </c>
      <c r="HL65" t="e">
        <f>AND(medidas!BO126,"AAAAAH1/dts=")</f>
        <v>#VALUE!</v>
      </c>
      <c r="HM65" t="e">
        <f>AND(medidas!BP126,"AAAAAH1/dtw=")</f>
        <v>#VALUE!</v>
      </c>
      <c r="HN65" t="e">
        <f>AND(medidas!BQ126,"AAAAAH1/dt0=")</f>
        <v>#VALUE!</v>
      </c>
      <c r="HO65" t="e">
        <f>AND(medidas!BR126,"AAAAAH1/dt4=")</f>
        <v>#VALUE!</v>
      </c>
      <c r="HP65" t="e">
        <f>AND(medidas!BS126,"AAAAAH1/dt8=")</f>
        <v>#VALUE!</v>
      </c>
      <c r="HQ65" t="e">
        <f>AND(medidas!BT126,"AAAAAH1/duA=")</f>
        <v>#VALUE!</v>
      </c>
      <c r="HR65" t="e">
        <f>AND(medidas!BU126,"AAAAAH1/duE=")</f>
        <v>#VALUE!</v>
      </c>
      <c r="HS65" t="e">
        <f>AND(medidas!BV126,"AAAAAH1/duI=")</f>
        <v>#VALUE!</v>
      </c>
      <c r="HT65" t="e">
        <f>AND(medidas!BW126,"AAAAAH1/duM=")</f>
        <v>#VALUE!</v>
      </c>
      <c r="HU65" t="e">
        <f>AND(medidas!BX126,"AAAAAH1/duQ=")</f>
        <v>#VALUE!</v>
      </c>
      <c r="HV65" t="e">
        <f>AND(medidas!BY126,"AAAAAH1/duU=")</f>
        <v>#VALUE!</v>
      </c>
      <c r="HW65">
        <f>IF(medidas!127:127,"AAAAAH1/duY=",0)</f>
        <v>0</v>
      </c>
      <c r="HX65" t="e">
        <f>AND(medidas!B127,"AAAAAH1/duc=")</f>
        <v>#VALUE!</v>
      </c>
      <c r="HY65" t="e">
        <f>AND(medidas!C127,"AAAAAH1/dug=")</f>
        <v>#VALUE!</v>
      </c>
      <c r="HZ65" t="e">
        <f>AND(medidas!D127,"AAAAAH1/duk=")</f>
        <v>#VALUE!</v>
      </c>
      <c r="IA65" t="e">
        <f>AND(medidas!E127,"AAAAAH1/duo=")</f>
        <v>#VALUE!</v>
      </c>
      <c r="IB65" t="e">
        <f>AND(medidas!F127,"AAAAAH1/dus=")</f>
        <v>#VALUE!</v>
      </c>
      <c r="IC65" t="e">
        <f>AND(medidas!G127,"AAAAAH1/duw=")</f>
        <v>#VALUE!</v>
      </c>
      <c r="ID65" t="e">
        <f>AND(medidas!H127,"AAAAAH1/du0=")</f>
        <v>#VALUE!</v>
      </c>
      <c r="IE65" t="e">
        <f>AND(medidas!I127,"AAAAAH1/du4=")</f>
        <v>#VALUE!</v>
      </c>
      <c r="IF65" t="e">
        <f>AND(medidas!J127,"AAAAAH1/du8=")</f>
        <v>#VALUE!</v>
      </c>
      <c r="IG65" t="e">
        <f>AND(medidas!K127,"AAAAAH1/dvA=")</f>
        <v>#VALUE!</v>
      </c>
      <c r="IH65" t="e">
        <f>AND(medidas!L127,"AAAAAH1/dvE=")</f>
        <v>#VALUE!</v>
      </c>
      <c r="II65" t="e">
        <f>AND(medidas!M127,"AAAAAH1/dvI=")</f>
        <v>#VALUE!</v>
      </c>
      <c r="IJ65" t="e">
        <f>AND(medidas!N127,"AAAAAH1/dvM=")</f>
        <v>#VALUE!</v>
      </c>
      <c r="IK65" t="e">
        <f>AND(medidas!O127,"AAAAAH1/dvQ=")</f>
        <v>#VALUE!</v>
      </c>
      <c r="IL65" t="e">
        <f>AND(medidas!P127,"AAAAAH1/dvU=")</f>
        <v>#VALUE!</v>
      </c>
      <c r="IM65" t="e">
        <f>AND(medidas!Q127,"AAAAAH1/dvY=")</f>
        <v>#VALUE!</v>
      </c>
      <c r="IN65" t="e">
        <f>AND(medidas!R127,"AAAAAH1/dvc=")</f>
        <v>#VALUE!</v>
      </c>
      <c r="IO65" t="e">
        <f>AND(medidas!S127,"AAAAAH1/dvg=")</f>
        <v>#VALUE!</v>
      </c>
      <c r="IP65" t="e">
        <f>AND(medidas!T127,"AAAAAH1/dvk=")</f>
        <v>#VALUE!</v>
      </c>
      <c r="IQ65" t="e">
        <f>AND(medidas!U127,"AAAAAH1/dvo=")</f>
        <v>#VALUE!</v>
      </c>
      <c r="IR65" t="e">
        <f>AND(medidas!V127,"AAAAAH1/dvs=")</f>
        <v>#VALUE!</v>
      </c>
      <c r="IS65" t="e">
        <f>AND(medidas!W127,"AAAAAH1/dvw=")</f>
        <v>#VALUE!</v>
      </c>
      <c r="IT65" t="e">
        <f>AND(medidas!X127,"AAAAAH1/dv0=")</f>
        <v>#VALUE!</v>
      </c>
      <c r="IU65" t="e">
        <f>AND(medidas!Y127,"AAAAAH1/dv4=")</f>
        <v>#VALUE!</v>
      </c>
      <c r="IV65" t="e">
        <f>AND(medidas!Z127,"AAAAAH1/dv8=")</f>
        <v>#VALUE!</v>
      </c>
    </row>
    <row r="66" spans="1:256" x14ac:dyDescent="0.2">
      <c r="A66" t="e">
        <f>AND(medidas!AA127,"AAAAAG2X/wA=")</f>
        <v>#VALUE!</v>
      </c>
      <c r="B66" t="e">
        <f>AND(medidas!AB127,"AAAAAG2X/wE=")</f>
        <v>#VALUE!</v>
      </c>
      <c r="C66" t="e">
        <f>AND(medidas!AC127,"AAAAAG2X/wI=")</f>
        <v>#VALUE!</v>
      </c>
      <c r="D66" t="e">
        <f>AND(medidas!AD127,"AAAAAG2X/wM=")</f>
        <v>#VALUE!</v>
      </c>
      <c r="E66" t="e">
        <f>AND(medidas!AE127,"AAAAAG2X/wQ=")</f>
        <v>#VALUE!</v>
      </c>
      <c r="F66" t="e">
        <f>AND(medidas!AF127,"AAAAAG2X/wU=")</f>
        <v>#VALUE!</v>
      </c>
      <c r="G66" t="e">
        <f>AND(medidas!AG127,"AAAAAG2X/wY=")</f>
        <v>#VALUE!</v>
      </c>
      <c r="H66" t="e">
        <f>AND(medidas!AH127,"AAAAAG2X/wc=")</f>
        <v>#VALUE!</v>
      </c>
      <c r="I66" t="e">
        <f>AND(medidas!AI127,"AAAAAG2X/wg=")</f>
        <v>#VALUE!</v>
      </c>
      <c r="J66" t="e">
        <f>AND(medidas!AJ127,"AAAAAG2X/wk=")</f>
        <v>#VALUE!</v>
      </c>
      <c r="K66" t="e">
        <f>AND(medidas!AK127,"AAAAAG2X/wo=")</f>
        <v>#VALUE!</v>
      </c>
      <c r="L66" t="e">
        <f>AND(medidas!AL127,"AAAAAG2X/ws=")</f>
        <v>#VALUE!</v>
      </c>
      <c r="M66" t="e">
        <f>AND(medidas!AM127,"AAAAAG2X/ww=")</f>
        <v>#VALUE!</v>
      </c>
      <c r="N66" t="e">
        <f>AND(medidas!AN127,"AAAAAG2X/w0=")</f>
        <v>#VALUE!</v>
      </c>
      <c r="O66" t="e">
        <f>AND(medidas!AO127,"AAAAAG2X/w4=")</f>
        <v>#VALUE!</v>
      </c>
      <c r="P66" t="e">
        <f>AND(medidas!AP127,"AAAAAG2X/w8=")</f>
        <v>#VALUE!</v>
      </c>
      <c r="Q66" t="e">
        <f>AND(medidas!AQ127,"AAAAAG2X/xA=")</f>
        <v>#VALUE!</v>
      </c>
      <c r="R66" t="e">
        <f>AND(medidas!AR127,"AAAAAG2X/xE=")</f>
        <v>#VALUE!</v>
      </c>
      <c r="S66" t="e">
        <f>AND(medidas!AS127,"AAAAAG2X/xI=")</f>
        <v>#VALUE!</v>
      </c>
      <c r="T66" t="e">
        <f>AND(medidas!AT127,"AAAAAG2X/xM=")</f>
        <v>#VALUE!</v>
      </c>
      <c r="U66" t="e">
        <f>AND(medidas!AU127,"AAAAAG2X/xQ=")</f>
        <v>#VALUE!</v>
      </c>
      <c r="V66" t="e">
        <f>AND(medidas!AV127,"AAAAAG2X/xU=")</f>
        <v>#VALUE!</v>
      </c>
      <c r="W66" t="e">
        <f>AND(medidas!AW127,"AAAAAG2X/xY=")</f>
        <v>#VALUE!</v>
      </c>
      <c r="X66" t="e">
        <f>AND(medidas!AX127,"AAAAAG2X/xc=")</f>
        <v>#VALUE!</v>
      </c>
      <c r="Y66" t="e">
        <f>AND(medidas!AY127,"AAAAAG2X/xg=")</f>
        <v>#VALUE!</v>
      </c>
      <c r="Z66" t="e">
        <f>AND(medidas!AZ127,"AAAAAG2X/xk=")</f>
        <v>#VALUE!</v>
      </c>
      <c r="AA66" t="e">
        <f>AND(medidas!BA127,"AAAAAG2X/xo=")</f>
        <v>#VALUE!</v>
      </c>
      <c r="AB66" t="e">
        <f>AND(medidas!BB127,"AAAAAG2X/xs=")</f>
        <v>#VALUE!</v>
      </c>
      <c r="AC66" t="e">
        <f>AND(medidas!BC127,"AAAAAG2X/xw=")</f>
        <v>#VALUE!</v>
      </c>
      <c r="AD66" t="e">
        <f>AND(medidas!BD127,"AAAAAG2X/x0=")</f>
        <v>#VALUE!</v>
      </c>
      <c r="AE66" t="e">
        <f>AND(medidas!BE127,"AAAAAG2X/x4=")</f>
        <v>#VALUE!</v>
      </c>
      <c r="AF66" t="e">
        <f>AND(medidas!BF127,"AAAAAG2X/x8=")</f>
        <v>#VALUE!</v>
      </c>
      <c r="AG66" t="e">
        <f>AND(medidas!BG127,"AAAAAG2X/yA=")</f>
        <v>#VALUE!</v>
      </c>
      <c r="AH66" t="e">
        <f>AND(medidas!BH127,"AAAAAG2X/yE=")</f>
        <v>#VALUE!</v>
      </c>
      <c r="AI66" t="e">
        <f>AND(medidas!BI127,"AAAAAG2X/yI=")</f>
        <v>#VALUE!</v>
      </c>
      <c r="AJ66" t="e">
        <f>AND(medidas!BJ127,"AAAAAG2X/yM=")</f>
        <v>#VALUE!</v>
      </c>
      <c r="AK66" t="e">
        <f>AND(medidas!BK127,"AAAAAG2X/yQ=")</f>
        <v>#VALUE!</v>
      </c>
      <c r="AL66" t="e">
        <f>AND(medidas!BL127,"AAAAAG2X/yU=")</f>
        <v>#VALUE!</v>
      </c>
      <c r="AM66" t="e">
        <f>AND(medidas!BM127,"AAAAAG2X/yY=")</f>
        <v>#VALUE!</v>
      </c>
      <c r="AN66" t="e">
        <f>AND(medidas!BN127,"AAAAAG2X/yc=")</f>
        <v>#VALUE!</v>
      </c>
      <c r="AO66" t="e">
        <f>AND(medidas!BO127,"AAAAAG2X/yg=")</f>
        <v>#VALUE!</v>
      </c>
      <c r="AP66" t="e">
        <f>AND(medidas!BP127,"AAAAAG2X/yk=")</f>
        <v>#VALUE!</v>
      </c>
      <c r="AQ66" t="e">
        <f>AND(medidas!BQ127,"AAAAAG2X/yo=")</f>
        <v>#VALUE!</v>
      </c>
      <c r="AR66" t="e">
        <f>AND(medidas!BR127,"AAAAAG2X/ys=")</f>
        <v>#VALUE!</v>
      </c>
      <c r="AS66" t="e">
        <f>AND(medidas!BS127,"AAAAAG2X/yw=")</f>
        <v>#VALUE!</v>
      </c>
      <c r="AT66" t="e">
        <f>AND(medidas!BT127,"AAAAAG2X/y0=")</f>
        <v>#VALUE!</v>
      </c>
      <c r="AU66" t="e">
        <f>AND(medidas!BU127,"AAAAAG2X/y4=")</f>
        <v>#VALUE!</v>
      </c>
      <c r="AV66" t="e">
        <f>AND(medidas!BV127,"AAAAAG2X/y8=")</f>
        <v>#VALUE!</v>
      </c>
      <c r="AW66" t="e">
        <f>AND(medidas!BW127,"AAAAAG2X/zA=")</f>
        <v>#VALUE!</v>
      </c>
      <c r="AX66" t="e">
        <f>AND(medidas!BX127,"AAAAAG2X/zE=")</f>
        <v>#VALUE!</v>
      </c>
      <c r="AY66" t="e">
        <f>AND(medidas!BY127,"AAAAAG2X/zI=")</f>
        <v>#VALUE!</v>
      </c>
      <c r="AZ66">
        <f>IF(medidas!128:128,"AAAAAG2X/zM=",0)</f>
        <v>0</v>
      </c>
      <c r="BA66" t="e">
        <f>AND(medidas!B128,"AAAAAG2X/zQ=")</f>
        <v>#VALUE!</v>
      </c>
      <c r="BB66" t="e">
        <f>AND(medidas!C128,"AAAAAG2X/zU=")</f>
        <v>#VALUE!</v>
      </c>
      <c r="BC66" t="e">
        <f>AND(medidas!D128,"AAAAAG2X/zY=")</f>
        <v>#VALUE!</v>
      </c>
      <c r="BD66" t="e">
        <f>AND(medidas!E128,"AAAAAG2X/zc=")</f>
        <v>#VALUE!</v>
      </c>
      <c r="BE66" t="e">
        <f>AND(medidas!F128,"AAAAAG2X/zg=")</f>
        <v>#VALUE!</v>
      </c>
      <c r="BF66" t="e">
        <f>AND(medidas!G128,"AAAAAG2X/zk=")</f>
        <v>#VALUE!</v>
      </c>
      <c r="BG66" t="e">
        <f>AND(medidas!H128,"AAAAAG2X/zo=")</f>
        <v>#VALUE!</v>
      </c>
      <c r="BH66" t="e">
        <f>AND(medidas!I128,"AAAAAG2X/zs=")</f>
        <v>#VALUE!</v>
      </c>
      <c r="BI66" t="e">
        <f>AND(medidas!J128,"AAAAAG2X/zw=")</f>
        <v>#VALUE!</v>
      </c>
      <c r="BJ66" t="e">
        <f>AND(medidas!K128,"AAAAAG2X/z0=")</f>
        <v>#VALUE!</v>
      </c>
      <c r="BK66" t="e">
        <f>AND(medidas!L128,"AAAAAG2X/z4=")</f>
        <v>#VALUE!</v>
      </c>
      <c r="BL66" t="e">
        <f>AND(medidas!M128,"AAAAAG2X/z8=")</f>
        <v>#VALUE!</v>
      </c>
      <c r="BM66" t="e">
        <f>AND(medidas!N128,"AAAAAG2X/0A=")</f>
        <v>#VALUE!</v>
      </c>
      <c r="BN66" t="e">
        <f>AND(medidas!O128,"AAAAAG2X/0E=")</f>
        <v>#VALUE!</v>
      </c>
      <c r="BO66" t="e">
        <f>AND(medidas!P128,"AAAAAG2X/0I=")</f>
        <v>#VALUE!</v>
      </c>
      <c r="BP66" t="e">
        <f>AND(medidas!Q128,"AAAAAG2X/0M=")</f>
        <v>#VALUE!</v>
      </c>
      <c r="BQ66" t="e">
        <f>AND(medidas!R128,"AAAAAG2X/0Q=")</f>
        <v>#VALUE!</v>
      </c>
      <c r="BR66" t="e">
        <f>AND(medidas!S128,"AAAAAG2X/0U=")</f>
        <v>#VALUE!</v>
      </c>
      <c r="BS66" t="e">
        <f>AND(medidas!T128,"AAAAAG2X/0Y=")</f>
        <v>#VALUE!</v>
      </c>
      <c r="BT66" t="e">
        <f>AND(medidas!U128,"AAAAAG2X/0c=")</f>
        <v>#VALUE!</v>
      </c>
      <c r="BU66" t="e">
        <f>AND(medidas!V128,"AAAAAG2X/0g=")</f>
        <v>#VALUE!</v>
      </c>
      <c r="BV66" t="e">
        <f>AND(medidas!W128,"AAAAAG2X/0k=")</f>
        <v>#VALUE!</v>
      </c>
      <c r="BW66" t="e">
        <f>AND(medidas!X128,"AAAAAG2X/0o=")</f>
        <v>#VALUE!</v>
      </c>
      <c r="BX66" t="e">
        <f>AND(medidas!Y128,"AAAAAG2X/0s=")</f>
        <v>#VALUE!</v>
      </c>
      <c r="BY66" t="e">
        <f>AND(medidas!Z128,"AAAAAG2X/0w=")</f>
        <v>#VALUE!</v>
      </c>
      <c r="BZ66" t="e">
        <f>AND(medidas!AA128,"AAAAAG2X/00=")</f>
        <v>#VALUE!</v>
      </c>
      <c r="CA66" t="e">
        <f>AND(medidas!AB128,"AAAAAG2X/04=")</f>
        <v>#VALUE!</v>
      </c>
      <c r="CB66" t="e">
        <f>AND(medidas!AC128,"AAAAAG2X/08=")</f>
        <v>#VALUE!</v>
      </c>
      <c r="CC66" t="e">
        <f>AND(medidas!AD128,"AAAAAG2X/1A=")</f>
        <v>#VALUE!</v>
      </c>
      <c r="CD66" t="e">
        <f>AND(medidas!AE128,"AAAAAG2X/1E=")</f>
        <v>#VALUE!</v>
      </c>
      <c r="CE66" t="e">
        <f>AND(medidas!AF128,"AAAAAG2X/1I=")</f>
        <v>#VALUE!</v>
      </c>
      <c r="CF66" t="e">
        <f>AND(medidas!AG128,"AAAAAG2X/1M=")</f>
        <v>#VALUE!</v>
      </c>
      <c r="CG66" t="e">
        <f>AND(medidas!AH128,"AAAAAG2X/1Q=")</f>
        <v>#VALUE!</v>
      </c>
      <c r="CH66" t="e">
        <f>AND(medidas!AI128,"AAAAAG2X/1U=")</f>
        <v>#VALUE!</v>
      </c>
      <c r="CI66" t="e">
        <f>AND(medidas!AJ128,"AAAAAG2X/1Y=")</f>
        <v>#VALUE!</v>
      </c>
      <c r="CJ66" t="e">
        <f>AND(medidas!AK128,"AAAAAG2X/1c=")</f>
        <v>#VALUE!</v>
      </c>
      <c r="CK66" t="e">
        <f>AND(medidas!AL128,"AAAAAG2X/1g=")</f>
        <v>#VALUE!</v>
      </c>
      <c r="CL66" t="e">
        <f>AND(medidas!AM128,"AAAAAG2X/1k=")</f>
        <v>#VALUE!</v>
      </c>
      <c r="CM66" t="e">
        <f>AND(medidas!AN128,"AAAAAG2X/1o=")</f>
        <v>#VALUE!</v>
      </c>
      <c r="CN66" t="e">
        <f>AND(medidas!AO128,"AAAAAG2X/1s=")</f>
        <v>#VALUE!</v>
      </c>
      <c r="CO66" t="e">
        <f>AND(medidas!AP128,"AAAAAG2X/1w=")</f>
        <v>#VALUE!</v>
      </c>
      <c r="CP66" t="e">
        <f>AND(medidas!AQ128,"AAAAAG2X/10=")</f>
        <v>#VALUE!</v>
      </c>
      <c r="CQ66" t="e">
        <f>AND(medidas!AR128,"AAAAAG2X/14=")</f>
        <v>#VALUE!</v>
      </c>
      <c r="CR66" t="e">
        <f>AND(medidas!AS128,"AAAAAG2X/18=")</f>
        <v>#VALUE!</v>
      </c>
      <c r="CS66" t="e">
        <f>AND(medidas!AT128,"AAAAAG2X/2A=")</f>
        <v>#VALUE!</v>
      </c>
      <c r="CT66" t="e">
        <f>AND(medidas!AU128,"AAAAAG2X/2E=")</f>
        <v>#VALUE!</v>
      </c>
      <c r="CU66" t="e">
        <f>AND(medidas!AV128,"AAAAAG2X/2I=")</f>
        <v>#VALUE!</v>
      </c>
      <c r="CV66" t="e">
        <f>AND(medidas!AW128,"AAAAAG2X/2M=")</f>
        <v>#VALUE!</v>
      </c>
      <c r="CW66" t="e">
        <f>AND(medidas!AX128,"AAAAAG2X/2Q=")</f>
        <v>#VALUE!</v>
      </c>
      <c r="CX66" t="e">
        <f>AND(medidas!AY128,"AAAAAG2X/2U=")</f>
        <v>#VALUE!</v>
      </c>
      <c r="CY66" t="e">
        <f>AND(medidas!AZ128,"AAAAAG2X/2Y=")</f>
        <v>#VALUE!</v>
      </c>
      <c r="CZ66" t="e">
        <f>AND(medidas!BA128,"AAAAAG2X/2c=")</f>
        <v>#VALUE!</v>
      </c>
      <c r="DA66" t="e">
        <f>AND(medidas!BB128,"AAAAAG2X/2g=")</f>
        <v>#VALUE!</v>
      </c>
      <c r="DB66" t="e">
        <f>AND(medidas!BC128,"AAAAAG2X/2k=")</f>
        <v>#VALUE!</v>
      </c>
      <c r="DC66" t="e">
        <f>AND(medidas!BD128,"AAAAAG2X/2o=")</f>
        <v>#VALUE!</v>
      </c>
      <c r="DD66" t="e">
        <f>AND(medidas!BE128,"AAAAAG2X/2s=")</f>
        <v>#VALUE!</v>
      </c>
      <c r="DE66" t="e">
        <f>AND(medidas!BF128,"AAAAAG2X/2w=")</f>
        <v>#VALUE!</v>
      </c>
      <c r="DF66" t="e">
        <f>AND(medidas!BG128,"AAAAAG2X/20=")</f>
        <v>#VALUE!</v>
      </c>
      <c r="DG66" t="e">
        <f>AND(medidas!BH128,"AAAAAG2X/24=")</f>
        <v>#VALUE!</v>
      </c>
      <c r="DH66" t="e">
        <f>AND(medidas!BI128,"AAAAAG2X/28=")</f>
        <v>#VALUE!</v>
      </c>
      <c r="DI66" t="e">
        <f>AND(medidas!BJ128,"AAAAAG2X/3A=")</f>
        <v>#VALUE!</v>
      </c>
      <c r="DJ66" t="e">
        <f>AND(medidas!BK128,"AAAAAG2X/3E=")</f>
        <v>#VALUE!</v>
      </c>
      <c r="DK66" t="e">
        <f>AND(medidas!BL128,"AAAAAG2X/3I=")</f>
        <v>#VALUE!</v>
      </c>
      <c r="DL66" t="e">
        <f>AND(medidas!BM128,"AAAAAG2X/3M=")</f>
        <v>#VALUE!</v>
      </c>
      <c r="DM66" t="e">
        <f>AND(medidas!BN128,"AAAAAG2X/3Q=")</f>
        <v>#VALUE!</v>
      </c>
      <c r="DN66" t="e">
        <f>AND(medidas!BO128,"AAAAAG2X/3U=")</f>
        <v>#VALUE!</v>
      </c>
      <c r="DO66" t="e">
        <f>AND(medidas!BP128,"AAAAAG2X/3Y=")</f>
        <v>#VALUE!</v>
      </c>
      <c r="DP66" t="e">
        <f>AND(medidas!BQ128,"AAAAAG2X/3c=")</f>
        <v>#VALUE!</v>
      </c>
      <c r="DQ66" t="e">
        <f>AND(medidas!BR128,"AAAAAG2X/3g=")</f>
        <v>#VALUE!</v>
      </c>
      <c r="DR66" t="e">
        <f>AND(medidas!BS128,"AAAAAG2X/3k=")</f>
        <v>#VALUE!</v>
      </c>
      <c r="DS66" t="e">
        <f>AND(medidas!BT128,"AAAAAG2X/3o=")</f>
        <v>#VALUE!</v>
      </c>
      <c r="DT66" t="e">
        <f>AND(medidas!BU128,"AAAAAG2X/3s=")</f>
        <v>#VALUE!</v>
      </c>
      <c r="DU66" t="e">
        <f>AND(medidas!BV128,"AAAAAG2X/3w=")</f>
        <v>#VALUE!</v>
      </c>
      <c r="DV66" t="e">
        <f>AND(medidas!BW128,"AAAAAG2X/30=")</f>
        <v>#VALUE!</v>
      </c>
      <c r="DW66" t="e">
        <f>AND(medidas!BX128,"AAAAAG2X/34=")</f>
        <v>#VALUE!</v>
      </c>
      <c r="DX66" t="e">
        <f>AND(medidas!BY128,"AAAAAG2X/38=")</f>
        <v>#VALUE!</v>
      </c>
      <c r="DY66">
        <f>IF(medidas!129:129,"AAAAAG2X/4A=",0)</f>
        <v>0</v>
      </c>
      <c r="DZ66" t="e">
        <f>AND(medidas!B129,"AAAAAG2X/4E=")</f>
        <v>#VALUE!</v>
      </c>
      <c r="EA66" t="e">
        <f>AND(medidas!C129,"AAAAAG2X/4I=")</f>
        <v>#VALUE!</v>
      </c>
      <c r="EB66" t="e">
        <f>AND(medidas!D129,"AAAAAG2X/4M=")</f>
        <v>#VALUE!</v>
      </c>
      <c r="EC66" t="e">
        <f>AND(medidas!E129,"AAAAAG2X/4Q=")</f>
        <v>#VALUE!</v>
      </c>
      <c r="ED66" t="e">
        <f>AND(medidas!F129,"AAAAAG2X/4U=")</f>
        <v>#VALUE!</v>
      </c>
      <c r="EE66" t="e">
        <f>AND(medidas!G129,"AAAAAG2X/4Y=")</f>
        <v>#VALUE!</v>
      </c>
      <c r="EF66" t="e">
        <f>AND(medidas!H129,"AAAAAG2X/4c=")</f>
        <v>#VALUE!</v>
      </c>
      <c r="EG66" t="e">
        <f>AND(medidas!I129,"AAAAAG2X/4g=")</f>
        <v>#VALUE!</v>
      </c>
      <c r="EH66" t="e">
        <f>AND(medidas!J129,"AAAAAG2X/4k=")</f>
        <v>#VALUE!</v>
      </c>
      <c r="EI66" t="e">
        <f>AND(medidas!K129,"AAAAAG2X/4o=")</f>
        <v>#VALUE!</v>
      </c>
      <c r="EJ66" t="e">
        <f>AND(medidas!L129,"AAAAAG2X/4s=")</f>
        <v>#VALUE!</v>
      </c>
      <c r="EK66" t="e">
        <f>AND(medidas!M129,"AAAAAG2X/4w=")</f>
        <v>#VALUE!</v>
      </c>
      <c r="EL66" t="e">
        <f>AND(medidas!N129,"AAAAAG2X/40=")</f>
        <v>#VALUE!</v>
      </c>
      <c r="EM66" t="e">
        <f>AND(medidas!O129,"AAAAAG2X/44=")</f>
        <v>#VALUE!</v>
      </c>
      <c r="EN66" t="e">
        <f>AND(medidas!P129,"AAAAAG2X/48=")</f>
        <v>#VALUE!</v>
      </c>
      <c r="EO66" t="e">
        <f>AND(medidas!Q129,"AAAAAG2X/5A=")</f>
        <v>#VALUE!</v>
      </c>
      <c r="EP66" t="e">
        <f>AND(medidas!R129,"AAAAAG2X/5E=")</f>
        <v>#VALUE!</v>
      </c>
      <c r="EQ66" t="e">
        <f>AND(medidas!S129,"AAAAAG2X/5I=")</f>
        <v>#VALUE!</v>
      </c>
      <c r="ER66" t="e">
        <f>AND(medidas!T129,"AAAAAG2X/5M=")</f>
        <v>#VALUE!</v>
      </c>
      <c r="ES66" t="e">
        <f>AND(medidas!U129,"AAAAAG2X/5Q=")</f>
        <v>#VALUE!</v>
      </c>
      <c r="ET66" t="e">
        <f>AND(medidas!V129,"AAAAAG2X/5U=")</f>
        <v>#VALUE!</v>
      </c>
      <c r="EU66" t="e">
        <f>AND(medidas!W129,"AAAAAG2X/5Y=")</f>
        <v>#VALUE!</v>
      </c>
      <c r="EV66" t="e">
        <f>AND(medidas!X129,"AAAAAG2X/5c=")</f>
        <v>#VALUE!</v>
      </c>
      <c r="EW66" t="e">
        <f>AND(medidas!Y129,"AAAAAG2X/5g=")</f>
        <v>#VALUE!</v>
      </c>
      <c r="EX66" t="e">
        <f>AND(medidas!Z129,"AAAAAG2X/5k=")</f>
        <v>#VALUE!</v>
      </c>
      <c r="EY66" t="e">
        <f>AND(medidas!AA129,"AAAAAG2X/5o=")</f>
        <v>#VALUE!</v>
      </c>
      <c r="EZ66" t="e">
        <f>AND(medidas!AB129,"AAAAAG2X/5s=")</f>
        <v>#VALUE!</v>
      </c>
      <c r="FA66" t="e">
        <f>AND(medidas!AC129,"AAAAAG2X/5w=")</f>
        <v>#VALUE!</v>
      </c>
      <c r="FB66" t="e">
        <f>AND(medidas!AD129,"AAAAAG2X/50=")</f>
        <v>#VALUE!</v>
      </c>
      <c r="FC66" t="e">
        <f>AND(medidas!AE129,"AAAAAG2X/54=")</f>
        <v>#VALUE!</v>
      </c>
      <c r="FD66" t="e">
        <f>AND(medidas!AF129,"AAAAAG2X/58=")</f>
        <v>#VALUE!</v>
      </c>
      <c r="FE66" t="e">
        <f>AND(medidas!AG129,"AAAAAG2X/6A=")</f>
        <v>#VALUE!</v>
      </c>
      <c r="FF66" t="e">
        <f>AND(medidas!AH129,"AAAAAG2X/6E=")</f>
        <v>#VALUE!</v>
      </c>
      <c r="FG66" t="e">
        <f>AND(medidas!AI129,"AAAAAG2X/6I=")</f>
        <v>#VALUE!</v>
      </c>
      <c r="FH66" t="e">
        <f>AND(medidas!AJ129,"AAAAAG2X/6M=")</f>
        <v>#VALUE!</v>
      </c>
      <c r="FI66" t="e">
        <f>AND(medidas!AK129,"AAAAAG2X/6Q=")</f>
        <v>#VALUE!</v>
      </c>
      <c r="FJ66" t="e">
        <f>AND(medidas!AL129,"AAAAAG2X/6U=")</f>
        <v>#VALUE!</v>
      </c>
      <c r="FK66" t="e">
        <f>AND(medidas!AM129,"AAAAAG2X/6Y=")</f>
        <v>#VALUE!</v>
      </c>
      <c r="FL66" t="e">
        <f>AND(medidas!AN129,"AAAAAG2X/6c=")</f>
        <v>#VALUE!</v>
      </c>
      <c r="FM66" t="e">
        <f>AND(medidas!AO129,"AAAAAG2X/6g=")</f>
        <v>#VALUE!</v>
      </c>
      <c r="FN66" t="e">
        <f>AND(medidas!AP129,"AAAAAG2X/6k=")</f>
        <v>#VALUE!</v>
      </c>
      <c r="FO66" t="e">
        <f>AND(medidas!AQ129,"AAAAAG2X/6o=")</f>
        <v>#VALUE!</v>
      </c>
      <c r="FP66" t="e">
        <f>AND(medidas!AR129,"AAAAAG2X/6s=")</f>
        <v>#VALUE!</v>
      </c>
      <c r="FQ66" t="e">
        <f>AND(medidas!AS129,"AAAAAG2X/6w=")</f>
        <v>#VALUE!</v>
      </c>
      <c r="FR66" t="e">
        <f>AND(medidas!AT129,"AAAAAG2X/60=")</f>
        <v>#VALUE!</v>
      </c>
      <c r="FS66" t="e">
        <f>AND(medidas!AU129,"AAAAAG2X/64=")</f>
        <v>#VALUE!</v>
      </c>
      <c r="FT66" t="e">
        <f>AND(medidas!AV129,"AAAAAG2X/68=")</f>
        <v>#VALUE!</v>
      </c>
      <c r="FU66" t="e">
        <f>AND(medidas!AW129,"AAAAAG2X/7A=")</f>
        <v>#VALUE!</v>
      </c>
      <c r="FV66" t="e">
        <f>AND(medidas!AX129,"AAAAAG2X/7E=")</f>
        <v>#VALUE!</v>
      </c>
      <c r="FW66" t="e">
        <f>AND(medidas!AY129,"AAAAAG2X/7I=")</f>
        <v>#VALUE!</v>
      </c>
      <c r="FX66" t="e">
        <f>AND(medidas!AZ129,"AAAAAG2X/7M=")</f>
        <v>#VALUE!</v>
      </c>
      <c r="FY66" t="e">
        <f>AND(medidas!BA129,"AAAAAG2X/7Q=")</f>
        <v>#VALUE!</v>
      </c>
      <c r="FZ66" t="e">
        <f>AND(medidas!BB129,"AAAAAG2X/7U=")</f>
        <v>#VALUE!</v>
      </c>
      <c r="GA66" t="e">
        <f>AND(medidas!BC129,"AAAAAG2X/7Y=")</f>
        <v>#VALUE!</v>
      </c>
      <c r="GB66" t="e">
        <f>AND(medidas!BD129,"AAAAAG2X/7c=")</f>
        <v>#VALUE!</v>
      </c>
      <c r="GC66" t="e">
        <f>AND(medidas!BE129,"AAAAAG2X/7g=")</f>
        <v>#VALUE!</v>
      </c>
      <c r="GD66" t="e">
        <f>AND(medidas!BF129,"AAAAAG2X/7k=")</f>
        <v>#VALUE!</v>
      </c>
      <c r="GE66" t="e">
        <f>AND(medidas!BG129,"AAAAAG2X/7o=")</f>
        <v>#VALUE!</v>
      </c>
      <c r="GF66" t="e">
        <f>AND(medidas!BH129,"AAAAAG2X/7s=")</f>
        <v>#VALUE!</v>
      </c>
      <c r="GG66" t="e">
        <f>AND(medidas!BI129,"AAAAAG2X/7w=")</f>
        <v>#VALUE!</v>
      </c>
      <c r="GH66" t="e">
        <f>AND(medidas!BJ129,"AAAAAG2X/70=")</f>
        <v>#VALUE!</v>
      </c>
      <c r="GI66" t="e">
        <f>AND(medidas!BK129,"AAAAAG2X/74=")</f>
        <v>#VALUE!</v>
      </c>
      <c r="GJ66" t="e">
        <f>AND(medidas!BL129,"AAAAAG2X/78=")</f>
        <v>#VALUE!</v>
      </c>
      <c r="GK66" t="e">
        <f>AND(medidas!BM129,"AAAAAG2X/8A=")</f>
        <v>#VALUE!</v>
      </c>
      <c r="GL66" t="e">
        <f>AND(medidas!BN129,"AAAAAG2X/8E=")</f>
        <v>#VALUE!</v>
      </c>
      <c r="GM66" t="e">
        <f>AND(medidas!BO129,"AAAAAG2X/8I=")</f>
        <v>#VALUE!</v>
      </c>
      <c r="GN66" t="e">
        <f>AND(medidas!BP129,"AAAAAG2X/8M=")</f>
        <v>#VALUE!</v>
      </c>
      <c r="GO66" t="e">
        <f>AND(medidas!BQ129,"AAAAAG2X/8Q=")</f>
        <v>#VALUE!</v>
      </c>
      <c r="GP66" t="e">
        <f>AND(medidas!BR129,"AAAAAG2X/8U=")</f>
        <v>#VALUE!</v>
      </c>
      <c r="GQ66" t="e">
        <f>AND(medidas!BS129,"AAAAAG2X/8Y=")</f>
        <v>#VALUE!</v>
      </c>
      <c r="GR66" t="e">
        <f>AND(medidas!BT129,"AAAAAG2X/8c=")</f>
        <v>#VALUE!</v>
      </c>
      <c r="GS66" t="e">
        <f>AND(medidas!BU129,"AAAAAG2X/8g=")</f>
        <v>#VALUE!</v>
      </c>
      <c r="GT66" t="e">
        <f>AND(medidas!BV129,"AAAAAG2X/8k=")</f>
        <v>#VALUE!</v>
      </c>
      <c r="GU66" t="e">
        <f>AND(medidas!BW129,"AAAAAG2X/8o=")</f>
        <v>#VALUE!</v>
      </c>
      <c r="GV66" t="e">
        <f>AND(medidas!BX129,"AAAAAG2X/8s=")</f>
        <v>#VALUE!</v>
      </c>
      <c r="GW66" t="e">
        <f>AND(medidas!BY129,"AAAAAG2X/8w=")</f>
        <v>#VALUE!</v>
      </c>
      <c r="GX66">
        <f>IF(medidas!130:130,"AAAAAG2X/80=",0)</f>
        <v>0</v>
      </c>
      <c r="GY66" t="e">
        <f>AND(medidas!B130,"AAAAAG2X/84=")</f>
        <v>#VALUE!</v>
      </c>
      <c r="GZ66" t="e">
        <f>AND(medidas!C130,"AAAAAG2X/88=")</f>
        <v>#VALUE!</v>
      </c>
      <c r="HA66" t="e">
        <f>AND(medidas!D130,"AAAAAG2X/9A=")</f>
        <v>#VALUE!</v>
      </c>
      <c r="HB66" t="e">
        <f>AND(medidas!E130,"AAAAAG2X/9E=")</f>
        <v>#VALUE!</v>
      </c>
      <c r="HC66" t="e">
        <f>AND(medidas!F130,"AAAAAG2X/9I=")</f>
        <v>#VALUE!</v>
      </c>
      <c r="HD66" t="e">
        <f>AND(medidas!G130,"AAAAAG2X/9M=")</f>
        <v>#VALUE!</v>
      </c>
      <c r="HE66" t="e">
        <f>AND(medidas!H130,"AAAAAG2X/9Q=")</f>
        <v>#VALUE!</v>
      </c>
      <c r="HF66" t="e">
        <f>AND(medidas!I130,"AAAAAG2X/9U=")</f>
        <v>#VALUE!</v>
      </c>
      <c r="HG66" t="e">
        <f>AND(medidas!J130,"AAAAAG2X/9Y=")</f>
        <v>#VALUE!</v>
      </c>
      <c r="HH66" t="e">
        <f>AND(medidas!K130,"AAAAAG2X/9c=")</f>
        <v>#VALUE!</v>
      </c>
      <c r="HI66" t="e">
        <f>AND(medidas!L130,"AAAAAG2X/9g=")</f>
        <v>#VALUE!</v>
      </c>
      <c r="HJ66" t="e">
        <f>AND(medidas!M130,"AAAAAG2X/9k=")</f>
        <v>#VALUE!</v>
      </c>
      <c r="HK66" t="e">
        <f>AND(medidas!N130,"AAAAAG2X/9o=")</f>
        <v>#VALUE!</v>
      </c>
      <c r="HL66" t="e">
        <f>AND(medidas!O130,"AAAAAG2X/9s=")</f>
        <v>#VALUE!</v>
      </c>
      <c r="HM66" t="e">
        <f>AND(medidas!P130,"AAAAAG2X/9w=")</f>
        <v>#VALUE!</v>
      </c>
      <c r="HN66" t="e">
        <f>AND(medidas!Q130,"AAAAAG2X/90=")</f>
        <v>#VALUE!</v>
      </c>
      <c r="HO66" t="e">
        <f>AND(medidas!R130,"AAAAAG2X/94=")</f>
        <v>#VALUE!</v>
      </c>
      <c r="HP66" t="e">
        <f>AND(medidas!S130,"AAAAAG2X/98=")</f>
        <v>#VALUE!</v>
      </c>
      <c r="HQ66" t="e">
        <f>AND(medidas!T130,"AAAAAG2X/+A=")</f>
        <v>#VALUE!</v>
      </c>
      <c r="HR66" t="e">
        <f>AND(medidas!U130,"AAAAAG2X/+E=")</f>
        <v>#VALUE!</v>
      </c>
      <c r="HS66" t="e">
        <f>AND(medidas!V130,"AAAAAG2X/+I=")</f>
        <v>#VALUE!</v>
      </c>
      <c r="HT66" t="e">
        <f>AND(medidas!W130,"AAAAAG2X/+M=")</f>
        <v>#VALUE!</v>
      </c>
      <c r="HU66" t="e">
        <f>AND(medidas!X130,"AAAAAG2X/+Q=")</f>
        <v>#VALUE!</v>
      </c>
      <c r="HV66" t="e">
        <f>AND(medidas!Y130,"AAAAAG2X/+U=")</f>
        <v>#VALUE!</v>
      </c>
      <c r="HW66" t="e">
        <f>AND(medidas!Z130,"AAAAAG2X/+Y=")</f>
        <v>#VALUE!</v>
      </c>
      <c r="HX66" t="e">
        <f>AND(medidas!AA130,"AAAAAG2X/+c=")</f>
        <v>#VALUE!</v>
      </c>
      <c r="HY66" t="e">
        <f>AND(medidas!AB130,"AAAAAG2X/+g=")</f>
        <v>#VALUE!</v>
      </c>
      <c r="HZ66" t="e">
        <f>AND(medidas!AC130,"AAAAAG2X/+k=")</f>
        <v>#VALUE!</v>
      </c>
      <c r="IA66" t="e">
        <f>AND(medidas!AD130,"AAAAAG2X/+o=")</f>
        <v>#VALUE!</v>
      </c>
      <c r="IB66" t="e">
        <f>AND(medidas!AE130,"AAAAAG2X/+s=")</f>
        <v>#VALUE!</v>
      </c>
      <c r="IC66" t="e">
        <f>AND(medidas!AF130,"AAAAAG2X/+w=")</f>
        <v>#VALUE!</v>
      </c>
      <c r="ID66" t="e">
        <f>AND(medidas!AG130,"AAAAAG2X/+0=")</f>
        <v>#VALUE!</v>
      </c>
      <c r="IE66" t="e">
        <f>AND(medidas!AH130,"AAAAAG2X/+4=")</f>
        <v>#VALUE!</v>
      </c>
      <c r="IF66" t="e">
        <f>AND(medidas!AI130,"AAAAAG2X/+8=")</f>
        <v>#VALUE!</v>
      </c>
      <c r="IG66" t="e">
        <f>AND(medidas!AJ130,"AAAAAG2X//A=")</f>
        <v>#VALUE!</v>
      </c>
      <c r="IH66" t="e">
        <f>AND(medidas!AK130,"AAAAAG2X//E=")</f>
        <v>#VALUE!</v>
      </c>
      <c r="II66" t="e">
        <f>AND(medidas!AL130,"AAAAAG2X//I=")</f>
        <v>#VALUE!</v>
      </c>
      <c r="IJ66" t="e">
        <f>AND(medidas!AM130,"AAAAAG2X//M=")</f>
        <v>#VALUE!</v>
      </c>
      <c r="IK66" t="e">
        <f>AND(medidas!AN130,"AAAAAG2X//Q=")</f>
        <v>#VALUE!</v>
      </c>
      <c r="IL66" t="e">
        <f>AND(medidas!AO130,"AAAAAG2X//U=")</f>
        <v>#VALUE!</v>
      </c>
      <c r="IM66" t="e">
        <f>AND(medidas!AP130,"AAAAAG2X//Y=")</f>
        <v>#VALUE!</v>
      </c>
      <c r="IN66" t="e">
        <f>AND(medidas!AQ130,"AAAAAG2X//c=")</f>
        <v>#VALUE!</v>
      </c>
      <c r="IO66" t="e">
        <f>AND(medidas!AR130,"AAAAAG2X//g=")</f>
        <v>#VALUE!</v>
      </c>
      <c r="IP66" t="e">
        <f>AND(medidas!AS130,"AAAAAG2X//k=")</f>
        <v>#VALUE!</v>
      </c>
      <c r="IQ66" t="e">
        <f>AND(medidas!AT130,"AAAAAG2X//o=")</f>
        <v>#VALUE!</v>
      </c>
      <c r="IR66" t="e">
        <f>AND(medidas!AU130,"AAAAAG2X//s=")</f>
        <v>#VALUE!</v>
      </c>
      <c r="IS66" t="e">
        <f>AND(medidas!AV130,"AAAAAG2X//w=")</f>
        <v>#VALUE!</v>
      </c>
      <c r="IT66" t="e">
        <f>AND(medidas!AW130,"AAAAAG2X//0=")</f>
        <v>#VALUE!</v>
      </c>
      <c r="IU66" t="e">
        <f>AND(medidas!AX130,"AAAAAG2X//4=")</f>
        <v>#VALUE!</v>
      </c>
      <c r="IV66" t="e">
        <f>AND(medidas!AY130,"AAAAAG2X//8=")</f>
        <v>#VALUE!</v>
      </c>
    </row>
    <row r="67" spans="1:256" x14ac:dyDescent="0.2">
      <c r="A67" t="e">
        <f>AND(medidas!AZ130,"AAAAAH91rwA=")</f>
        <v>#VALUE!</v>
      </c>
      <c r="B67" t="e">
        <f>AND(medidas!BA130,"AAAAAH91rwE=")</f>
        <v>#VALUE!</v>
      </c>
      <c r="C67" t="e">
        <f>AND(medidas!BB130,"AAAAAH91rwI=")</f>
        <v>#VALUE!</v>
      </c>
      <c r="D67" t="e">
        <f>AND(medidas!BC130,"AAAAAH91rwM=")</f>
        <v>#VALUE!</v>
      </c>
      <c r="E67" t="e">
        <f>AND(medidas!BD130,"AAAAAH91rwQ=")</f>
        <v>#VALUE!</v>
      </c>
      <c r="F67" t="e">
        <f>AND(medidas!BE130,"AAAAAH91rwU=")</f>
        <v>#VALUE!</v>
      </c>
      <c r="G67" t="e">
        <f>AND(medidas!BF130,"AAAAAH91rwY=")</f>
        <v>#VALUE!</v>
      </c>
      <c r="H67" t="e">
        <f>AND(medidas!BG130,"AAAAAH91rwc=")</f>
        <v>#VALUE!</v>
      </c>
      <c r="I67" t="e">
        <f>AND(medidas!BH130,"AAAAAH91rwg=")</f>
        <v>#VALUE!</v>
      </c>
      <c r="J67" t="e">
        <f>AND(medidas!BI130,"AAAAAH91rwk=")</f>
        <v>#VALUE!</v>
      </c>
      <c r="K67" t="e">
        <f>AND(medidas!BJ130,"AAAAAH91rwo=")</f>
        <v>#VALUE!</v>
      </c>
      <c r="L67" t="e">
        <f>AND(medidas!BK130,"AAAAAH91rws=")</f>
        <v>#VALUE!</v>
      </c>
      <c r="M67" t="e">
        <f>AND(medidas!BL130,"AAAAAH91rww=")</f>
        <v>#VALUE!</v>
      </c>
      <c r="N67" t="e">
        <f>AND(medidas!BM130,"AAAAAH91rw0=")</f>
        <v>#VALUE!</v>
      </c>
      <c r="O67" t="e">
        <f>AND(medidas!BN130,"AAAAAH91rw4=")</f>
        <v>#VALUE!</v>
      </c>
      <c r="P67" t="e">
        <f>AND(medidas!BO130,"AAAAAH91rw8=")</f>
        <v>#VALUE!</v>
      </c>
      <c r="Q67" t="e">
        <f>AND(medidas!BP130,"AAAAAH91rxA=")</f>
        <v>#VALUE!</v>
      </c>
      <c r="R67" t="e">
        <f>AND(medidas!BQ130,"AAAAAH91rxE=")</f>
        <v>#VALUE!</v>
      </c>
      <c r="S67" t="e">
        <f>AND(medidas!BR130,"AAAAAH91rxI=")</f>
        <v>#VALUE!</v>
      </c>
      <c r="T67" t="e">
        <f>AND(medidas!BS130,"AAAAAH91rxM=")</f>
        <v>#VALUE!</v>
      </c>
      <c r="U67" t="e">
        <f>AND(medidas!BT130,"AAAAAH91rxQ=")</f>
        <v>#VALUE!</v>
      </c>
      <c r="V67" t="e">
        <f>AND(medidas!BU130,"AAAAAH91rxU=")</f>
        <v>#VALUE!</v>
      </c>
      <c r="W67" t="e">
        <f>AND(medidas!BV130,"AAAAAH91rxY=")</f>
        <v>#VALUE!</v>
      </c>
      <c r="X67" t="e">
        <f>AND(medidas!BW130,"AAAAAH91rxc=")</f>
        <v>#VALUE!</v>
      </c>
      <c r="Y67" t="e">
        <f>AND(medidas!BX130,"AAAAAH91rxg=")</f>
        <v>#VALUE!</v>
      </c>
      <c r="Z67" t="e">
        <f>AND(medidas!BY130,"AAAAAH91rxk=")</f>
        <v>#VALUE!</v>
      </c>
      <c r="AA67">
        <f>IF(medidas!131:131,"AAAAAH91rxo=",0)</f>
        <v>0</v>
      </c>
      <c r="AB67" t="e">
        <f>AND(medidas!B131,"AAAAAH91rxs=")</f>
        <v>#VALUE!</v>
      </c>
      <c r="AC67" t="e">
        <f>AND(medidas!C131,"AAAAAH91rxw=")</f>
        <v>#VALUE!</v>
      </c>
      <c r="AD67" t="e">
        <f>AND(medidas!D131,"AAAAAH91rx0=")</f>
        <v>#VALUE!</v>
      </c>
      <c r="AE67" t="e">
        <f>AND(medidas!E131,"AAAAAH91rx4=")</f>
        <v>#VALUE!</v>
      </c>
      <c r="AF67" t="e">
        <f>AND(medidas!F131,"AAAAAH91rx8=")</f>
        <v>#VALUE!</v>
      </c>
      <c r="AG67" t="e">
        <f>AND(medidas!G131,"AAAAAH91ryA=")</f>
        <v>#VALUE!</v>
      </c>
      <c r="AH67" t="e">
        <f>AND(medidas!H131,"AAAAAH91ryE=")</f>
        <v>#VALUE!</v>
      </c>
      <c r="AI67" t="e">
        <f>AND(medidas!I131,"AAAAAH91ryI=")</f>
        <v>#VALUE!</v>
      </c>
      <c r="AJ67" t="e">
        <f>AND(medidas!J131,"AAAAAH91ryM=")</f>
        <v>#VALUE!</v>
      </c>
      <c r="AK67" t="e">
        <f>AND(medidas!K131,"AAAAAH91ryQ=")</f>
        <v>#VALUE!</v>
      </c>
      <c r="AL67" t="e">
        <f>AND(medidas!L131,"AAAAAH91ryU=")</f>
        <v>#VALUE!</v>
      </c>
      <c r="AM67" t="e">
        <f>AND(medidas!M131,"AAAAAH91ryY=")</f>
        <v>#VALUE!</v>
      </c>
      <c r="AN67" t="e">
        <f>AND(medidas!N131,"AAAAAH91ryc=")</f>
        <v>#VALUE!</v>
      </c>
      <c r="AO67" t="e">
        <f>AND(medidas!O131,"AAAAAH91ryg=")</f>
        <v>#VALUE!</v>
      </c>
      <c r="AP67" t="e">
        <f>AND(medidas!P131,"AAAAAH91ryk=")</f>
        <v>#VALUE!</v>
      </c>
      <c r="AQ67" t="e">
        <f>AND(medidas!Q131,"AAAAAH91ryo=")</f>
        <v>#VALUE!</v>
      </c>
      <c r="AR67" t="e">
        <f>AND(medidas!R131,"AAAAAH91rys=")</f>
        <v>#VALUE!</v>
      </c>
      <c r="AS67" t="e">
        <f>AND(medidas!S131,"AAAAAH91ryw=")</f>
        <v>#VALUE!</v>
      </c>
      <c r="AT67" t="e">
        <f>AND(medidas!T131,"AAAAAH91ry0=")</f>
        <v>#VALUE!</v>
      </c>
      <c r="AU67" t="e">
        <f>AND(medidas!U131,"AAAAAH91ry4=")</f>
        <v>#VALUE!</v>
      </c>
      <c r="AV67" t="e">
        <f>AND(medidas!V131,"AAAAAH91ry8=")</f>
        <v>#VALUE!</v>
      </c>
      <c r="AW67" t="e">
        <f>AND(medidas!W131,"AAAAAH91rzA=")</f>
        <v>#VALUE!</v>
      </c>
      <c r="AX67" t="e">
        <f>AND(medidas!X131,"AAAAAH91rzE=")</f>
        <v>#VALUE!</v>
      </c>
      <c r="AY67" t="e">
        <f>AND(medidas!Y131,"AAAAAH91rzI=")</f>
        <v>#VALUE!</v>
      </c>
      <c r="AZ67" t="e">
        <f>AND(medidas!Z131,"AAAAAH91rzM=")</f>
        <v>#VALUE!</v>
      </c>
      <c r="BA67" t="e">
        <f>AND(medidas!AA131,"AAAAAH91rzQ=")</f>
        <v>#VALUE!</v>
      </c>
      <c r="BB67" t="e">
        <f>AND(medidas!AB131,"AAAAAH91rzU=")</f>
        <v>#VALUE!</v>
      </c>
      <c r="BC67" t="e">
        <f>AND(medidas!AC131,"AAAAAH91rzY=")</f>
        <v>#VALUE!</v>
      </c>
      <c r="BD67" t="e">
        <f>AND(medidas!AD131,"AAAAAH91rzc=")</f>
        <v>#VALUE!</v>
      </c>
      <c r="BE67" t="e">
        <f>AND(medidas!AE131,"AAAAAH91rzg=")</f>
        <v>#VALUE!</v>
      </c>
      <c r="BF67" t="e">
        <f>AND(medidas!AF131,"AAAAAH91rzk=")</f>
        <v>#VALUE!</v>
      </c>
      <c r="BG67" t="e">
        <f>AND(medidas!AG131,"AAAAAH91rzo=")</f>
        <v>#VALUE!</v>
      </c>
      <c r="BH67" t="e">
        <f>AND(medidas!AH131,"AAAAAH91rzs=")</f>
        <v>#VALUE!</v>
      </c>
      <c r="BI67" t="e">
        <f>AND(medidas!AI131,"AAAAAH91rzw=")</f>
        <v>#VALUE!</v>
      </c>
      <c r="BJ67" t="e">
        <f>AND(medidas!AJ131,"AAAAAH91rz0=")</f>
        <v>#VALUE!</v>
      </c>
      <c r="BK67" t="e">
        <f>AND(medidas!AK131,"AAAAAH91rz4=")</f>
        <v>#VALUE!</v>
      </c>
      <c r="BL67" t="e">
        <f>AND(medidas!AL131,"AAAAAH91rz8=")</f>
        <v>#VALUE!</v>
      </c>
      <c r="BM67" t="e">
        <f>AND(medidas!AM131,"AAAAAH91r0A=")</f>
        <v>#VALUE!</v>
      </c>
      <c r="BN67" t="e">
        <f>AND(medidas!AN131,"AAAAAH91r0E=")</f>
        <v>#VALUE!</v>
      </c>
      <c r="BO67" t="e">
        <f>AND(medidas!AO131,"AAAAAH91r0I=")</f>
        <v>#VALUE!</v>
      </c>
      <c r="BP67" t="e">
        <f>AND(medidas!AP131,"AAAAAH91r0M=")</f>
        <v>#VALUE!</v>
      </c>
      <c r="BQ67" t="e">
        <f>AND(medidas!AQ131,"AAAAAH91r0Q=")</f>
        <v>#VALUE!</v>
      </c>
      <c r="BR67" t="e">
        <f>AND(medidas!AR131,"AAAAAH91r0U=")</f>
        <v>#VALUE!</v>
      </c>
      <c r="BS67" t="e">
        <f>AND(medidas!AS131,"AAAAAH91r0Y=")</f>
        <v>#VALUE!</v>
      </c>
      <c r="BT67" t="e">
        <f>AND(medidas!AT131,"AAAAAH91r0c=")</f>
        <v>#VALUE!</v>
      </c>
      <c r="BU67" t="e">
        <f>AND(medidas!AU131,"AAAAAH91r0g=")</f>
        <v>#VALUE!</v>
      </c>
      <c r="BV67" t="e">
        <f>AND(medidas!AV131,"AAAAAH91r0k=")</f>
        <v>#VALUE!</v>
      </c>
      <c r="BW67" t="e">
        <f>AND(medidas!AW131,"AAAAAH91r0o=")</f>
        <v>#VALUE!</v>
      </c>
      <c r="BX67" t="e">
        <f>AND(medidas!AX131,"AAAAAH91r0s=")</f>
        <v>#VALUE!</v>
      </c>
      <c r="BY67" t="e">
        <f>AND(medidas!AY131,"AAAAAH91r0w=")</f>
        <v>#VALUE!</v>
      </c>
      <c r="BZ67" t="e">
        <f>AND(medidas!AZ131,"AAAAAH91r00=")</f>
        <v>#VALUE!</v>
      </c>
      <c r="CA67" t="e">
        <f>AND(medidas!BA131,"AAAAAH91r04=")</f>
        <v>#VALUE!</v>
      </c>
      <c r="CB67" t="e">
        <f>AND(medidas!BB131,"AAAAAH91r08=")</f>
        <v>#VALUE!</v>
      </c>
      <c r="CC67" t="e">
        <f>AND(medidas!BC131,"AAAAAH91r1A=")</f>
        <v>#VALUE!</v>
      </c>
      <c r="CD67" t="e">
        <f>AND(medidas!BD131,"AAAAAH91r1E=")</f>
        <v>#VALUE!</v>
      </c>
      <c r="CE67" t="e">
        <f>AND(medidas!BE131,"AAAAAH91r1I=")</f>
        <v>#VALUE!</v>
      </c>
      <c r="CF67" t="e">
        <f>AND(medidas!BF131,"AAAAAH91r1M=")</f>
        <v>#VALUE!</v>
      </c>
      <c r="CG67" t="e">
        <f>AND(medidas!BG131,"AAAAAH91r1Q=")</f>
        <v>#VALUE!</v>
      </c>
      <c r="CH67" t="e">
        <f>AND(medidas!BH131,"AAAAAH91r1U=")</f>
        <v>#VALUE!</v>
      </c>
      <c r="CI67" t="e">
        <f>AND(medidas!BI131,"AAAAAH91r1Y=")</f>
        <v>#VALUE!</v>
      </c>
      <c r="CJ67" t="e">
        <f>AND(medidas!BJ131,"AAAAAH91r1c=")</f>
        <v>#VALUE!</v>
      </c>
      <c r="CK67" t="e">
        <f>AND(medidas!BK131,"AAAAAH91r1g=")</f>
        <v>#VALUE!</v>
      </c>
      <c r="CL67" t="e">
        <f>AND(medidas!BL131,"AAAAAH91r1k=")</f>
        <v>#VALUE!</v>
      </c>
      <c r="CM67" t="e">
        <f>AND(medidas!BM131,"AAAAAH91r1o=")</f>
        <v>#VALUE!</v>
      </c>
      <c r="CN67" t="e">
        <f>AND(medidas!BN131,"AAAAAH91r1s=")</f>
        <v>#VALUE!</v>
      </c>
      <c r="CO67" t="e">
        <f>AND(medidas!BO131,"AAAAAH91r1w=")</f>
        <v>#VALUE!</v>
      </c>
      <c r="CP67" t="e">
        <f>AND(medidas!BP131,"AAAAAH91r10=")</f>
        <v>#VALUE!</v>
      </c>
      <c r="CQ67" t="e">
        <f>AND(medidas!BQ131,"AAAAAH91r14=")</f>
        <v>#VALUE!</v>
      </c>
      <c r="CR67" t="e">
        <f>AND(medidas!BR131,"AAAAAH91r18=")</f>
        <v>#VALUE!</v>
      </c>
      <c r="CS67" t="e">
        <f>AND(medidas!BS131,"AAAAAH91r2A=")</f>
        <v>#VALUE!</v>
      </c>
      <c r="CT67" t="e">
        <f>AND(medidas!BT131,"AAAAAH91r2E=")</f>
        <v>#VALUE!</v>
      </c>
      <c r="CU67" t="e">
        <f>AND(medidas!BU131,"AAAAAH91r2I=")</f>
        <v>#VALUE!</v>
      </c>
      <c r="CV67" t="e">
        <f>AND(medidas!BV131,"AAAAAH91r2M=")</f>
        <v>#VALUE!</v>
      </c>
      <c r="CW67" t="e">
        <f>AND(medidas!BW131,"AAAAAH91r2Q=")</f>
        <v>#VALUE!</v>
      </c>
      <c r="CX67" t="e">
        <f>AND(medidas!BX131,"AAAAAH91r2U=")</f>
        <v>#VALUE!</v>
      </c>
      <c r="CY67" t="e">
        <f>AND(medidas!BY131,"AAAAAH91r2Y=")</f>
        <v>#VALUE!</v>
      </c>
      <c r="CZ67">
        <f>IF(medidas!132:132,"AAAAAH91r2c=",0)</f>
        <v>0</v>
      </c>
      <c r="DA67" t="e">
        <f>AND(medidas!B132,"AAAAAH91r2g=")</f>
        <v>#VALUE!</v>
      </c>
      <c r="DB67" t="e">
        <f>AND(medidas!C132,"AAAAAH91r2k=")</f>
        <v>#VALUE!</v>
      </c>
      <c r="DC67" t="e">
        <f>AND(medidas!D132,"AAAAAH91r2o=")</f>
        <v>#VALUE!</v>
      </c>
      <c r="DD67" t="e">
        <f>AND(medidas!E132,"AAAAAH91r2s=")</f>
        <v>#VALUE!</v>
      </c>
      <c r="DE67" t="e">
        <f>AND(medidas!F132,"AAAAAH91r2w=")</f>
        <v>#VALUE!</v>
      </c>
      <c r="DF67" t="e">
        <f>AND(medidas!G132,"AAAAAH91r20=")</f>
        <v>#VALUE!</v>
      </c>
      <c r="DG67" t="e">
        <f>AND(medidas!H132,"AAAAAH91r24=")</f>
        <v>#VALUE!</v>
      </c>
      <c r="DH67" t="e">
        <f>AND(medidas!I132,"AAAAAH91r28=")</f>
        <v>#VALUE!</v>
      </c>
      <c r="DI67" t="e">
        <f>AND(medidas!J132,"AAAAAH91r3A=")</f>
        <v>#VALUE!</v>
      </c>
      <c r="DJ67" t="e">
        <f>AND(medidas!K132,"AAAAAH91r3E=")</f>
        <v>#VALUE!</v>
      </c>
      <c r="DK67" t="e">
        <f>AND(medidas!L132,"AAAAAH91r3I=")</f>
        <v>#VALUE!</v>
      </c>
      <c r="DL67" t="e">
        <f>AND(medidas!M132,"AAAAAH91r3M=")</f>
        <v>#VALUE!</v>
      </c>
      <c r="DM67" t="e">
        <f>AND(medidas!N132,"AAAAAH91r3Q=")</f>
        <v>#VALUE!</v>
      </c>
      <c r="DN67" t="e">
        <f>AND(medidas!O132,"AAAAAH91r3U=")</f>
        <v>#VALUE!</v>
      </c>
      <c r="DO67" t="e">
        <f>AND(medidas!P132,"AAAAAH91r3Y=")</f>
        <v>#VALUE!</v>
      </c>
      <c r="DP67" t="e">
        <f>AND(medidas!Q132,"AAAAAH91r3c=")</f>
        <v>#VALUE!</v>
      </c>
      <c r="DQ67" t="e">
        <f>AND(medidas!R132,"AAAAAH91r3g=")</f>
        <v>#VALUE!</v>
      </c>
      <c r="DR67" t="e">
        <f>AND(medidas!S132,"AAAAAH91r3k=")</f>
        <v>#VALUE!</v>
      </c>
      <c r="DS67" t="e">
        <f>AND(medidas!T132,"AAAAAH91r3o=")</f>
        <v>#VALUE!</v>
      </c>
      <c r="DT67" t="e">
        <f>AND(medidas!U132,"AAAAAH91r3s=")</f>
        <v>#VALUE!</v>
      </c>
      <c r="DU67" t="e">
        <f>AND(medidas!V132,"AAAAAH91r3w=")</f>
        <v>#VALUE!</v>
      </c>
      <c r="DV67" t="e">
        <f>AND(medidas!W132,"AAAAAH91r30=")</f>
        <v>#VALUE!</v>
      </c>
      <c r="DW67" t="e">
        <f>AND(medidas!X132,"AAAAAH91r34=")</f>
        <v>#VALUE!</v>
      </c>
      <c r="DX67" t="e">
        <f>AND(medidas!Y132,"AAAAAH91r38=")</f>
        <v>#VALUE!</v>
      </c>
      <c r="DY67" t="e">
        <f>AND(medidas!Z132,"AAAAAH91r4A=")</f>
        <v>#VALUE!</v>
      </c>
      <c r="DZ67" t="e">
        <f>AND(medidas!AA132,"AAAAAH91r4E=")</f>
        <v>#VALUE!</v>
      </c>
      <c r="EA67" t="e">
        <f>AND(medidas!AB132,"AAAAAH91r4I=")</f>
        <v>#VALUE!</v>
      </c>
      <c r="EB67" t="e">
        <f>AND(medidas!AC132,"AAAAAH91r4M=")</f>
        <v>#VALUE!</v>
      </c>
      <c r="EC67" t="e">
        <f>AND(medidas!AD132,"AAAAAH91r4Q=")</f>
        <v>#VALUE!</v>
      </c>
      <c r="ED67" t="e">
        <f>AND(medidas!AE132,"AAAAAH91r4U=")</f>
        <v>#VALUE!</v>
      </c>
      <c r="EE67" t="e">
        <f>AND(medidas!AF132,"AAAAAH91r4Y=")</f>
        <v>#VALUE!</v>
      </c>
      <c r="EF67" t="e">
        <f>AND(medidas!AG132,"AAAAAH91r4c=")</f>
        <v>#VALUE!</v>
      </c>
      <c r="EG67" t="e">
        <f>AND(medidas!AH132,"AAAAAH91r4g=")</f>
        <v>#VALUE!</v>
      </c>
      <c r="EH67" t="e">
        <f>AND(medidas!AI132,"AAAAAH91r4k=")</f>
        <v>#VALUE!</v>
      </c>
      <c r="EI67" t="e">
        <f>AND(medidas!AJ132,"AAAAAH91r4o=")</f>
        <v>#VALUE!</v>
      </c>
      <c r="EJ67" t="e">
        <f>AND(medidas!AK132,"AAAAAH91r4s=")</f>
        <v>#VALUE!</v>
      </c>
      <c r="EK67" t="e">
        <f>AND(medidas!AL132,"AAAAAH91r4w=")</f>
        <v>#VALUE!</v>
      </c>
      <c r="EL67" t="e">
        <f>AND(medidas!AM132,"AAAAAH91r40=")</f>
        <v>#VALUE!</v>
      </c>
      <c r="EM67" t="e">
        <f>AND(medidas!AN132,"AAAAAH91r44=")</f>
        <v>#VALUE!</v>
      </c>
      <c r="EN67" t="e">
        <f>AND(medidas!AO132,"AAAAAH91r48=")</f>
        <v>#VALUE!</v>
      </c>
      <c r="EO67" t="e">
        <f>AND(medidas!AP132,"AAAAAH91r5A=")</f>
        <v>#VALUE!</v>
      </c>
      <c r="EP67" t="e">
        <f>AND(medidas!AQ132,"AAAAAH91r5E=")</f>
        <v>#VALUE!</v>
      </c>
      <c r="EQ67" t="e">
        <f>AND(medidas!AR132,"AAAAAH91r5I=")</f>
        <v>#VALUE!</v>
      </c>
      <c r="ER67" t="e">
        <f>AND(medidas!AS132,"AAAAAH91r5M=")</f>
        <v>#VALUE!</v>
      </c>
      <c r="ES67" t="e">
        <f>AND(medidas!AT132,"AAAAAH91r5Q=")</f>
        <v>#VALUE!</v>
      </c>
      <c r="ET67" t="e">
        <f>AND(medidas!AU132,"AAAAAH91r5U=")</f>
        <v>#VALUE!</v>
      </c>
      <c r="EU67" t="e">
        <f>AND(medidas!AV132,"AAAAAH91r5Y=")</f>
        <v>#VALUE!</v>
      </c>
      <c r="EV67" t="e">
        <f>AND(medidas!AW132,"AAAAAH91r5c=")</f>
        <v>#VALUE!</v>
      </c>
      <c r="EW67" t="e">
        <f>AND(medidas!AX132,"AAAAAH91r5g=")</f>
        <v>#VALUE!</v>
      </c>
      <c r="EX67" t="e">
        <f>AND(medidas!AY132,"AAAAAH91r5k=")</f>
        <v>#VALUE!</v>
      </c>
      <c r="EY67" t="e">
        <f>AND(medidas!AZ132,"AAAAAH91r5o=")</f>
        <v>#VALUE!</v>
      </c>
      <c r="EZ67" t="e">
        <f>AND(medidas!BA132,"AAAAAH91r5s=")</f>
        <v>#VALUE!</v>
      </c>
      <c r="FA67" t="e">
        <f>AND(medidas!BB132,"AAAAAH91r5w=")</f>
        <v>#VALUE!</v>
      </c>
      <c r="FB67" t="e">
        <f>AND(medidas!BC132,"AAAAAH91r50=")</f>
        <v>#VALUE!</v>
      </c>
      <c r="FC67" t="e">
        <f>AND(medidas!BD132,"AAAAAH91r54=")</f>
        <v>#VALUE!</v>
      </c>
      <c r="FD67" t="e">
        <f>AND(medidas!BE132,"AAAAAH91r58=")</f>
        <v>#VALUE!</v>
      </c>
      <c r="FE67" t="e">
        <f>AND(medidas!BF132,"AAAAAH91r6A=")</f>
        <v>#VALUE!</v>
      </c>
      <c r="FF67" t="e">
        <f>AND(medidas!BG132,"AAAAAH91r6E=")</f>
        <v>#VALUE!</v>
      </c>
      <c r="FG67" t="e">
        <f>AND(medidas!BH132,"AAAAAH91r6I=")</f>
        <v>#VALUE!</v>
      </c>
      <c r="FH67" t="e">
        <f>AND(medidas!BI132,"AAAAAH91r6M=")</f>
        <v>#VALUE!</v>
      </c>
      <c r="FI67" t="e">
        <f>AND(medidas!BJ132,"AAAAAH91r6Q=")</f>
        <v>#VALUE!</v>
      </c>
      <c r="FJ67" t="e">
        <f>AND(medidas!BK132,"AAAAAH91r6U=")</f>
        <v>#VALUE!</v>
      </c>
      <c r="FK67" t="e">
        <f>AND(medidas!BL132,"AAAAAH91r6Y=")</f>
        <v>#VALUE!</v>
      </c>
      <c r="FL67" t="e">
        <f>AND(medidas!BM132,"AAAAAH91r6c=")</f>
        <v>#VALUE!</v>
      </c>
      <c r="FM67" t="e">
        <f>AND(medidas!BN132,"AAAAAH91r6g=")</f>
        <v>#VALUE!</v>
      </c>
      <c r="FN67" t="e">
        <f>AND(medidas!BO132,"AAAAAH91r6k=")</f>
        <v>#VALUE!</v>
      </c>
      <c r="FO67" t="e">
        <f>AND(medidas!BP132,"AAAAAH91r6o=")</f>
        <v>#VALUE!</v>
      </c>
      <c r="FP67" t="e">
        <f>AND(medidas!BQ132,"AAAAAH91r6s=")</f>
        <v>#VALUE!</v>
      </c>
      <c r="FQ67" t="e">
        <f>AND(medidas!BR132,"AAAAAH91r6w=")</f>
        <v>#VALUE!</v>
      </c>
      <c r="FR67" t="e">
        <f>AND(medidas!BS132,"AAAAAH91r60=")</f>
        <v>#VALUE!</v>
      </c>
      <c r="FS67" t="e">
        <f>AND(medidas!BT132,"AAAAAH91r64=")</f>
        <v>#VALUE!</v>
      </c>
      <c r="FT67" t="e">
        <f>AND(medidas!BU132,"AAAAAH91r68=")</f>
        <v>#VALUE!</v>
      </c>
      <c r="FU67" t="e">
        <f>AND(medidas!BV132,"AAAAAH91r7A=")</f>
        <v>#VALUE!</v>
      </c>
      <c r="FV67" t="e">
        <f>AND(medidas!BW132,"AAAAAH91r7E=")</f>
        <v>#VALUE!</v>
      </c>
      <c r="FW67" t="e">
        <f>AND(medidas!BX132,"AAAAAH91r7I=")</f>
        <v>#VALUE!</v>
      </c>
      <c r="FX67" t="e">
        <f>AND(medidas!BY132,"AAAAAH91r7M=")</f>
        <v>#VALUE!</v>
      </c>
      <c r="FY67">
        <f>IF(medidas!133:133,"AAAAAH91r7Q=",0)</f>
        <v>0</v>
      </c>
      <c r="FZ67" t="e">
        <f>AND(medidas!B133,"AAAAAH91r7U=")</f>
        <v>#VALUE!</v>
      </c>
      <c r="GA67" t="e">
        <f>AND(medidas!C133,"AAAAAH91r7Y=")</f>
        <v>#VALUE!</v>
      </c>
      <c r="GB67" t="e">
        <f>AND(medidas!D133,"AAAAAH91r7c=")</f>
        <v>#VALUE!</v>
      </c>
      <c r="GC67" t="e">
        <f>AND(medidas!E133,"AAAAAH91r7g=")</f>
        <v>#VALUE!</v>
      </c>
      <c r="GD67" t="e">
        <f>AND(medidas!F133,"AAAAAH91r7k=")</f>
        <v>#VALUE!</v>
      </c>
      <c r="GE67" t="e">
        <f>AND(medidas!G133,"AAAAAH91r7o=")</f>
        <v>#VALUE!</v>
      </c>
      <c r="GF67" t="e">
        <f>AND(medidas!H133,"AAAAAH91r7s=")</f>
        <v>#VALUE!</v>
      </c>
      <c r="GG67" t="e">
        <f>AND(medidas!I133,"AAAAAH91r7w=")</f>
        <v>#VALUE!</v>
      </c>
      <c r="GH67" t="e">
        <f>AND(medidas!J133,"AAAAAH91r70=")</f>
        <v>#VALUE!</v>
      </c>
      <c r="GI67" t="e">
        <f>AND(medidas!K133,"AAAAAH91r74=")</f>
        <v>#VALUE!</v>
      </c>
      <c r="GJ67" t="e">
        <f>AND(medidas!L133,"AAAAAH91r78=")</f>
        <v>#VALUE!</v>
      </c>
      <c r="GK67" t="e">
        <f>AND(medidas!M133,"AAAAAH91r8A=")</f>
        <v>#VALUE!</v>
      </c>
      <c r="GL67" t="e">
        <f>AND(medidas!N133,"AAAAAH91r8E=")</f>
        <v>#VALUE!</v>
      </c>
      <c r="GM67" t="e">
        <f>AND(medidas!O133,"AAAAAH91r8I=")</f>
        <v>#VALUE!</v>
      </c>
      <c r="GN67" t="e">
        <f>AND(medidas!P133,"AAAAAH91r8M=")</f>
        <v>#VALUE!</v>
      </c>
      <c r="GO67" t="e">
        <f>AND(medidas!Q133,"AAAAAH91r8Q=")</f>
        <v>#VALUE!</v>
      </c>
      <c r="GP67" t="e">
        <f>AND(medidas!R133,"AAAAAH91r8U=")</f>
        <v>#VALUE!</v>
      </c>
      <c r="GQ67" t="e">
        <f>AND(medidas!S133,"AAAAAH91r8Y=")</f>
        <v>#VALUE!</v>
      </c>
      <c r="GR67" t="e">
        <f>AND(medidas!T133,"AAAAAH91r8c=")</f>
        <v>#VALUE!</v>
      </c>
      <c r="GS67" t="e">
        <f>AND(medidas!U133,"AAAAAH91r8g=")</f>
        <v>#VALUE!</v>
      </c>
      <c r="GT67" t="e">
        <f>AND(medidas!V133,"AAAAAH91r8k=")</f>
        <v>#VALUE!</v>
      </c>
      <c r="GU67" t="e">
        <f>AND(medidas!W133,"AAAAAH91r8o=")</f>
        <v>#VALUE!</v>
      </c>
      <c r="GV67" t="e">
        <f>AND(medidas!X133,"AAAAAH91r8s=")</f>
        <v>#VALUE!</v>
      </c>
      <c r="GW67" t="e">
        <f>AND(medidas!Y133,"AAAAAH91r8w=")</f>
        <v>#VALUE!</v>
      </c>
      <c r="GX67" t="e">
        <f>AND(medidas!Z133,"AAAAAH91r80=")</f>
        <v>#VALUE!</v>
      </c>
      <c r="GY67" t="e">
        <f>AND(medidas!AA133,"AAAAAH91r84=")</f>
        <v>#VALUE!</v>
      </c>
      <c r="GZ67" t="e">
        <f>AND(medidas!AB133,"AAAAAH91r88=")</f>
        <v>#VALUE!</v>
      </c>
      <c r="HA67" t="e">
        <f>AND(medidas!AC133,"AAAAAH91r9A=")</f>
        <v>#VALUE!</v>
      </c>
      <c r="HB67" t="e">
        <f>AND(medidas!AD133,"AAAAAH91r9E=")</f>
        <v>#VALUE!</v>
      </c>
      <c r="HC67" t="e">
        <f>AND(medidas!AE133,"AAAAAH91r9I=")</f>
        <v>#VALUE!</v>
      </c>
      <c r="HD67" t="e">
        <f>AND(medidas!AF133,"AAAAAH91r9M=")</f>
        <v>#VALUE!</v>
      </c>
      <c r="HE67" t="e">
        <f>AND(medidas!AG133,"AAAAAH91r9Q=")</f>
        <v>#VALUE!</v>
      </c>
      <c r="HF67" t="e">
        <f>AND(medidas!AH133,"AAAAAH91r9U=")</f>
        <v>#VALUE!</v>
      </c>
      <c r="HG67" t="e">
        <f>AND(medidas!AI133,"AAAAAH91r9Y=")</f>
        <v>#VALUE!</v>
      </c>
      <c r="HH67" t="e">
        <f>AND(medidas!AJ133,"AAAAAH91r9c=")</f>
        <v>#VALUE!</v>
      </c>
      <c r="HI67" t="e">
        <f>AND(medidas!AK133,"AAAAAH91r9g=")</f>
        <v>#VALUE!</v>
      </c>
      <c r="HJ67" t="e">
        <f>AND(medidas!AL133,"AAAAAH91r9k=")</f>
        <v>#VALUE!</v>
      </c>
      <c r="HK67" t="e">
        <f>AND(medidas!AM133,"AAAAAH91r9o=")</f>
        <v>#VALUE!</v>
      </c>
      <c r="HL67" t="e">
        <f>AND(medidas!AN133,"AAAAAH91r9s=")</f>
        <v>#VALUE!</v>
      </c>
      <c r="HM67" t="e">
        <f>AND(medidas!AO133,"AAAAAH91r9w=")</f>
        <v>#VALUE!</v>
      </c>
      <c r="HN67" t="e">
        <f>AND(medidas!AP133,"AAAAAH91r90=")</f>
        <v>#VALUE!</v>
      </c>
      <c r="HO67" t="e">
        <f>AND(medidas!AQ133,"AAAAAH91r94=")</f>
        <v>#VALUE!</v>
      </c>
      <c r="HP67" t="e">
        <f>AND(medidas!AR133,"AAAAAH91r98=")</f>
        <v>#VALUE!</v>
      </c>
      <c r="HQ67" t="e">
        <f>AND(medidas!AS133,"AAAAAH91r+A=")</f>
        <v>#VALUE!</v>
      </c>
      <c r="HR67" t="e">
        <f>AND(medidas!AT133,"AAAAAH91r+E=")</f>
        <v>#VALUE!</v>
      </c>
      <c r="HS67" t="e">
        <f>AND(medidas!AU133,"AAAAAH91r+I=")</f>
        <v>#VALUE!</v>
      </c>
      <c r="HT67" t="e">
        <f>AND(medidas!AV133,"AAAAAH91r+M=")</f>
        <v>#VALUE!</v>
      </c>
      <c r="HU67" t="e">
        <f>AND(medidas!AW133,"AAAAAH91r+Q=")</f>
        <v>#VALUE!</v>
      </c>
      <c r="HV67" t="e">
        <f>AND(medidas!AX133,"AAAAAH91r+U=")</f>
        <v>#VALUE!</v>
      </c>
      <c r="HW67" t="e">
        <f>AND(medidas!AY133,"AAAAAH91r+Y=")</f>
        <v>#VALUE!</v>
      </c>
      <c r="HX67" t="e">
        <f>AND(medidas!AZ133,"AAAAAH91r+c=")</f>
        <v>#VALUE!</v>
      </c>
      <c r="HY67" t="e">
        <f>AND(medidas!BA133,"AAAAAH91r+g=")</f>
        <v>#VALUE!</v>
      </c>
      <c r="HZ67" t="e">
        <f>AND(medidas!BB133,"AAAAAH91r+k=")</f>
        <v>#VALUE!</v>
      </c>
      <c r="IA67" t="e">
        <f>AND(medidas!BC133,"AAAAAH91r+o=")</f>
        <v>#VALUE!</v>
      </c>
      <c r="IB67" t="e">
        <f>AND(medidas!BD133,"AAAAAH91r+s=")</f>
        <v>#VALUE!</v>
      </c>
      <c r="IC67" t="e">
        <f>AND(medidas!BE133,"AAAAAH91r+w=")</f>
        <v>#VALUE!</v>
      </c>
      <c r="ID67" t="e">
        <f>AND(medidas!BF133,"AAAAAH91r+0=")</f>
        <v>#VALUE!</v>
      </c>
      <c r="IE67" t="e">
        <f>AND(medidas!BG133,"AAAAAH91r+4=")</f>
        <v>#VALUE!</v>
      </c>
      <c r="IF67" t="e">
        <f>AND(medidas!BH133,"AAAAAH91r+8=")</f>
        <v>#VALUE!</v>
      </c>
      <c r="IG67" t="e">
        <f>AND(medidas!BI133,"AAAAAH91r/A=")</f>
        <v>#VALUE!</v>
      </c>
      <c r="IH67" t="e">
        <f>AND(medidas!BJ133,"AAAAAH91r/E=")</f>
        <v>#VALUE!</v>
      </c>
      <c r="II67" t="e">
        <f>AND(medidas!BK133,"AAAAAH91r/I=")</f>
        <v>#VALUE!</v>
      </c>
      <c r="IJ67" t="e">
        <f>AND(medidas!BL133,"AAAAAH91r/M=")</f>
        <v>#VALUE!</v>
      </c>
      <c r="IK67" t="e">
        <f>AND(medidas!BM133,"AAAAAH91r/Q=")</f>
        <v>#VALUE!</v>
      </c>
      <c r="IL67" t="e">
        <f>AND(medidas!BN133,"AAAAAH91r/U=")</f>
        <v>#VALUE!</v>
      </c>
      <c r="IM67" t="e">
        <f>AND(medidas!BO133,"AAAAAH91r/Y=")</f>
        <v>#VALUE!</v>
      </c>
      <c r="IN67" t="e">
        <f>AND(medidas!BP133,"AAAAAH91r/c=")</f>
        <v>#VALUE!</v>
      </c>
      <c r="IO67" t="e">
        <f>AND(medidas!BQ133,"AAAAAH91r/g=")</f>
        <v>#VALUE!</v>
      </c>
      <c r="IP67" t="e">
        <f>AND(medidas!BR133,"AAAAAH91r/k=")</f>
        <v>#VALUE!</v>
      </c>
      <c r="IQ67" t="e">
        <f>AND(medidas!BS133,"AAAAAH91r/o=")</f>
        <v>#VALUE!</v>
      </c>
      <c r="IR67" t="e">
        <f>AND(medidas!BT133,"AAAAAH91r/s=")</f>
        <v>#VALUE!</v>
      </c>
      <c r="IS67" t="e">
        <f>AND(medidas!BU133,"AAAAAH91r/w=")</f>
        <v>#VALUE!</v>
      </c>
      <c r="IT67" t="e">
        <f>AND(medidas!BV133,"AAAAAH91r/0=")</f>
        <v>#VALUE!</v>
      </c>
      <c r="IU67" t="e">
        <f>AND(medidas!BW133,"AAAAAH91r/4=")</f>
        <v>#VALUE!</v>
      </c>
      <c r="IV67" t="e">
        <f>AND(medidas!BX133,"AAAAAH91r/8=")</f>
        <v>#VALUE!</v>
      </c>
    </row>
    <row r="68" spans="1:256" x14ac:dyDescent="0.2">
      <c r="A68" t="e">
        <f>AND(medidas!BY133,"AAAAAB/27wA=")</f>
        <v>#VALUE!</v>
      </c>
      <c r="B68">
        <f>IF(medidas!134:134,"AAAAAB/27wE=",0)</f>
        <v>0</v>
      </c>
      <c r="C68" t="e">
        <f>AND(medidas!B134,"AAAAAB/27wI=")</f>
        <v>#VALUE!</v>
      </c>
      <c r="D68" t="e">
        <f>AND(medidas!C134,"AAAAAB/27wM=")</f>
        <v>#VALUE!</v>
      </c>
      <c r="E68" t="e">
        <f>AND(medidas!D134,"AAAAAB/27wQ=")</f>
        <v>#VALUE!</v>
      </c>
      <c r="F68" t="e">
        <f>AND(medidas!E134,"AAAAAB/27wU=")</f>
        <v>#VALUE!</v>
      </c>
      <c r="G68" t="e">
        <f>AND(medidas!F134,"AAAAAB/27wY=")</f>
        <v>#VALUE!</v>
      </c>
      <c r="H68" t="e">
        <f>AND(medidas!G134,"AAAAAB/27wc=")</f>
        <v>#VALUE!</v>
      </c>
      <c r="I68" t="e">
        <f>AND(medidas!H134,"AAAAAB/27wg=")</f>
        <v>#VALUE!</v>
      </c>
      <c r="J68" t="e">
        <f>AND(medidas!I134,"AAAAAB/27wk=")</f>
        <v>#VALUE!</v>
      </c>
      <c r="K68" t="e">
        <f>AND(medidas!J134,"AAAAAB/27wo=")</f>
        <v>#VALUE!</v>
      </c>
      <c r="L68" t="e">
        <f>AND(medidas!K134,"AAAAAB/27ws=")</f>
        <v>#VALUE!</v>
      </c>
      <c r="M68" t="e">
        <f>AND(medidas!L134,"AAAAAB/27ww=")</f>
        <v>#VALUE!</v>
      </c>
      <c r="N68" t="e">
        <f>AND(medidas!M134,"AAAAAB/27w0=")</f>
        <v>#VALUE!</v>
      </c>
      <c r="O68" t="e">
        <f>AND(medidas!N134,"AAAAAB/27w4=")</f>
        <v>#VALUE!</v>
      </c>
      <c r="P68" t="e">
        <f>AND(medidas!O134,"AAAAAB/27w8=")</f>
        <v>#VALUE!</v>
      </c>
      <c r="Q68" t="e">
        <f>AND(medidas!P134,"AAAAAB/27xA=")</f>
        <v>#VALUE!</v>
      </c>
      <c r="R68" t="e">
        <f>AND(medidas!Q134,"AAAAAB/27xE=")</f>
        <v>#VALUE!</v>
      </c>
      <c r="S68" t="e">
        <f>AND(medidas!R134,"AAAAAB/27xI=")</f>
        <v>#VALUE!</v>
      </c>
      <c r="T68" t="e">
        <f>AND(medidas!S134,"AAAAAB/27xM=")</f>
        <v>#VALUE!</v>
      </c>
      <c r="U68" t="e">
        <f>AND(medidas!T134,"AAAAAB/27xQ=")</f>
        <v>#VALUE!</v>
      </c>
      <c r="V68" t="e">
        <f>AND(medidas!U134,"AAAAAB/27xU=")</f>
        <v>#VALUE!</v>
      </c>
      <c r="W68" t="e">
        <f>AND(medidas!V134,"AAAAAB/27xY=")</f>
        <v>#VALUE!</v>
      </c>
      <c r="X68" t="e">
        <f>AND(medidas!W134,"AAAAAB/27xc=")</f>
        <v>#VALUE!</v>
      </c>
      <c r="Y68" t="e">
        <f>AND(medidas!X134,"AAAAAB/27xg=")</f>
        <v>#VALUE!</v>
      </c>
      <c r="Z68" t="e">
        <f>AND(medidas!Y134,"AAAAAB/27xk=")</f>
        <v>#VALUE!</v>
      </c>
      <c r="AA68" t="e">
        <f>AND(medidas!Z134,"AAAAAB/27xo=")</f>
        <v>#VALUE!</v>
      </c>
      <c r="AB68" t="e">
        <f>AND(medidas!AA134,"AAAAAB/27xs=")</f>
        <v>#VALUE!</v>
      </c>
      <c r="AC68" t="e">
        <f>AND(medidas!AB134,"AAAAAB/27xw=")</f>
        <v>#VALUE!</v>
      </c>
      <c r="AD68" t="e">
        <f>AND(medidas!AC134,"AAAAAB/27x0=")</f>
        <v>#VALUE!</v>
      </c>
      <c r="AE68" t="e">
        <f>AND(medidas!AD134,"AAAAAB/27x4=")</f>
        <v>#VALUE!</v>
      </c>
      <c r="AF68" t="e">
        <f>AND(medidas!AE134,"AAAAAB/27x8=")</f>
        <v>#VALUE!</v>
      </c>
      <c r="AG68" t="e">
        <f>AND(medidas!AF134,"AAAAAB/27yA=")</f>
        <v>#VALUE!</v>
      </c>
      <c r="AH68" t="e">
        <f>AND(medidas!AG134,"AAAAAB/27yE=")</f>
        <v>#VALUE!</v>
      </c>
      <c r="AI68" t="e">
        <f>AND(medidas!AH134,"AAAAAB/27yI=")</f>
        <v>#VALUE!</v>
      </c>
      <c r="AJ68" t="e">
        <f>AND(medidas!AI134,"AAAAAB/27yM=")</f>
        <v>#VALUE!</v>
      </c>
      <c r="AK68" t="e">
        <f>AND(medidas!AJ134,"AAAAAB/27yQ=")</f>
        <v>#VALUE!</v>
      </c>
      <c r="AL68" t="e">
        <f>AND(medidas!AK134,"AAAAAB/27yU=")</f>
        <v>#VALUE!</v>
      </c>
      <c r="AM68" t="e">
        <f>AND(medidas!AL134,"AAAAAB/27yY=")</f>
        <v>#VALUE!</v>
      </c>
      <c r="AN68" t="e">
        <f>AND(medidas!AM134,"AAAAAB/27yc=")</f>
        <v>#VALUE!</v>
      </c>
      <c r="AO68" t="e">
        <f>AND(medidas!AN134,"AAAAAB/27yg=")</f>
        <v>#VALUE!</v>
      </c>
      <c r="AP68" t="e">
        <f>AND(medidas!AO134,"AAAAAB/27yk=")</f>
        <v>#VALUE!</v>
      </c>
      <c r="AQ68" t="e">
        <f>AND(medidas!AP134,"AAAAAB/27yo=")</f>
        <v>#VALUE!</v>
      </c>
      <c r="AR68" t="e">
        <f>AND(medidas!AQ134,"AAAAAB/27ys=")</f>
        <v>#VALUE!</v>
      </c>
      <c r="AS68" t="e">
        <f>AND(medidas!AR134,"AAAAAB/27yw=")</f>
        <v>#VALUE!</v>
      </c>
      <c r="AT68" t="e">
        <f>AND(medidas!AS134,"AAAAAB/27y0=")</f>
        <v>#VALUE!</v>
      </c>
      <c r="AU68" t="e">
        <f>AND(medidas!AT134,"AAAAAB/27y4=")</f>
        <v>#VALUE!</v>
      </c>
      <c r="AV68" t="e">
        <f>AND(medidas!AU134,"AAAAAB/27y8=")</f>
        <v>#VALUE!</v>
      </c>
      <c r="AW68" t="e">
        <f>AND(medidas!AV134,"AAAAAB/27zA=")</f>
        <v>#VALUE!</v>
      </c>
      <c r="AX68" t="e">
        <f>AND(medidas!AW134,"AAAAAB/27zE=")</f>
        <v>#VALUE!</v>
      </c>
      <c r="AY68" t="e">
        <f>AND(medidas!AX134,"AAAAAB/27zI=")</f>
        <v>#VALUE!</v>
      </c>
      <c r="AZ68" t="e">
        <f>AND(medidas!AY134,"AAAAAB/27zM=")</f>
        <v>#VALUE!</v>
      </c>
      <c r="BA68" t="e">
        <f>AND(medidas!AZ134,"AAAAAB/27zQ=")</f>
        <v>#VALUE!</v>
      </c>
      <c r="BB68" t="e">
        <f>AND(medidas!BA134,"AAAAAB/27zU=")</f>
        <v>#VALUE!</v>
      </c>
      <c r="BC68" t="e">
        <f>AND(medidas!BB134,"AAAAAB/27zY=")</f>
        <v>#VALUE!</v>
      </c>
      <c r="BD68" t="e">
        <f>AND(medidas!BC134,"AAAAAB/27zc=")</f>
        <v>#VALUE!</v>
      </c>
      <c r="BE68" t="e">
        <f>AND(medidas!BD134,"AAAAAB/27zg=")</f>
        <v>#VALUE!</v>
      </c>
      <c r="BF68" t="e">
        <f>AND(medidas!BE134,"AAAAAB/27zk=")</f>
        <v>#VALUE!</v>
      </c>
      <c r="BG68" t="e">
        <f>AND(medidas!BF134,"AAAAAB/27zo=")</f>
        <v>#VALUE!</v>
      </c>
      <c r="BH68" t="e">
        <f>AND(medidas!BG134,"AAAAAB/27zs=")</f>
        <v>#VALUE!</v>
      </c>
      <c r="BI68" t="e">
        <f>AND(medidas!BH134,"AAAAAB/27zw=")</f>
        <v>#VALUE!</v>
      </c>
      <c r="BJ68" t="e">
        <f>AND(medidas!BI134,"AAAAAB/27z0=")</f>
        <v>#VALUE!</v>
      </c>
      <c r="BK68" t="e">
        <f>AND(medidas!BJ134,"AAAAAB/27z4=")</f>
        <v>#VALUE!</v>
      </c>
      <c r="BL68" t="e">
        <f>AND(medidas!BK134,"AAAAAB/27z8=")</f>
        <v>#VALUE!</v>
      </c>
      <c r="BM68" t="e">
        <f>AND(medidas!BL134,"AAAAAB/270A=")</f>
        <v>#VALUE!</v>
      </c>
      <c r="BN68" t="e">
        <f>AND(medidas!BM134,"AAAAAB/270E=")</f>
        <v>#VALUE!</v>
      </c>
      <c r="BO68" t="e">
        <f>AND(medidas!BN134,"AAAAAB/270I=")</f>
        <v>#VALUE!</v>
      </c>
      <c r="BP68" t="e">
        <f>AND(medidas!BO134,"AAAAAB/270M=")</f>
        <v>#VALUE!</v>
      </c>
      <c r="BQ68" t="e">
        <f>AND(medidas!BP134,"AAAAAB/270Q=")</f>
        <v>#VALUE!</v>
      </c>
      <c r="BR68" t="e">
        <f>AND(medidas!BQ134,"AAAAAB/270U=")</f>
        <v>#VALUE!</v>
      </c>
      <c r="BS68" t="e">
        <f>AND(medidas!BR134,"AAAAAB/270Y=")</f>
        <v>#VALUE!</v>
      </c>
      <c r="BT68" t="e">
        <f>AND(medidas!BS134,"AAAAAB/270c=")</f>
        <v>#VALUE!</v>
      </c>
      <c r="BU68" t="e">
        <f>AND(medidas!BT134,"AAAAAB/270g=")</f>
        <v>#VALUE!</v>
      </c>
      <c r="BV68" t="e">
        <f>AND(medidas!BU134,"AAAAAB/270k=")</f>
        <v>#VALUE!</v>
      </c>
      <c r="BW68" t="e">
        <f>AND(medidas!BV134,"AAAAAB/270o=")</f>
        <v>#VALUE!</v>
      </c>
      <c r="BX68" t="e">
        <f>AND(medidas!BW134,"AAAAAB/270s=")</f>
        <v>#VALUE!</v>
      </c>
      <c r="BY68" t="e">
        <f>AND(medidas!BX134,"AAAAAB/270w=")</f>
        <v>#VALUE!</v>
      </c>
      <c r="BZ68" t="e">
        <f>AND(medidas!BY134,"AAAAAB/2700=")</f>
        <v>#VALUE!</v>
      </c>
      <c r="CA68">
        <f>IF(medidas!135:135,"AAAAAB/2704=",0)</f>
        <v>0</v>
      </c>
      <c r="CB68" t="e">
        <f>AND(medidas!B135,"AAAAAB/2708=")</f>
        <v>#VALUE!</v>
      </c>
      <c r="CC68" t="e">
        <f>AND(medidas!C135,"AAAAAB/271A=")</f>
        <v>#VALUE!</v>
      </c>
      <c r="CD68" t="e">
        <f>AND(medidas!D135,"AAAAAB/271E=")</f>
        <v>#VALUE!</v>
      </c>
      <c r="CE68" t="e">
        <f>AND(medidas!E135,"AAAAAB/271I=")</f>
        <v>#VALUE!</v>
      </c>
      <c r="CF68" t="e">
        <f>AND(medidas!F135,"AAAAAB/271M=")</f>
        <v>#VALUE!</v>
      </c>
      <c r="CG68" t="e">
        <f>AND(medidas!G135,"AAAAAB/271Q=")</f>
        <v>#VALUE!</v>
      </c>
      <c r="CH68" t="e">
        <f>AND(medidas!H135,"AAAAAB/271U=")</f>
        <v>#VALUE!</v>
      </c>
      <c r="CI68" t="e">
        <f>AND(medidas!I135,"AAAAAB/271Y=")</f>
        <v>#VALUE!</v>
      </c>
      <c r="CJ68" t="e">
        <f>AND(medidas!J135,"AAAAAB/271c=")</f>
        <v>#VALUE!</v>
      </c>
      <c r="CK68" t="e">
        <f>AND(medidas!K135,"AAAAAB/271g=")</f>
        <v>#VALUE!</v>
      </c>
      <c r="CL68" t="e">
        <f>AND(medidas!L135,"AAAAAB/271k=")</f>
        <v>#VALUE!</v>
      </c>
      <c r="CM68" t="e">
        <f>AND(medidas!M135,"AAAAAB/271o=")</f>
        <v>#VALUE!</v>
      </c>
      <c r="CN68" t="e">
        <f>AND(medidas!N135,"AAAAAB/271s=")</f>
        <v>#VALUE!</v>
      </c>
      <c r="CO68" t="e">
        <f>AND(medidas!O135,"AAAAAB/271w=")</f>
        <v>#VALUE!</v>
      </c>
      <c r="CP68" t="e">
        <f>AND(medidas!P135,"AAAAAB/2710=")</f>
        <v>#VALUE!</v>
      </c>
      <c r="CQ68" t="e">
        <f>AND(medidas!Q135,"AAAAAB/2714=")</f>
        <v>#VALUE!</v>
      </c>
      <c r="CR68" t="e">
        <f>AND(medidas!R135,"AAAAAB/2718=")</f>
        <v>#VALUE!</v>
      </c>
      <c r="CS68" t="e">
        <f>AND(medidas!S135,"AAAAAB/272A=")</f>
        <v>#VALUE!</v>
      </c>
      <c r="CT68" t="e">
        <f>AND(medidas!T135,"AAAAAB/272E=")</f>
        <v>#VALUE!</v>
      </c>
      <c r="CU68" t="e">
        <f>AND(medidas!U135,"AAAAAB/272I=")</f>
        <v>#VALUE!</v>
      </c>
      <c r="CV68" t="e">
        <f>AND(medidas!V135,"AAAAAB/272M=")</f>
        <v>#VALUE!</v>
      </c>
      <c r="CW68" t="e">
        <f>AND(medidas!W135,"AAAAAB/272Q=")</f>
        <v>#VALUE!</v>
      </c>
      <c r="CX68" t="e">
        <f>AND(medidas!X135,"AAAAAB/272U=")</f>
        <v>#VALUE!</v>
      </c>
      <c r="CY68" t="e">
        <f>AND(medidas!Y135,"AAAAAB/272Y=")</f>
        <v>#VALUE!</v>
      </c>
      <c r="CZ68" t="e">
        <f>AND(medidas!Z135,"AAAAAB/272c=")</f>
        <v>#VALUE!</v>
      </c>
      <c r="DA68" t="e">
        <f>AND(medidas!AA135,"AAAAAB/272g=")</f>
        <v>#VALUE!</v>
      </c>
      <c r="DB68" t="e">
        <f>AND(medidas!AB135,"AAAAAB/272k=")</f>
        <v>#VALUE!</v>
      </c>
      <c r="DC68" t="e">
        <f>AND(medidas!AC135,"AAAAAB/272o=")</f>
        <v>#VALUE!</v>
      </c>
      <c r="DD68" t="e">
        <f>AND(medidas!AD135,"AAAAAB/272s=")</f>
        <v>#VALUE!</v>
      </c>
      <c r="DE68" t="e">
        <f>AND(medidas!AE135,"AAAAAB/272w=")</f>
        <v>#VALUE!</v>
      </c>
      <c r="DF68" t="e">
        <f>AND(medidas!AF135,"AAAAAB/2720=")</f>
        <v>#VALUE!</v>
      </c>
      <c r="DG68" t="e">
        <f>AND(medidas!AG135,"AAAAAB/2724=")</f>
        <v>#VALUE!</v>
      </c>
      <c r="DH68" t="e">
        <f>AND(medidas!AH135,"AAAAAB/2728=")</f>
        <v>#VALUE!</v>
      </c>
      <c r="DI68" t="e">
        <f>AND(medidas!AI135,"AAAAAB/273A=")</f>
        <v>#VALUE!</v>
      </c>
      <c r="DJ68" t="e">
        <f>AND(medidas!AJ135,"AAAAAB/273E=")</f>
        <v>#VALUE!</v>
      </c>
      <c r="DK68" t="e">
        <f>AND(medidas!AK135,"AAAAAB/273I=")</f>
        <v>#VALUE!</v>
      </c>
      <c r="DL68" t="e">
        <f>AND(medidas!AL135,"AAAAAB/273M=")</f>
        <v>#VALUE!</v>
      </c>
      <c r="DM68" t="e">
        <f>AND(medidas!AM135,"AAAAAB/273Q=")</f>
        <v>#VALUE!</v>
      </c>
      <c r="DN68" t="e">
        <f>AND(medidas!AN135,"AAAAAB/273U=")</f>
        <v>#VALUE!</v>
      </c>
      <c r="DO68" t="e">
        <f>AND(medidas!AO135,"AAAAAB/273Y=")</f>
        <v>#VALUE!</v>
      </c>
      <c r="DP68" t="e">
        <f>AND(medidas!AP135,"AAAAAB/273c=")</f>
        <v>#VALUE!</v>
      </c>
      <c r="DQ68" t="e">
        <f>AND(medidas!AQ135,"AAAAAB/273g=")</f>
        <v>#VALUE!</v>
      </c>
      <c r="DR68" t="e">
        <f>AND(medidas!AR135,"AAAAAB/273k=")</f>
        <v>#VALUE!</v>
      </c>
      <c r="DS68" t="e">
        <f>AND(medidas!AS135,"AAAAAB/273o=")</f>
        <v>#VALUE!</v>
      </c>
      <c r="DT68" t="e">
        <f>AND(medidas!AT135,"AAAAAB/273s=")</f>
        <v>#VALUE!</v>
      </c>
      <c r="DU68" t="e">
        <f>AND(medidas!AU135,"AAAAAB/273w=")</f>
        <v>#VALUE!</v>
      </c>
      <c r="DV68" t="e">
        <f>AND(medidas!AV135,"AAAAAB/2730=")</f>
        <v>#VALUE!</v>
      </c>
      <c r="DW68" t="e">
        <f>AND(medidas!AW135,"AAAAAB/2734=")</f>
        <v>#VALUE!</v>
      </c>
      <c r="DX68" t="e">
        <f>AND(medidas!AX135,"AAAAAB/2738=")</f>
        <v>#VALUE!</v>
      </c>
      <c r="DY68" t="e">
        <f>AND(medidas!AY135,"AAAAAB/274A=")</f>
        <v>#VALUE!</v>
      </c>
      <c r="DZ68" t="e">
        <f>AND(medidas!AZ135,"AAAAAB/274E=")</f>
        <v>#VALUE!</v>
      </c>
      <c r="EA68" t="e">
        <f>AND(medidas!BA135,"AAAAAB/274I=")</f>
        <v>#VALUE!</v>
      </c>
      <c r="EB68" t="e">
        <f>AND(medidas!BB135,"AAAAAB/274M=")</f>
        <v>#VALUE!</v>
      </c>
      <c r="EC68" t="e">
        <f>AND(medidas!BC135,"AAAAAB/274Q=")</f>
        <v>#VALUE!</v>
      </c>
      <c r="ED68" t="e">
        <f>AND(medidas!BD135,"AAAAAB/274U=")</f>
        <v>#VALUE!</v>
      </c>
      <c r="EE68" t="e">
        <f>AND(medidas!BE135,"AAAAAB/274Y=")</f>
        <v>#VALUE!</v>
      </c>
      <c r="EF68" t="e">
        <f>AND(medidas!BF135,"AAAAAB/274c=")</f>
        <v>#VALUE!</v>
      </c>
      <c r="EG68" t="e">
        <f>AND(medidas!BG135,"AAAAAB/274g=")</f>
        <v>#VALUE!</v>
      </c>
      <c r="EH68" t="e">
        <f>AND(medidas!BH135,"AAAAAB/274k=")</f>
        <v>#VALUE!</v>
      </c>
      <c r="EI68" t="e">
        <f>AND(medidas!BI135,"AAAAAB/274o=")</f>
        <v>#VALUE!</v>
      </c>
      <c r="EJ68" t="e">
        <f>AND(medidas!BJ135,"AAAAAB/274s=")</f>
        <v>#VALUE!</v>
      </c>
      <c r="EK68" t="e">
        <f>AND(medidas!BK135,"AAAAAB/274w=")</f>
        <v>#VALUE!</v>
      </c>
      <c r="EL68" t="e">
        <f>AND(medidas!BL135,"AAAAAB/2740=")</f>
        <v>#VALUE!</v>
      </c>
      <c r="EM68" t="e">
        <f>AND(medidas!BM135,"AAAAAB/2744=")</f>
        <v>#VALUE!</v>
      </c>
      <c r="EN68" t="e">
        <f>AND(medidas!BN135,"AAAAAB/2748=")</f>
        <v>#VALUE!</v>
      </c>
      <c r="EO68" t="e">
        <f>AND(medidas!BO135,"AAAAAB/275A=")</f>
        <v>#VALUE!</v>
      </c>
      <c r="EP68" t="e">
        <f>AND(medidas!BP135,"AAAAAB/275E=")</f>
        <v>#VALUE!</v>
      </c>
      <c r="EQ68" t="e">
        <f>AND(medidas!BQ135,"AAAAAB/275I=")</f>
        <v>#VALUE!</v>
      </c>
      <c r="ER68" t="e">
        <f>AND(medidas!BR135,"AAAAAB/275M=")</f>
        <v>#VALUE!</v>
      </c>
      <c r="ES68" t="e">
        <f>AND(medidas!BS135,"AAAAAB/275Q=")</f>
        <v>#VALUE!</v>
      </c>
      <c r="ET68" t="e">
        <f>AND(medidas!BT135,"AAAAAB/275U=")</f>
        <v>#VALUE!</v>
      </c>
      <c r="EU68" t="e">
        <f>AND(medidas!BU135,"AAAAAB/275Y=")</f>
        <v>#VALUE!</v>
      </c>
      <c r="EV68" t="e">
        <f>AND(medidas!BV135,"AAAAAB/275c=")</f>
        <v>#VALUE!</v>
      </c>
      <c r="EW68" t="e">
        <f>AND(medidas!BW135,"AAAAAB/275g=")</f>
        <v>#VALUE!</v>
      </c>
      <c r="EX68" t="e">
        <f>AND(medidas!BX135,"AAAAAB/275k=")</f>
        <v>#VALUE!</v>
      </c>
      <c r="EY68" t="e">
        <f>AND(medidas!BY135,"AAAAAB/275o=")</f>
        <v>#VALUE!</v>
      </c>
      <c r="EZ68">
        <f>IF(medidas!136:136,"AAAAAB/275s=",0)</f>
        <v>0</v>
      </c>
      <c r="FA68" t="e">
        <f>AND(medidas!B136,"AAAAAB/275w=")</f>
        <v>#VALUE!</v>
      </c>
      <c r="FB68" t="e">
        <f>AND(medidas!C136,"AAAAAB/2750=")</f>
        <v>#VALUE!</v>
      </c>
      <c r="FC68" t="e">
        <f>AND(medidas!D136,"AAAAAB/2754=")</f>
        <v>#VALUE!</v>
      </c>
      <c r="FD68" t="e">
        <f>AND(medidas!E136,"AAAAAB/2758=")</f>
        <v>#VALUE!</v>
      </c>
      <c r="FE68" t="e">
        <f>AND(medidas!F136,"AAAAAB/276A=")</f>
        <v>#VALUE!</v>
      </c>
      <c r="FF68" t="e">
        <f>AND(medidas!G136,"AAAAAB/276E=")</f>
        <v>#VALUE!</v>
      </c>
      <c r="FG68" t="e">
        <f>AND(medidas!H136,"AAAAAB/276I=")</f>
        <v>#VALUE!</v>
      </c>
      <c r="FH68" t="e">
        <f>AND(medidas!I136,"AAAAAB/276M=")</f>
        <v>#VALUE!</v>
      </c>
      <c r="FI68" t="e">
        <f>AND(medidas!J136,"AAAAAB/276Q=")</f>
        <v>#VALUE!</v>
      </c>
      <c r="FJ68" t="e">
        <f>AND(medidas!K136,"AAAAAB/276U=")</f>
        <v>#VALUE!</v>
      </c>
      <c r="FK68" t="e">
        <f>AND(medidas!L136,"AAAAAB/276Y=")</f>
        <v>#VALUE!</v>
      </c>
      <c r="FL68" t="e">
        <f>AND(medidas!M136,"AAAAAB/276c=")</f>
        <v>#VALUE!</v>
      </c>
      <c r="FM68" t="e">
        <f>AND(medidas!N136,"AAAAAB/276g=")</f>
        <v>#VALUE!</v>
      </c>
      <c r="FN68" t="e">
        <f>AND(medidas!O136,"AAAAAB/276k=")</f>
        <v>#VALUE!</v>
      </c>
      <c r="FO68" t="e">
        <f>AND(medidas!P136,"AAAAAB/276o=")</f>
        <v>#VALUE!</v>
      </c>
      <c r="FP68" t="e">
        <f>AND(medidas!Q136,"AAAAAB/276s=")</f>
        <v>#VALUE!</v>
      </c>
      <c r="FQ68" t="e">
        <f>AND(medidas!R136,"AAAAAB/276w=")</f>
        <v>#VALUE!</v>
      </c>
      <c r="FR68" t="e">
        <f>AND(medidas!S136,"AAAAAB/2760=")</f>
        <v>#VALUE!</v>
      </c>
      <c r="FS68" t="e">
        <f>AND(medidas!T136,"AAAAAB/2764=")</f>
        <v>#VALUE!</v>
      </c>
      <c r="FT68" t="e">
        <f>AND(medidas!U136,"AAAAAB/2768=")</f>
        <v>#VALUE!</v>
      </c>
      <c r="FU68" t="e">
        <f>AND(medidas!V136,"AAAAAB/277A=")</f>
        <v>#VALUE!</v>
      </c>
      <c r="FV68" t="e">
        <f>AND(medidas!W136,"AAAAAB/277E=")</f>
        <v>#VALUE!</v>
      </c>
      <c r="FW68" t="e">
        <f>AND(medidas!X136,"AAAAAB/277I=")</f>
        <v>#VALUE!</v>
      </c>
      <c r="FX68" t="e">
        <f>AND(medidas!Y136,"AAAAAB/277M=")</f>
        <v>#VALUE!</v>
      </c>
      <c r="FY68" t="e">
        <f>AND(medidas!Z136,"AAAAAB/277Q=")</f>
        <v>#VALUE!</v>
      </c>
      <c r="FZ68" t="e">
        <f>AND(medidas!AA136,"AAAAAB/277U=")</f>
        <v>#VALUE!</v>
      </c>
      <c r="GA68" t="e">
        <f>AND(medidas!AB136,"AAAAAB/277Y=")</f>
        <v>#VALUE!</v>
      </c>
      <c r="GB68" t="e">
        <f>AND(medidas!AC136,"AAAAAB/277c=")</f>
        <v>#VALUE!</v>
      </c>
      <c r="GC68" t="e">
        <f>AND(medidas!AD136,"AAAAAB/277g=")</f>
        <v>#VALUE!</v>
      </c>
      <c r="GD68" t="e">
        <f>AND(medidas!AE136,"AAAAAB/277k=")</f>
        <v>#VALUE!</v>
      </c>
      <c r="GE68" t="e">
        <f>AND(medidas!AF136,"AAAAAB/277o=")</f>
        <v>#VALUE!</v>
      </c>
      <c r="GF68" t="e">
        <f>AND(medidas!AG136,"AAAAAB/277s=")</f>
        <v>#VALUE!</v>
      </c>
      <c r="GG68" t="e">
        <f>AND(medidas!AH136,"AAAAAB/277w=")</f>
        <v>#VALUE!</v>
      </c>
      <c r="GH68" t="e">
        <f>AND(medidas!AI136,"AAAAAB/2770=")</f>
        <v>#VALUE!</v>
      </c>
      <c r="GI68" t="e">
        <f>AND(medidas!AJ136,"AAAAAB/2774=")</f>
        <v>#VALUE!</v>
      </c>
      <c r="GJ68" t="e">
        <f>AND(medidas!AK136,"AAAAAB/2778=")</f>
        <v>#VALUE!</v>
      </c>
      <c r="GK68" t="e">
        <f>AND(medidas!AL136,"AAAAAB/278A=")</f>
        <v>#VALUE!</v>
      </c>
      <c r="GL68" t="e">
        <f>AND(medidas!AM136,"AAAAAB/278E=")</f>
        <v>#VALUE!</v>
      </c>
      <c r="GM68" t="e">
        <f>AND(medidas!AN136,"AAAAAB/278I=")</f>
        <v>#VALUE!</v>
      </c>
      <c r="GN68" t="e">
        <f>AND(medidas!AO136,"AAAAAB/278M=")</f>
        <v>#VALUE!</v>
      </c>
      <c r="GO68" t="e">
        <f>AND(medidas!AP136,"AAAAAB/278Q=")</f>
        <v>#VALUE!</v>
      </c>
      <c r="GP68" t="e">
        <f>AND(medidas!AQ136,"AAAAAB/278U=")</f>
        <v>#VALUE!</v>
      </c>
      <c r="GQ68" t="e">
        <f>AND(medidas!AR136,"AAAAAB/278Y=")</f>
        <v>#VALUE!</v>
      </c>
      <c r="GR68" t="e">
        <f>AND(medidas!AS136,"AAAAAB/278c=")</f>
        <v>#VALUE!</v>
      </c>
      <c r="GS68" t="e">
        <f>AND(medidas!AT136,"AAAAAB/278g=")</f>
        <v>#VALUE!</v>
      </c>
      <c r="GT68" t="e">
        <f>AND(medidas!AU136,"AAAAAB/278k=")</f>
        <v>#VALUE!</v>
      </c>
      <c r="GU68" t="e">
        <f>AND(medidas!AV136,"AAAAAB/278o=")</f>
        <v>#VALUE!</v>
      </c>
      <c r="GV68" t="e">
        <f>AND(medidas!AW136,"AAAAAB/278s=")</f>
        <v>#VALUE!</v>
      </c>
      <c r="GW68" t="e">
        <f>AND(medidas!AX136,"AAAAAB/278w=")</f>
        <v>#VALUE!</v>
      </c>
      <c r="GX68" t="e">
        <f>AND(medidas!AY136,"AAAAAB/2780=")</f>
        <v>#VALUE!</v>
      </c>
      <c r="GY68" t="e">
        <f>AND(medidas!AZ136,"AAAAAB/2784=")</f>
        <v>#VALUE!</v>
      </c>
      <c r="GZ68" t="e">
        <f>AND(medidas!BA136,"AAAAAB/2788=")</f>
        <v>#VALUE!</v>
      </c>
      <c r="HA68" t="e">
        <f>AND(medidas!BB136,"AAAAAB/279A=")</f>
        <v>#VALUE!</v>
      </c>
      <c r="HB68" t="e">
        <f>AND(medidas!BC136,"AAAAAB/279E=")</f>
        <v>#VALUE!</v>
      </c>
      <c r="HC68" t="e">
        <f>AND(medidas!BD136,"AAAAAB/279I=")</f>
        <v>#VALUE!</v>
      </c>
      <c r="HD68" t="e">
        <f>AND(medidas!BE136,"AAAAAB/279M=")</f>
        <v>#VALUE!</v>
      </c>
      <c r="HE68" t="e">
        <f>AND(medidas!BF136,"AAAAAB/279Q=")</f>
        <v>#VALUE!</v>
      </c>
      <c r="HF68" t="e">
        <f>AND(medidas!BG136,"AAAAAB/279U=")</f>
        <v>#VALUE!</v>
      </c>
      <c r="HG68" t="e">
        <f>AND(medidas!BH136,"AAAAAB/279Y=")</f>
        <v>#VALUE!</v>
      </c>
      <c r="HH68" t="e">
        <f>AND(medidas!BI136,"AAAAAB/279c=")</f>
        <v>#VALUE!</v>
      </c>
      <c r="HI68" t="e">
        <f>AND(medidas!BJ136,"AAAAAB/279g=")</f>
        <v>#VALUE!</v>
      </c>
      <c r="HJ68" t="e">
        <f>AND(medidas!BK136,"AAAAAB/279k=")</f>
        <v>#VALUE!</v>
      </c>
      <c r="HK68" t="e">
        <f>AND(medidas!BL136,"AAAAAB/279o=")</f>
        <v>#VALUE!</v>
      </c>
      <c r="HL68" t="e">
        <f>AND(medidas!BM136,"AAAAAB/279s=")</f>
        <v>#VALUE!</v>
      </c>
      <c r="HM68" t="e">
        <f>AND(medidas!BN136,"AAAAAB/279w=")</f>
        <v>#VALUE!</v>
      </c>
      <c r="HN68" t="e">
        <f>AND(medidas!BO136,"AAAAAB/2790=")</f>
        <v>#VALUE!</v>
      </c>
      <c r="HO68" t="e">
        <f>AND(medidas!BP136,"AAAAAB/2794=")</f>
        <v>#VALUE!</v>
      </c>
      <c r="HP68" t="e">
        <f>AND(medidas!BQ136,"AAAAAB/2798=")</f>
        <v>#VALUE!</v>
      </c>
      <c r="HQ68" t="e">
        <f>AND(medidas!BR136,"AAAAAB/27+A=")</f>
        <v>#VALUE!</v>
      </c>
      <c r="HR68" t="e">
        <f>AND(medidas!BS136,"AAAAAB/27+E=")</f>
        <v>#VALUE!</v>
      </c>
      <c r="HS68" t="e">
        <f>AND(medidas!BT136,"AAAAAB/27+I=")</f>
        <v>#VALUE!</v>
      </c>
      <c r="HT68" t="e">
        <f>AND(medidas!BU136,"AAAAAB/27+M=")</f>
        <v>#VALUE!</v>
      </c>
      <c r="HU68" t="e">
        <f>AND(medidas!BV136,"AAAAAB/27+Q=")</f>
        <v>#VALUE!</v>
      </c>
      <c r="HV68" t="e">
        <f>AND(medidas!BW136,"AAAAAB/27+U=")</f>
        <v>#VALUE!</v>
      </c>
      <c r="HW68" t="e">
        <f>AND(medidas!BX136,"AAAAAB/27+Y=")</f>
        <v>#VALUE!</v>
      </c>
      <c r="HX68" t="e">
        <f>AND(medidas!BY136,"AAAAAB/27+c=")</f>
        <v>#VALUE!</v>
      </c>
      <c r="HY68">
        <f>IF(medidas!137:137,"AAAAAB/27+g=",0)</f>
        <v>0</v>
      </c>
      <c r="HZ68" t="e">
        <f>AND(medidas!B137,"AAAAAB/27+k=")</f>
        <v>#VALUE!</v>
      </c>
      <c r="IA68" t="e">
        <f>AND(medidas!C137,"AAAAAB/27+o=")</f>
        <v>#VALUE!</v>
      </c>
      <c r="IB68" t="e">
        <f>AND(medidas!D137,"AAAAAB/27+s=")</f>
        <v>#VALUE!</v>
      </c>
      <c r="IC68" t="e">
        <f>AND(medidas!E137,"AAAAAB/27+w=")</f>
        <v>#VALUE!</v>
      </c>
      <c r="ID68" t="e">
        <f>AND(medidas!F137,"AAAAAB/27+0=")</f>
        <v>#VALUE!</v>
      </c>
      <c r="IE68" t="e">
        <f>AND(medidas!G137,"AAAAAB/27+4=")</f>
        <v>#VALUE!</v>
      </c>
      <c r="IF68" t="e">
        <f>AND(medidas!H137,"AAAAAB/27+8=")</f>
        <v>#VALUE!</v>
      </c>
      <c r="IG68" t="e">
        <f>AND(medidas!I137,"AAAAAB/27/A=")</f>
        <v>#VALUE!</v>
      </c>
      <c r="IH68" t="e">
        <f>AND(medidas!J137,"AAAAAB/27/E=")</f>
        <v>#VALUE!</v>
      </c>
      <c r="II68" t="e">
        <f>AND(medidas!K137,"AAAAAB/27/I=")</f>
        <v>#VALUE!</v>
      </c>
      <c r="IJ68" t="e">
        <f>AND(medidas!L137,"AAAAAB/27/M=")</f>
        <v>#VALUE!</v>
      </c>
      <c r="IK68" t="e">
        <f>AND(medidas!M137,"AAAAAB/27/Q=")</f>
        <v>#VALUE!</v>
      </c>
      <c r="IL68" t="e">
        <f>AND(medidas!N137,"AAAAAB/27/U=")</f>
        <v>#VALUE!</v>
      </c>
      <c r="IM68" t="e">
        <f>AND(medidas!O137,"AAAAAB/27/Y=")</f>
        <v>#VALUE!</v>
      </c>
      <c r="IN68" t="e">
        <f>AND(medidas!P137,"AAAAAB/27/c=")</f>
        <v>#VALUE!</v>
      </c>
      <c r="IO68" t="e">
        <f>AND(medidas!Q137,"AAAAAB/27/g=")</f>
        <v>#VALUE!</v>
      </c>
      <c r="IP68" t="e">
        <f>AND(medidas!R137,"AAAAAB/27/k=")</f>
        <v>#VALUE!</v>
      </c>
      <c r="IQ68" t="e">
        <f>AND(medidas!S137,"AAAAAB/27/o=")</f>
        <v>#VALUE!</v>
      </c>
      <c r="IR68" t="e">
        <f>AND(medidas!T137,"AAAAAB/27/s=")</f>
        <v>#VALUE!</v>
      </c>
      <c r="IS68" t="e">
        <f>AND(medidas!U137,"AAAAAB/27/w=")</f>
        <v>#VALUE!</v>
      </c>
      <c r="IT68" t="e">
        <f>AND(medidas!V137,"AAAAAB/27/0=")</f>
        <v>#VALUE!</v>
      </c>
      <c r="IU68" t="e">
        <f>AND(medidas!W137,"AAAAAB/27/4=")</f>
        <v>#VALUE!</v>
      </c>
      <c r="IV68" t="e">
        <f>AND(medidas!X137,"AAAAAB/27/8=")</f>
        <v>#VALUE!</v>
      </c>
    </row>
    <row r="69" spans="1:256" x14ac:dyDescent="0.2">
      <c r="A69" t="e">
        <f>AND(medidas!Y137,"AAAAAF3v6wA=")</f>
        <v>#VALUE!</v>
      </c>
      <c r="B69" t="e">
        <f>AND(medidas!Z137,"AAAAAF3v6wE=")</f>
        <v>#VALUE!</v>
      </c>
      <c r="C69" t="e">
        <f>AND(medidas!AA137,"AAAAAF3v6wI=")</f>
        <v>#VALUE!</v>
      </c>
      <c r="D69" t="e">
        <f>AND(medidas!AB137,"AAAAAF3v6wM=")</f>
        <v>#VALUE!</v>
      </c>
      <c r="E69" t="e">
        <f>AND(medidas!AC137,"AAAAAF3v6wQ=")</f>
        <v>#VALUE!</v>
      </c>
      <c r="F69" t="e">
        <f>AND(medidas!AD137,"AAAAAF3v6wU=")</f>
        <v>#VALUE!</v>
      </c>
      <c r="G69" t="e">
        <f>AND(medidas!AE137,"AAAAAF3v6wY=")</f>
        <v>#VALUE!</v>
      </c>
      <c r="H69" t="e">
        <f>AND(medidas!AF137,"AAAAAF3v6wc=")</f>
        <v>#VALUE!</v>
      </c>
      <c r="I69" t="e">
        <f>AND(medidas!AG137,"AAAAAF3v6wg=")</f>
        <v>#VALUE!</v>
      </c>
      <c r="J69" t="e">
        <f>AND(medidas!AH137,"AAAAAF3v6wk=")</f>
        <v>#VALUE!</v>
      </c>
      <c r="K69" t="e">
        <f>AND(medidas!AI137,"AAAAAF3v6wo=")</f>
        <v>#VALUE!</v>
      </c>
      <c r="L69" t="e">
        <f>AND(medidas!AJ137,"AAAAAF3v6ws=")</f>
        <v>#VALUE!</v>
      </c>
      <c r="M69" t="e">
        <f>AND(medidas!AK137,"AAAAAF3v6ww=")</f>
        <v>#VALUE!</v>
      </c>
      <c r="N69" t="e">
        <f>AND(medidas!AL137,"AAAAAF3v6w0=")</f>
        <v>#VALUE!</v>
      </c>
      <c r="O69" t="e">
        <f>AND(medidas!AM137,"AAAAAF3v6w4=")</f>
        <v>#VALUE!</v>
      </c>
      <c r="P69" t="e">
        <f>AND(medidas!AN137,"AAAAAF3v6w8=")</f>
        <v>#VALUE!</v>
      </c>
      <c r="Q69" t="e">
        <f>AND(medidas!AO137,"AAAAAF3v6xA=")</f>
        <v>#VALUE!</v>
      </c>
      <c r="R69" t="e">
        <f>AND(medidas!AP137,"AAAAAF3v6xE=")</f>
        <v>#VALUE!</v>
      </c>
      <c r="S69" t="e">
        <f>AND(medidas!AQ137,"AAAAAF3v6xI=")</f>
        <v>#VALUE!</v>
      </c>
      <c r="T69" t="e">
        <f>AND(medidas!AR137,"AAAAAF3v6xM=")</f>
        <v>#VALUE!</v>
      </c>
      <c r="U69" t="e">
        <f>AND(medidas!AS137,"AAAAAF3v6xQ=")</f>
        <v>#VALUE!</v>
      </c>
      <c r="V69" t="e">
        <f>AND(medidas!AT137,"AAAAAF3v6xU=")</f>
        <v>#VALUE!</v>
      </c>
      <c r="W69" t="e">
        <f>AND(medidas!AU137,"AAAAAF3v6xY=")</f>
        <v>#VALUE!</v>
      </c>
      <c r="X69" t="e">
        <f>AND(medidas!AV137,"AAAAAF3v6xc=")</f>
        <v>#VALUE!</v>
      </c>
      <c r="Y69" t="e">
        <f>AND(medidas!AW137,"AAAAAF3v6xg=")</f>
        <v>#VALUE!</v>
      </c>
      <c r="Z69" t="e">
        <f>AND(medidas!AX137,"AAAAAF3v6xk=")</f>
        <v>#VALUE!</v>
      </c>
      <c r="AA69" t="e">
        <f>AND(medidas!AY137,"AAAAAF3v6xo=")</f>
        <v>#VALUE!</v>
      </c>
      <c r="AB69" t="e">
        <f>AND(medidas!AZ137,"AAAAAF3v6xs=")</f>
        <v>#VALUE!</v>
      </c>
      <c r="AC69" t="e">
        <f>AND(medidas!BA137,"AAAAAF3v6xw=")</f>
        <v>#VALUE!</v>
      </c>
      <c r="AD69" t="e">
        <f>AND(medidas!BB137,"AAAAAF3v6x0=")</f>
        <v>#VALUE!</v>
      </c>
      <c r="AE69" t="e">
        <f>AND(medidas!BC137,"AAAAAF3v6x4=")</f>
        <v>#VALUE!</v>
      </c>
      <c r="AF69" t="e">
        <f>AND(medidas!BD137,"AAAAAF3v6x8=")</f>
        <v>#VALUE!</v>
      </c>
      <c r="AG69" t="e">
        <f>AND(medidas!BE137,"AAAAAF3v6yA=")</f>
        <v>#VALUE!</v>
      </c>
      <c r="AH69" t="e">
        <f>AND(medidas!BF137,"AAAAAF3v6yE=")</f>
        <v>#VALUE!</v>
      </c>
      <c r="AI69" t="e">
        <f>AND(medidas!BG137,"AAAAAF3v6yI=")</f>
        <v>#VALUE!</v>
      </c>
      <c r="AJ69" t="e">
        <f>AND(medidas!BH137,"AAAAAF3v6yM=")</f>
        <v>#VALUE!</v>
      </c>
      <c r="AK69" t="e">
        <f>AND(medidas!BI137,"AAAAAF3v6yQ=")</f>
        <v>#VALUE!</v>
      </c>
      <c r="AL69" t="e">
        <f>AND(medidas!BJ137,"AAAAAF3v6yU=")</f>
        <v>#VALUE!</v>
      </c>
      <c r="AM69" t="e">
        <f>AND(medidas!BK137,"AAAAAF3v6yY=")</f>
        <v>#VALUE!</v>
      </c>
      <c r="AN69" t="e">
        <f>AND(medidas!BL137,"AAAAAF3v6yc=")</f>
        <v>#VALUE!</v>
      </c>
      <c r="AO69" t="e">
        <f>AND(medidas!BM137,"AAAAAF3v6yg=")</f>
        <v>#VALUE!</v>
      </c>
      <c r="AP69" t="e">
        <f>AND(medidas!BN137,"AAAAAF3v6yk=")</f>
        <v>#VALUE!</v>
      </c>
      <c r="AQ69" t="e">
        <f>AND(medidas!BO137,"AAAAAF3v6yo=")</f>
        <v>#VALUE!</v>
      </c>
      <c r="AR69" t="e">
        <f>AND(medidas!BP137,"AAAAAF3v6ys=")</f>
        <v>#VALUE!</v>
      </c>
      <c r="AS69" t="e">
        <f>AND(medidas!BQ137,"AAAAAF3v6yw=")</f>
        <v>#VALUE!</v>
      </c>
      <c r="AT69" t="e">
        <f>AND(medidas!BR137,"AAAAAF3v6y0=")</f>
        <v>#VALUE!</v>
      </c>
      <c r="AU69" t="e">
        <f>AND(medidas!BS137,"AAAAAF3v6y4=")</f>
        <v>#VALUE!</v>
      </c>
      <c r="AV69" t="e">
        <f>AND(medidas!BT137,"AAAAAF3v6y8=")</f>
        <v>#VALUE!</v>
      </c>
      <c r="AW69" t="e">
        <f>AND(medidas!BU137,"AAAAAF3v6zA=")</f>
        <v>#VALUE!</v>
      </c>
      <c r="AX69" t="e">
        <f>AND(medidas!BV137,"AAAAAF3v6zE=")</f>
        <v>#VALUE!</v>
      </c>
      <c r="AY69" t="e">
        <f>AND(medidas!BW137,"AAAAAF3v6zI=")</f>
        <v>#VALUE!</v>
      </c>
      <c r="AZ69" t="e">
        <f>AND(medidas!BX137,"AAAAAF3v6zM=")</f>
        <v>#VALUE!</v>
      </c>
      <c r="BA69" t="e">
        <f>AND(medidas!BY137,"AAAAAF3v6zQ=")</f>
        <v>#VALUE!</v>
      </c>
      <c r="BB69">
        <f>IF(medidas!138:138,"AAAAAF3v6zU=",0)</f>
        <v>0</v>
      </c>
      <c r="BC69" t="e">
        <f>AND(medidas!B138,"AAAAAF3v6zY=")</f>
        <v>#VALUE!</v>
      </c>
      <c r="BD69" t="e">
        <f>AND(medidas!C138,"AAAAAF3v6zc=")</f>
        <v>#VALUE!</v>
      </c>
      <c r="BE69" t="e">
        <f>AND(medidas!D138,"AAAAAF3v6zg=")</f>
        <v>#VALUE!</v>
      </c>
      <c r="BF69" t="e">
        <f>AND(medidas!E138,"AAAAAF3v6zk=")</f>
        <v>#VALUE!</v>
      </c>
      <c r="BG69" t="e">
        <f>AND(medidas!F138,"AAAAAF3v6zo=")</f>
        <v>#VALUE!</v>
      </c>
      <c r="BH69" t="e">
        <f>AND(medidas!G138,"AAAAAF3v6zs=")</f>
        <v>#VALUE!</v>
      </c>
      <c r="BI69" t="e">
        <f>AND(medidas!H138,"AAAAAF3v6zw=")</f>
        <v>#VALUE!</v>
      </c>
      <c r="BJ69" t="e">
        <f>AND(medidas!I138,"AAAAAF3v6z0=")</f>
        <v>#VALUE!</v>
      </c>
      <c r="BK69" t="e">
        <f>AND(medidas!J138,"AAAAAF3v6z4=")</f>
        <v>#VALUE!</v>
      </c>
      <c r="BL69" t="e">
        <f>AND(medidas!K138,"AAAAAF3v6z8=")</f>
        <v>#VALUE!</v>
      </c>
      <c r="BM69" t="e">
        <f>AND(medidas!L138,"AAAAAF3v60A=")</f>
        <v>#VALUE!</v>
      </c>
      <c r="BN69" t="e">
        <f>AND(medidas!M138,"AAAAAF3v60E=")</f>
        <v>#VALUE!</v>
      </c>
      <c r="BO69" t="e">
        <f>AND(medidas!N138,"AAAAAF3v60I=")</f>
        <v>#VALUE!</v>
      </c>
      <c r="BP69" t="e">
        <f>AND(medidas!O138,"AAAAAF3v60M=")</f>
        <v>#VALUE!</v>
      </c>
      <c r="BQ69" t="e">
        <f>AND(medidas!P138,"AAAAAF3v60Q=")</f>
        <v>#VALUE!</v>
      </c>
      <c r="BR69" t="e">
        <f>AND(medidas!Q138,"AAAAAF3v60U=")</f>
        <v>#VALUE!</v>
      </c>
      <c r="BS69" t="e">
        <f>AND(medidas!R138,"AAAAAF3v60Y=")</f>
        <v>#VALUE!</v>
      </c>
      <c r="BT69" t="e">
        <f>AND(medidas!S138,"AAAAAF3v60c=")</f>
        <v>#VALUE!</v>
      </c>
      <c r="BU69" t="e">
        <f>AND(medidas!T138,"AAAAAF3v60g=")</f>
        <v>#VALUE!</v>
      </c>
      <c r="BV69" t="e">
        <f>AND(medidas!U138,"AAAAAF3v60k=")</f>
        <v>#VALUE!</v>
      </c>
      <c r="BW69" t="e">
        <f>AND(medidas!V138,"AAAAAF3v60o=")</f>
        <v>#VALUE!</v>
      </c>
      <c r="BX69" t="e">
        <f>AND(medidas!W138,"AAAAAF3v60s=")</f>
        <v>#VALUE!</v>
      </c>
      <c r="BY69" t="e">
        <f>AND(medidas!X138,"AAAAAF3v60w=")</f>
        <v>#VALUE!</v>
      </c>
      <c r="BZ69" t="e">
        <f>AND(medidas!Y138,"AAAAAF3v600=")</f>
        <v>#VALUE!</v>
      </c>
      <c r="CA69" t="e">
        <f>AND(medidas!Z138,"AAAAAF3v604=")</f>
        <v>#VALUE!</v>
      </c>
      <c r="CB69" t="e">
        <f>AND(medidas!AA138,"AAAAAF3v608=")</f>
        <v>#VALUE!</v>
      </c>
      <c r="CC69" t="e">
        <f>AND(medidas!AB138,"AAAAAF3v61A=")</f>
        <v>#VALUE!</v>
      </c>
      <c r="CD69" t="e">
        <f>AND(medidas!AC138,"AAAAAF3v61E=")</f>
        <v>#VALUE!</v>
      </c>
      <c r="CE69" t="e">
        <f>AND(medidas!AD138,"AAAAAF3v61I=")</f>
        <v>#VALUE!</v>
      </c>
      <c r="CF69" t="e">
        <f>AND(medidas!AE138,"AAAAAF3v61M=")</f>
        <v>#VALUE!</v>
      </c>
      <c r="CG69" t="e">
        <f>AND(medidas!AF138,"AAAAAF3v61Q=")</f>
        <v>#VALUE!</v>
      </c>
      <c r="CH69" t="e">
        <f>AND(medidas!AG138,"AAAAAF3v61U=")</f>
        <v>#VALUE!</v>
      </c>
      <c r="CI69" t="e">
        <f>AND(medidas!AH138,"AAAAAF3v61Y=")</f>
        <v>#VALUE!</v>
      </c>
      <c r="CJ69" t="e">
        <f>AND(medidas!AI138,"AAAAAF3v61c=")</f>
        <v>#VALUE!</v>
      </c>
      <c r="CK69" t="e">
        <f>AND(medidas!AJ138,"AAAAAF3v61g=")</f>
        <v>#VALUE!</v>
      </c>
      <c r="CL69" t="e">
        <f>AND(medidas!AK138,"AAAAAF3v61k=")</f>
        <v>#VALUE!</v>
      </c>
      <c r="CM69" t="e">
        <f>AND(medidas!AL138,"AAAAAF3v61o=")</f>
        <v>#VALUE!</v>
      </c>
      <c r="CN69" t="e">
        <f>AND(medidas!AM138,"AAAAAF3v61s=")</f>
        <v>#VALUE!</v>
      </c>
      <c r="CO69" t="e">
        <f>AND(medidas!AN138,"AAAAAF3v61w=")</f>
        <v>#VALUE!</v>
      </c>
      <c r="CP69" t="e">
        <f>AND(medidas!AO138,"AAAAAF3v610=")</f>
        <v>#VALUE!</v>
      </c>
      <c r="CQ69" t="e">
        <f>AND(medidas!AP138,"AAAAAF3v614=")</f>
        <v>#VALUE!</v>
      </c>
      <c r="CR69" t="e">
        <f>AND(medidas!AQ138,"AAAAAF3v618=")</f>
        <v>#VALUE!</v>
      </c>
      <c r="CS69" t="e">
        <f>AND(medidas!AR138,"AAAAAF3v62A=")</f>
        <v>#VALUE!</v>
      </c>
      <c r="CT69" t="e">
        <f>AND(medidas!AS138,"AAAAAF3v62E=")</f>
        <v>#VALUE!</v>
      </c>
      <c r="CU69" t="e">
        <f>AND(medidas!AT138,"AAAAAF3v62I=")</f>
        <v>#VALUE!</v>
      </c>
      <c r="CV69" t="e">
        <f>AND(medidas!AU138,"AAAAAF3v62M=")</f>
        <v>#VALUE!</v>
      </c>
      <c r="CW69" t="e">
        <f>AND(medidas!AV138,"AAAAAF3v62Q=")</f>
        <v>#VALUE!</v>
      </c>
      <c r="CX69" t="e">
        <f>AND(medidas!AW138,"AAAAAF3v62U=")</f>
        <v>#VALUE!</v>
      </c>
      <c r="CY69" t="e">
        <f>AND(medidas!AX138,"AAAAAF3v62Y=")</f>
        <v>#VALUE!</v>
      </c>
      <c r="CZ69" t="e">
        <f>AND(medidas!AY138,"AAAAAF3v62c=")</f>
        <v>#VALUE!</v>
      </c>
      <c r="DA69" t="e">
        <f>AND(medidas!AZ138,"AAAAAF3v62g=")</f>
        <v>#VALUE!</v>
      </c>
      <c r="DB69" t="e">
        <f>AND(medidas!BA138,"AAAAAF3v62k=")</f>
        <v>#VALUE!</v>
      </c>
      <c r="DC69" t="e">
        <f>AND(medidas!BB138,"AAAAAF3v62o=")</f>
        <v>#VALUE!</v>
      </c>
      <c r="DD69" t="e">
        <f>AND(medidas!BC138,"AAAAAF3v62s=")</f>
        <v>#VALUE!</v>
      </c>
      <c r="DE69" t="e">
        <f>AND(medidas!BD138,"AAAAAF3v62w=")</f>
        <v>#VALUE!</v>
      </c>
      <c r="DF69" t="e">
        <f>AND(medidas!BE138,"AAAAAF3v620=")</f>
        <v>#VALUE!</v>
      </c>
      <c r="DG69" t="e">
        <f>AND(medidas!BF138,"AAAAAF3v624=")</f>
        <v>#VALUE!</v>
      </c>
      <c r="DH69" t="e">
        <f>AND(medidas!BG138,"AAAAAF3v628=")</f>
        <v>#VALUE!</v>
      </c>
      <c r="DI69" t="e">
        <f>AND(medidas!BH138,"AAAAAF3v63A=")</f>
        <v>#VALUE!</v>
      </c>
      <c r="DJ69" t="e">
        <f>AND(medidas!BI138,"AAAAAF3v63E=")</f>
        <v>#VALUE!</v>
      </c>
      <c r="DK69" t="e">
        <f>AND(medidas!BJ138,"AAAAAF3v63I=")</f>
        <v>#VALUE!</v>
      </c>
      <c r="DL69" t="e">
        <f>AND(medidas!BK138,"AAAAAF3v63M=")</f>
        <v>#VALUE!</v>
      </c>
      <c r="DM69" t="e">
        <f>AND(medidas!BL138,"AAAAAF3v63Q=")</f>
        <v>#VALUE!</v>
      </c>
      <c r="DN69" t="e">
        <f>AND(medidas!BM138,"AAAAAF3v63U=")</f>
        <v>#VALUE!</v>
      </c>
      <c r="DO69" t="e">
        <f>AND(medidas!BN138,"AAAAAF3v63Y=")</f>
        <v>#VALUE!</v>
      </c>
      <c r="DP69" t="e">
        <f>AND(medidas!BO138,"AAAAAF3v63c=")</f>
        <v>#VALUE!</v>
      </c>
      <c r="DQ69" t="e">
        <f>AND(medidas!BP138,"AAAAAF3v63g=")</f>
        <v>#VALUE!</v>
      </c>
      <c r="DR69" t="e">
        <f>AND(medidas!BQ138,"AAAAAF3v63k=")</f>
        <v>#VALUE!</v>
      </c>
      <c r="DS69" t="e">
        <f>AND(medidas!BR138,"AAAAAF3v63o=")</f>
        <v>#VALUE!</v>
      </c>
      <c r="DT69" t="e">
        <f>AND(medidas!BS138,"AAAAAF3v63s=")</f>
        <v>#VALUE!</v>
      </c>
      <c r="DU69" t="e">
        <f>AND(medidas!BT138,"AAAAAF3v63w=")</f>
        <v>#VALUE!</v>
      </c>
      <c r="DV69" t="e">
        <f>AND(medidas!BU138,"AAAAAF3v630=")</f>
        <v>#VALUE!</v>
      </c>
      <c r="DW69" t="e">
        <f>AND(medidas!BV138,"AAAAAF3v634=")</f>
        <v>#VALUE!</v>
      </c>
      <c r="DX69" t="e">
        <f>AND(medidas!BW138,"AAAAAF3v638=")</f>
        <v>#VALUE!</v>
      </c>
      <c r="DY69" t="e">
        <f>AND(medidas!BX138,"AAAAAF3v64A=")</f>
        <v>#VALUE!</v>
      </c>
      <c r="DZ69" t="e">
        <f>AND(medidas!BY138,"AAAAAF3v64E=")</f>
        <v>#VALUE!</v>
      </c>
      <c r="EA69">
        <f>IF(medidas!139:139,"AAAAAF3v64I=",0)</f>
        <v>0</v>
      </c>
      <c r="EB69" t="e">
        <f>AND(medidas!B139,"AAAAAF3v64M=")</f>
        <v>#VALUE!</v>
      </c>
      <c r="EC69" t="e">
        <f>AND(medidas!C139,"AAAAAF3v64Q=")</f>
        <v>#VALUE!</v>
      </c>
      <c r="ED69" t="e">
        <f>AND(medidas!D139,"AAAAAF3v64U=")</f>
        <v>#VALUE!</v>
      </c>
      <c r="EE69" t="e">
        <f>AND(medidas!E139,"AAAAAF3v64Y=")</f>
        <v>#VALUE!</v>
      </c>
      <c r="EF69" t="e">
        <f>AND(medidas!F139,"AAAAAF3v64c=")</f>
        <v>#VALUE!</v>
      </c>
      <c r="EG69" t="e">
        <f>AND(medidas!G139,"AAAAAF3v64g=")</f>
        <v>#VALUE!</v>
      </c>
      <c r="EH69" t="e">
        <f>AND(medidas!H139,"AAAAAF3v64k=")</f>
        <v>#VALUE!</v>
      </c>
      <c r="EI69" t="e">
        <f>AND(medidas!I139,"AAAAAF3v64o=")</f>
        <v>#VALUE!</v>
      </c>
      <c r="EJ69" t="e">
        <f>AND(medidas!J139,"AAAAAF3v64s=")</f>
        <v>#VALUE!</v>
      </c>
      <c r="EK69" t="e">
        <f>AND(medidas!K139,"AAAAAF3v64w=")</f>
        <v>#VALUE!</v>
      </c>
      <c r="EL69" t="e">
        <f>AND(medidas!L139,"AAAAAF3v640=")</f>
        <v>#VALUE!</v>
      </c>
      <c r="EM69" t="e">
        <f>AND(medidas!M139,"AAAAAF3v644=")</f>
        <v>#VALUE!</v>
      </c>
      <c r="EN69" t="e">
        <f>AND(medidas!N139,"AAAAAF3v648=")</f>
        <v>#VALUE!</v>
      </c>
      <c r="EO69" t="e">
        <f>AND(medidas!O139,"AAAAAF3v65A=")</f>
        <v>#VALUE!</v>
      </c>
      <c r="EP69" t="e">
        <f>AND(medidas!P139,"AAAAAF3v65E=")</f>
        <v>#VALUE!</v>
      </c>
      <c r="EQ69" t="e">
        <f>AND(medidas!Q139,"AAAAAF3v65I=")</f>
        <v>#VALUE!</v>
      </c>
      <c r="ER69" t="e">
        <f>AND(medidas!R139,"AAAAAF3v65M=")</f>
        <v>#VALUE!</v>
      </c>
      <c r="ES69" t="e">
        <f>AND(medidas!S139,"AAAAAF3v65Q=")</f>
        <v>#VALUE!</v>
      </c>
      <c r="ET69" t="e">
        <f>AND(medidas!T139,"AAAAAF3v65U=")</f>
        <v>#VALUE!</v>
      </c>
      <c r="EU69" t="e">
        <f>AND(medidas!U139,"AAAAAF3v65Y=")</f>
        <v>#VALUE!</v>
      </c>
      <c r="EV69" t="e">
        <f>AND(medidas!V139,"AAAAAF3v65c=")</f>
        <v>#VALUE!</v>
      </c>
      <c r="EW69" t="e">
        <f>AND(medidas!W139,"AAAAAF3v65g=")</f>
        <v>#VALUE!</v>
      </c>
      <c r="EX69" t="e">
        <f>AND(medidas!X139,"AAAAAF3v65k=")</f>
        <v>#VALUE!</v>
      </c>
      <c r="EY69" t="e">
        <f>AND(medidas!Y139,"AAAAAF3v65o=")</f>
        <v>#VALUE!</v>
      </c>
      <c r="EZ69" t="e">
        <f>AND(medidas!Z139,"AAAAAF3v65s=")</f>
        <v>#VALUE!</v>
      </c>
      <c r="FA69" t="e">
        <f>AND(medidas!AA139,"AAAAAF3v65w=")</f>
        <v>#VALUE!</v>
      </c>
      <c r="FB69" t="e">
        <f>AND(medidas!AB139,"AAAAAF3v650=")</f>
        <v>#VALUE!</v>
      </c>
      <c r="FC69" t="e">
        <f>AND(medidas!AC139,"AAAAAF3v654=")</f>
        <v>#VALUE!</v>
      </c>
      <c r="FD69" t="e">
        <f>AND(medidas!AD139,"AAAAAF3v658=")</f>
        <v>#VALUE!</v>
      </c>
      <c r="FE69" t="e">
        <f>AND(medidas!AE139,"AAAAAF3v66A=")</f>
        <v>#VALUE!</v>
      </c>
      <c r="FF69" t="e">
        <f>AND(medidas!AF139,"AAAAAF3v66E=")</f>
        <v>#VALUE!</v>
      </c>
      <c r="FG69" t="e">
        <f>AND(medidas!AG139,"AAAAAF3v66I=")</f>
        <v>#VALUE!</v>
      </c>
      <c r="FH69" t="e">
        <f>AND(medidas!AH139,"AAAAAF3v66M=")</f>
        <v>#VALUE!</v>
      </c>
      <c r="FI69" t="e">
        <f>AND(medidas!AI139,"AAAAAF3v66Q=")</f>
        <v>#VALUE!</v>
      </c>
      <c r="FJ69" t="e">
        <f>AND(medidas!AJ139,"AAAAAF3v66U=")</f>
        <v>#VALUE!</v>
      </c>
      <c r="FK69" t="e">
        <f>AND(medidas!AK139,"AAAAAF3v66Y=")</f>
        <v>#VALUE!</v>
      </c>
      <c r="FL69" t="e">
        <f>AND(medidas!AL139,"AAAAAF3v66c=")</f>
        <v>#VALUE!</v>
      </c>
      <c r="FM69" t="e">
        <f>AND(medidas!AM139,"AAAAAF3v66g=")</f>
        <v>#VALUE!</v>
      </c>
      <c r="FN69" t="e">
        <f>AND(medidas!AN139,"AAAAAF3v66k=")</f>
        <v>#VALUE!</v>
      </c>
      <c r="FO69" t="e">
        <f>AND(medidas!AO139,"AAAAAF3v66o=")</f>
        <v>#VALUE!</v>
      </c>
      <c r="FP69" t="e">
        <f>AND(medidas!AP139,"AAAAAF3v66s=")</f>
        <v>#VALUE!</v>
      </c>
      <c r="FQ69" t="e">
        <f>AND(medidas!AQ139,"AAAAAF3v66w=")</f>
        <v>#VALUE!</v>
      </c>
      <c r="FR69" t="e">
        <f>AND(medidas!AR139,"AAAAAF3v660=")</f>
        <v>#VALUE!</v>
      </c>
      <c r="FS69" t="e">
        <f>AND(medidas!AS139,"AAAAAF3v664=")</f>
        <v>#VALUE!</v>
      </c>
      <c r="FT69" t="e">
        <f>AND(medidas!AT139,"AAAAAF3v668=")</f>
        <v>#VALUE!</v>
      </c>
      <c r="FU69" t="e">
        <f>AND(medidas!AU139,"AAAAAF3v67A=")</f>
        <v>#VALUE!</v>
      </c>
      <c r="FV69" t="e">
        <f>AND(medidas!AV139,"AAAAAF3v67E=")</f>
        <v>#VALUE!</v>
      </c>
      <c r="FW69" t="e">
        <f>AND(medidas!AW139,"AAAAAF3v67I=")</f>
        <v>#VALUE!</v>
      </c>
      <c r="FX69" t="e">
        <f>AND(medidas!AX139,"AAAAAF3v67M=")</f>
        <v>#VALUE!</v>
      </c>
      <c r="FY69" t="e">
        <f>AND(medidas!AY139,"AAAAAF3v67Q=")</f>
        <v>#VALUE!</v>
      </c>
      <c r="FZ69" t="e">
        <f>AND(medidas!AZ139,"AAAAAF3v67U=")</f>
        <v>#VALUE!</v>
      </c>
      <c r="GA69" t="e">
        <f>AND(medidas!BA139,"AAAAAF3v67Y=")</f>
        <v>#VALUE!</v>
      </c>
      <c r="GB69" t="e">
        <f>AND(medidas!BB139,"AAAAAF3v67c=")</f>
        <v>#VALUE!</v>
      </c>
      <c r="GC69" t="e">
        <f>AND(medidas!BC139,"AAAAAF3v67g=")</f>
        <v>#VALUE!</v>
      </c>
      <c r="GD69" t="e">
        <f>AND(medidas!BD139,"AAAAAF3v67k=")</f>
        <v>#VALUE!</v>
      </c>
      <c r="GE69" t="e">
        <f>AND(medidas!BE139,"AAAAAF3v67o=")</f>
        <v>#VALUE!</v>
      </c>
      <c r="GF69" t="e">
        <f>AND(medidas!BF139,"AAAAAF3v67s=")</f>
        <v>#VALUE!</v>
      </c>
      <c r="GG69" t="e">
        <f>AND(medidas!BG139,"AAAAAF3v67w=")</f>
        <v>#VALUE!</v>
      </c>
      <c r="GH69" t="e">
        <f>AND(medidas!BH139,"AAAAAF3v670=")</f>
        <v>#VALUE!</v>
      </c>
      <c r="GI69" t="e">
        <f>AND(medidas!BI139,"AAAAAF3v674=")</f>
        <v>#VALUE!</v>
      </c>
      <c r="GJ69" t="e">
        <f>AND(medidas!BJ139,"AAAAAF3v678=")</f>
        <v>#VALUE!</v>
      </c>
      <c r="GK69" t="e">
        <f>AND(medidas!BK139,"AAAAAF3v68A=")</f>
        <v>#VALUE!</v>
      </c>
      <c r="GL69" t="e">
        <f>AND(medidas!BL139,"AAAAAF3v68E=")</f>
        <v>#VALUE!</v>
      </c>
      <c r="GM69" t="e">
        <f>AND(medidas!BM139,"AAAAAF3v68I=")</f>
        <v>#VALUE!</v>
      </c>
      <c r="GN69" t="e">
        <f>AND(medidas!BN139,"AAAAAF3v68M=")</f>
        <v>#VALUE!</v>
      </c>
      <c r="GO69" t="e">
        <f>AND(medidas!BO139,"AAAAAF3v68Q=")</f>
        <v>#VALUE!</v>
      </c>
      <c r="GP69" t="e">
        <f>AND(medidas!BP139,"AAAAAF3v68U=")</f>
        <v>#VALUE!</v>
      </c>
      <c r="GQ69" t="e">
        <f>AND(medidas!BQ139,"AAAAAF3v68Y=")</f>
        <v>#VALUE!</v>
      </c>
      <c r="GR69" t="e">
        <f>AND(medidas!BR139,"AAAAAF3v68c=")</f>
        <v>#VALUE!</v>
      </c>
      <c r="GS69" t="e">
        <f>AND(medidas!BS139,"AAAAAF3v68g=")</f>
        <v>#VALUE!</v>
      </c>
      <c r="GT69" t="e">
        <f>AND(medidas!BT139,"AAAAAF3v68k=")</f>
        <v>#VALUE!</v>
      </c>
      <c r="GU69" t="e">
        <f>AND(medidas!BU139,"AAAAAF3v68o=")</f>
        <v>#VALUE!</v>
      </c>
      <c r="GV69" t="e">
        <f>AND(medidas!BV139,"AAAAAF3v68s=")</f>
        <v>#VALUE!</v>
      </c>
      <c r="GW69" t="e">
        <f>AND(medidas!BW139,"AAAAAF3v68w=")</f>
        <v>#VALUE!</v>
      </c>
      <c r="GX69" t="e">
        <f>AND(medidas!BX139,"AAAAAF3v680=")</f>
        <v>#VALUE!</v>
      </c>
      <c r="GY69" t="e">
        <f>AND(medidas!BY139,"AAAAAF3v684=")</f>
        <v>#VALUE!</v>
      </c>
      <c r="GZ69">
        <f>IF(medidas!140:140,"AAAAAF3v688=",0)</f>
        <v>0</v>
      </c>
      <c r="HA69" t="e">
        <f>AND(medidas!B140,"AAAAAF3v69A=")</f>
        <v>#VALUE!</v>
      </c>
      <c r="HB69" t="e">
        <f>AND(medidas!C140,"AAAAAF3v69E=")</f>
        <v>#VALUE!</v>
      </c>
      <c r="HC69" t="e">
        <f>AND(medidas!D140,"AAAAAF3v69I=")</f>
        <v>#VALUE!</v>
      </c>
      <c r="HD69" t="e">
        <f>AND(medidas!E140,"AAAAAF3v69M=")</f>
        <v>#VALUE!</v>
      </c>
      <c r="HE69" t="e">
        <f>AND(medidas!F140,"AAAAAF3v69Q=")</f>
        <v>#VALUE!</v>
      </c>
      <c r="HF69" t="e">
        <f>AND(medidas!G140,"AAAAAF3v69U=")</f>
        <v>#VALUE!</v>
      </c>
      <c r="HG69" t="e">
        <f>AND(medidas!H140,"AAAAAF3v69Y=")</f>
        <v>#VALUE!</v>
      </c>
      <c r="HH69" t="e">
        <f>AND(medidas!I140,"AAAAAF3v69c=")</f>
        <v>#VALUE!</v>
      </c>
      <c r="HI69" t="e">
        <f>AND(medidas!J140,"AAAAAF3v69g=")</f>
        <v>#VALUE!</v>
      </c>
      <c r="HJ69" t="e">
        <f>AND(medidas!K140,"AAAAAF3v69k=")</f>
        <v>#VALUE!</v>
      </c>
      <c r="HK69" t="e">
        <f>AND(medidas!L140,"AAAAAF3v69o=")</f>
        <v>#VALUE!</v>
      </c>
      <c r="HL69" t="e">
        <f>AND(medidas!M140,"AAAAAF3v69s=")</f>
        <v>#VALUE!</v>
      </c>
      <c r="HM69" t="e">
        <f>AND(medidas!N140,"AAAAAF3v69w=")</f>
        <v>#VALUE!</v>
      </c>
      <c r="HN69" t="e">
        <f>AND(medidas!O140,"AAAAAF3v690=")</f>
        <v>#VALUE!</v>
      </c>
      <c r="HO69" t="e">
        <f>AND(medidas!P140,"AAAAAF3v694=")</f>
        <v>#VALUE!</v>
      </c>
      <c r="HP69" t="e">
        <f>AND(medidas!Q140,"AAAAAF3v698=")</f>
        <v>#VALUE!</v>
      </c>
      <c r="HQ69" t="e">
        <f>AND(medidas!R140,"AAAAAF3v6+A=")</f>
        <v>#VALUE!</v>
      </c>
      <c r="HR69" t="e">
        <f>AND(medidas!S140,"AAAAAF3v6+E=")</f>
        <v>#VALUE!</v>
      </c>
      <c r="HS69" t="e">
        <f>AND(medidas!T140,"AAAAAF3v6+I=")</f>
        <v>#VALUE!</v>
      </c>
      <c r="HT69" t="e">
        <f>AND(medidas!U140,"AAAAAF3v6+M=")</f>
        <v>#VALUE!</v>
      </c>
      <c r="HU69" t="e">
        <f>AND(medidas!V140,"AAAAAF3v6+Q=")</f>
        <v>#VALUE!</v>
      </c>
      <c r="HV69" t="e">
        <f>AND(medidas!W140,"AAAAAF3v6+U=")</f>
        <v>#VALUE!</v>
      </c>
      <c r="HW69" t="e">
        <f>AND(medidas!X140,"AAAAAF3v6+Y=")</f>
        <v>#VALUE!</v>
      </c>
      <c r="HX69" t="e">
        <f>AND(medidas!Y140,"AAAAAF3v6+c=")</f>
        <v>#VALUE!</v>
      </c>
      <c r="HY69" t="e">
        <f>AND(medidas!Z140,"AAAAAF3v6+g=")</f>
        <v>#VALUE!</v>
      </c>
      <c r="HZ69" t="e">
        <f>AND(medidas!AA140,"AAAAAF3v6+k=")</f>
        <v>#VALUE!</v>
      </c>
      <c r="IA69" t="e">
        <f>AND(medidas!AB140,"AAAAAF3v6+o=")</f>
        <v>#VALUE!</v>
      </c>
      <c r="IB69" t="e">
        <f>AND(medidas!AC140,"AAAAAF3v6+s=")</f>
        <v>#VALUE!</v>
      </c>
      <c r="IC69" t="e">
        <f>AND(medidas!AD140,"AAAAAF3v6+w=")</f>
        <v>#VALUE!</v>
      </c>
      <c r="ID69" t="e">
        <f>AND(medidas!AE140,"AAAAAF3v6+0=")</f>
        <v>#VALUE!</v>
      </c>
      <c r="IE69" t="e">
        <f>AND(medidas!AF140,"AAAAAF3v6+4=")</f>
        <v>#VALUE!</v>
      </c>
      <c r="IF69" t="e">
        <f>AND(medidas!AG140,"AAAAAF3v6+8=")</f>
        <v>#VALUE!</v>
      </c>
      <c r="IG69" t="e">
        <f>AND(medidas!AH140,"AAAAAF3v6/A=")</f>
        <v>#VALUE!</v>
      </c>
      <c r="IH69" t="e">
        <f>AND(medidas!AI140,"AAAAAF3v6/E=")</f>
        <v>#VALUE!</v>
      </c>
      <c r="II69" t="e">
        <f>AND(medidas!AJ140,"AAAAAF3v6/I=")</f>
        <v>#VALUE!</v>
      </c>
      <c r="IJ69" t="e">
        <f>AND(medidas!AK140,"AAAAAF3v6/M=")</f>
        <v>#VALUE!</v>
      </c>
      <c r="IK69" t="e">
        <f>AND(medidas!AL140,"AAAAAF3v6/Q=")</f>
        <v>#VALUE!</v>
      </c>
      <c r="IL69" t="e">
        <f>AND(medidas!AM140,"AAAAAF3v6/U=")</f>
        <v>#VALUE!</v>
      </c>
      <c r="IM69" t="e">
        <f>AND(medidas!AN140,"AAAAAF3v6/Y=")</f>
        <v>#VALUE!</v>
      </c>
      <c r="IN69" t="e">
        <f>AND(medidas!AO140,"AAAAAF3v6/c=")</f>
        <v>#VALUE!</v>
      </c>
      <c r="IO69" t="e">
        <f>AND(medidas!AP140,"AAAAAF3v6/g=")</f>
        <v>#VALUE!</v>
      </c>
      <c r="IP69" t="e">
        <f>AND(medidas!AQ140,"AAAAAF3v6/k=")</f>
        <v>#VALUE!</v>
      </c>
      <c r="IQ69" t="e">
        <f>AND(medidas!AR140,"AAAAAF3v6/o=")</f>
        <v>#VALUE!</v>
      </c>
      <c r="IR69" t="e">
        <f>AND(medidas!AS140,"AAAAAF3v6/s=")</f>
        <v>#VALUE!</v>
      </c>
      <c r="IS69" t="e">
        <f>AND(medidas!AT140,"AAAAAF3v6/w=")</f>
        <v>#VALUE!</v>
      </c>
      <c r="IT69" t="e">
        <f>AND(medidas!AU140,"AAAAAF3v6/0=")</f>
        <v>#VALUE!</v>
      </c>
      <c r="IU69" t="e">
        <f>AND(medidas!AV140,"AAAAAF3v6/4=")</f>
        <v>#VALUE!</v>
      </c>
      <c r="IV69" t="e">
        <f>AND(medidas!AW140,"AAAAAF3v6/8=")</f>
        <v>#VALUE!</v>
      </c>
    </row>
    <row r="70" spans="1:256" x14ac:dyDescent="0.2">
      <c r="A70" t="e">
        <f>AND(medidas!AX140,"AAAAAEb9fwA=")</f>
        <v>#VALUE!</v>
      </c>
      <c r="B70" t="e">
        <f>AND(medidas!AY140,"AAAAAEb9fwE=")</f>
        <v>#VALUE!</v>
      </c>
      <c r="C70" t="e">
        <f>AND(medidas!AZ140,"AAAAAEb9fwI=")</f>
        <v>#VALUE!</v>
      </c>
      <c r="D70" t="e">
        <f>AND(medidas!BA140,"AAAAAEb9fwM=")</f>
        <v>#VALUE!</v>
      </c>
      <c r="E70" t="e">
        <f>AND(medidas!BB140,"AAAAAEb9fwQ=")</f>
        <v>#VALUE!</v>
      </c>
      <c r="F70" t="e">
        <f>AND(medidas!BC140,"AAAAAEb9fwU=")</f>
        <v>#VALUE!</v>
      </c>
      <c r="G70" t="e">
        <f>AND(medidas!BD140,"AAAAAEb9fwY=")</f>
        <v>#VALUE!</v>
      </c>
      <c r="H70" t="e">
        <f>AND(medidas!BE140,"AAAAAEb9fwc=")</f>
        <v>#VALUE!</v>
      </c>
      <c r="I70" t="e">
        <f>AND(medidas!BF140,"AAAAAEb9fwg=")</f>
        <v>#VALUE!</v>
      </c>
      <c r="J70" t="e">
        <f>AND(medidas!BG140,"AAAAAEb9fwk=")</f>
        <v>#VALUE!</v>
      </c>
      <c r="K70" t="e">
        <f>AND(medidas!BH140,"AAAAAEb9fwo=")</f>
        <v>#VALUE!</v>
      </c>
      <c r="L70" t="e">
        <f>AND(medidas!BI140,"AAAAAEb9fws=")</f>
        <v>#VALUE!</v>
      </c>
      <c r="M70" t="e">
        <f>AND(medidas!BJ140,"AAAAAEb9fww=")</f>
        <v>#VALUE!</v>
      </c>
      <c r="N70" t="e">
        <f>AND(medidas!BK140,"AAAAAEb9fw0=")</f>
        <v>#VALUE!</v>
      </c>
      <c r="O70" t="e">
        <f>AND(medidas!BL140,"AAAAAEb9fw4=")</f>
        <v>#VALUE!</v>
      </c>
      <c r="P70" t="e">
        <f>AND(medidas!BM140,"AAAAAEb9fw8=")</f>
        <v>#VALUE!</v>
      </c>
      <c r="Q70" t="e">
        <f>AND(medidas!BN140,"AAAAAEb9fxA=")</f>
        <v>#VALUE!</v>
      </c>
      <c r="R70" t="e">
        <f>AND(medidas!BO140,"AAAAAEb9fxE=")</f>
        <v>#VALUE!</v>
      </c>
      <c r="S70" t="e">
        <f>AND(medidas!BP140,"AAAAAEb9fxI=")</f>
        <v>#VALUE!</v>
      </c>
      <c r="T70" t="e">
        <f>AND(medidas!BQ140,"AAAAAEb9fxM=")</f>
        <v>#VALUE!</v>
      </c>
      <c r="U70" t="e">
        <f>AND(medidas!BR140,"AAAAAEb9fxQ=")</f>
        <v>#VALUE!</v>
      </c>
      <c r="V70" t="e">
        <f>AND(medidas!BS140,"AAAAAEb9fxU=")</f>
        <v>#VALUE!</v>
      </c>
      <c r="W70" t="e">
        <f>AND(medidas!BT140,"AAAAAEb9fxY=")</f>
        <v>#VALUE!</v>
      </c>
      <c r="X70" t="e">
        <f>AND(medidas!BU140,"AAAAAEb9fxc=")</f>
        <v>#VALUE!</v>
      </c>
      <c r="Y70" t="e">
        <f>AND(medidas!BV140,"AAAAAEb9fxg=")</f>
        <v>#VALUE!</v>
      </c>
      <c r="Z70" t="e">
        <f>AND(medidas!BW140,"AAAAAEb9fxk=")</f>
        <v>#VALUE!</v>
      </c>
      <c r="AA70" t="e">
        <f>AND(medidas!BX140,"AAAAAEb9fxo=")</f>
        <v>#VALUE!</v>
      </c>
      <c r="AB70" t="e">
        <f>AND(medidas!BY140,"AAAAAEb9fxs=")</f>
        <v>#VALUE!</v>
      </c>
      <c r="AC70">
        <f>IF(medidas!141:141,"AAAAAEb9fxw=",0)</f>
        <v>0</v>
      </c>
      <c r="AD70" t="e">
        <f>AND(medidas!B141,"AAAAAEb9fx0=")</f>
        <v>#VALUE!</v>
      </c>
      <c r="AE70" t="e">
        <f>AND(medidas!C141,"AAAAAEb9fx4=")</f>
        <v>#VALUE!</v>
      </c>
      <c r="AF70" t="e">
        <f>AND(medidas!D141,"AAAAAEb9fx8=")</f>
        <v>#VALUE!</v>
      </c>
      <c r="AG70" t="e">
        <f>AND(medidas!E141,"AAAAAEb9fyA=")</f>
        <v>#VALUE!</v>
      </c>
      <c r="AH70" t="e">
        <f>AND(medidas!F141,"AAAAAEb9fyE=")</f>
        <v>#VALUE!</v>
      </c>
      <c r="AI70" t="e">
        <f>AND(medidas!G141,"AAAAAEb9fyI=")</f>
        <v>#VALUE!</v>
      </c>
      <c r="AJ70" t="e">
        <f>AND(medidas!H141,"AAAAAEb9fyM=")</f>
        <v>#VALUE!</v>
      </c>
      <c r="AK70" t="e">
        <f>AND(medidas!I141,"AAAAAEb9fyQ=")</f>
        <v>#VALUE!</v>
      </c>
      <c r="AL70" t="e">
        <f>AND(medidas!J141,"AAAAAEb9fyU=")</f>
        <v>#VALUE!</v>
      </c>
      <c r="AM70" t="e">
        <f>AND(medidas!K141,"AAAAAEb9fyY=")</f>
        <v>#VALUE!</v>
      </c>
      <c r="AN70" t="e">
        <f>AND(medidas!L141,"AAAAAEb9fyc=")</f>
        <v>#VALUE!</v>
      </c>
      <c r="AO70" t="e">
        <f>AND(medidas!M141,"AAAAAEb9fyg=")</f>
        <v>#VALUE!</v>
      </c>
      <c r="AP70" t="e">
        <f>AND(medidas!N141,"AAAAAEb9fyk=")</f>
        <v>#VALUE!</v>
      </c>
      <c r="AQ70" t="e">
        <f>AND(medidas!O141,"AAAAAEb9fyo=")</f>
        <v>#VALUE!</v>
      </c>
      <c r="AR70" t="e">
        <f>AND(medidas!P141,"AAAAAEb9fys=")</f>
        <v>#VALUE!</v>
      </c>
      <c r="AS70" t="e">
        <f>AND(medidas!Q141,"AAAAAEb9fyw=")</f>
        <v>#VALUE!</v>
      </c>
      <c r="AT70" t="e">
        <f>AND(medidas!R141,"AAAAAEb9fy0=")</f>
        <v>#VALUE!</v>
      </c>
      <c r="AU70" t="e">
        <f>AND(medidas!S141,"AAAAAEb9fy4=")</f>
        <v>#VALUE!</v>
      </c>
      <c r="AV70" t="e">
        <f>AND(medidas!T141,"AAAAAEb9fy8=")</f>
        <v>#VALUE!</v>
      </c>
      <c r="AW70" t="e">
        <f>AND(medidas!U141,"AAAAAEb9fzA=")</f>
        <v>#VALUE!</v>
      </c>
      <c r="AX70" t="e">
        <f>AND(medidas!V141,"AAAAAEb9fzE=")</f>
        <v>#VALUE!</v>
      </c>
      <c r="AY70" t="e">
        <f>AND(medidas!W141,"AAAAAEb9fzI=")</f>
        <v>#VALUE!</v>
      </c>
      <c r="AZ70" t="e">
        <f>AND(medidas!X141,"AAAAAEb9fzM=")</f>
        <v>#VALUE!</v>
      </c>
      <c r="BA70" t="e">
        <f>AND(medidas!Y141,"AAAAAEb9fzQ=")</f>
        <v>#VALUE!</v>
      </c>
      <c r="BB70" t="e">
        <f>AND(medidas!Z141,"AAAAAEb9fzU=")</f>
        <v>#VALUE!</v>
      </c>
      <c r="BC70" t="e">
        <f>AND(medidas!AA141,"AAAAAEb9fzY=")</f>
        <v>#VALUE!</v>
      </c>
      <c r="BD70" t="e">
        <f>AND(medidas!AB141,"AAAAAEb9fzc=")</f>
        <v>#VALUE!</v>
      </c>
      <c r="BE70" t="e">
        <f>AND(medidas!AC141,"AAAAAEb9fzg=")</f>
        <v>#VALUE!</v>
      </c>
      <c r="BF70" t="e">
        <f>AND(medidas!AD141,"AAAAAEb9fzk=")</f>
        <v>#VALUE!</v>
      </c>
      <c r="BG70" t="e">
        <f>AND(medidas!AE141,"AAAAAEb9fzo=")</f>
        <v>#VALUE!</v>
      </c>
      <c r="BH70" t="e">
        <f>AND(medidas!AF141,"AAAAAEb9fzs=")</f>
        <v>#VALUE!</v>
      </c>
      <c r="BI70" t="e">
        <f>AND(medidas!AG141,"AAAAAEb9fzw=")</f>
        <v>#VALUE!</v>
      </c>
      <c r="BJ70" t="e">
        <f>AND(medidas!AH141,"AAAAAEb9fz0=")</f>
        <v>#VALUE!</v>
      </c>
      <c r="BK70" t="e">
        <f>AND(medidas!AI141,"AAAAAEb9fz4=")</f>
        <v>#VALUE!</v>
      </c>
      <c r="BL70" t="e">
        <f>AND(medidas!AJ141,"AAAAAEb9fz8=")</f>
        <v>#VALUE!</v>
      </c>
      <c r="BM70" t="e">
        <f>AND(medidas!AK141,"AAAAAEb9f0A=")</f>
        <v>#VALUE!</v>
      </c>
      <c r="BN70" t="e">
        <f>AND(medidas!AL141,"AAAAAEb9f0E=")</f>
        <v>#VALUE!</v>
      </c>
      <c r="BO70" t="e">
        <f>AND(medidas!AM141,"AAAAAEb9f0I=")</f>
        <v>#VALUE!</v>
      </c>
      <c r="BP70" t="e">
        <f>AND(medidas!AN141,"AAAAAEb9f0M=")</f>
        <v>#VALUE!</v>
      </c>
      <c r="BQ70" t="e">
        <f>AND(medidas!AO141,"AAAAAEb9f0Q=")</f>
        <v>#VALUE!</v>
      </c>
      <c r="BR70" t="e">
        <f>AND(medidas!AP141,"AAAAAEb9f0U=")</f>
        <v>#VALUE!</v>
      </c>
      <c r="BS70" t="e">
        <f>AND(medidas!AQ141,"AAAAAEb9f0Y=")</f>
        <v>#VALUE!</v>
      </c>
      <c r="BT70" t="e">
        <f>AND(medidas!AR141,"AAAAAEb9f0c=")</f>
        <v>#VALUE!</v>
      </c>
      <c r="BU70" t="e">
        <f>AND(medidas!AS141,"AAAAAEb9f0g=")</f>
        <v>#VALUE!</v>
      </c>
      <c r="BV70" t="e">
        <f>AND(medidas!AT141,"AAAAAEb9f0k=")</f>
        <v>#VALUE!</v>
      </c>
      <c r="BW70" t="e">
        <f>AND(medidas!AU141,"AAAAAEb9f0o=")</f>
        <v>#VALUE!</v>
      </c>
      <c r="BX70" t="e">
        <f>AND(medidas!AV141,"AAAAAEb9f0s=")</f>
        <v>#VALUE!</v>
      </c>
      <c r="BY70" t="e">
        <f>AND(medidas!AW141,"AAAAAEb9f0w=")</f>
        <v>#VALUE!</v>
      </c>
      <c r="BZ70" t="e">
        <f>AND(medidas!AX141,"AAAAAEb9f00=")</f>
        <v>#VALUE!</v>
      </c>
      <c r="CA70" t="e">
        <f>AND(medidas!AY141,"AAAAAEb9f04=")</f>
        <v>#VALUE!</v>
      </c>
      <c r="CB70" t="e">
        <f>AND(medidas!AZ141,"AAAAAEb9f08=")</f>
        <v>#VALUE!</v>
      </c>
      <c r="CC70" t="e">
        <f>AND(medidas!BA141,"AAAAAEb9f1A=")</f>
        <v>#VALUE!</v>
      </c>
      <c r="CD70" t="e">
        <f>AND(medidas!BB141,"AAAAAEb9f1E=")</f>
        <v>#VALUE!</v>
      </c>
      <c r="CE70" t="e">
        <f>AND(medidas!BC141,"AAAAAEb9f1I=")</f>
        <v>#VALUE!</v>
      </c>
      <c r="CF70" t="e">
        <f>AND(medidas!BD141,"AAAAAEb9f1M=")</f>
        <v>#VALUE!</v>
      </c>
      <c r="CG70" t="e">
        <f>AND(medidas!BE141,"AAAAAEb9f1Q=")</f>
        <v>#VALUE!</v>
      </c>
      <c r="CH70" t="e">
        <f>AND(medidas!BF141,"AAAAAEb9f1U=")</f>
        <v>#VALUE!</v>
      </c>
      <c r="CI70" t="e">
        <f>AND(medidas!BG141,"AAAAAEb9f1Y=")</f>
        <v>#VALUE!</v>
      </c>
      <c r="CJ70" t="e">
        <f>AND(medidas!BH141,"AAAAAEb9f1c=")</f>
        <v>#VALUE!</v>
      </c>
      <c r="CK70" t="e">
        <f>AND(medidas!BI141,"AAAAAEb9f1g=")</f>
        <v>#VALUE!</v>
      </c>
      <c r="CL70" t="e">
        <f>AND(medidas!BJ141,"AAAAAEb9f1k=")</f>
        <v>#VALUE!</v>
      </c>
      <c r="CM70" t="e">
        <f>AND(medidas!BK141,"AAAAAEb9f1o=")</f>
        <v>#VALUE!</v>
      </c>
      <c r="CN70" t="e">
        <f>AND(medidas!BL141,"AAAAAEb9f1s=")</f>
        <v>#VALUE!</v>
      </c>
      <c r="CO70" t="e">
        <f>AND(medidas!BM141,"AAAAAEb9f1w=")</f>
        <v>#VALUE!</v>
      </c>
      <c r="CP70" t="e">
        <f>AND(medidas!BN141,"AAAAAEb9f10=")</f>
        <v>#VALUE!</v>
      </c>
      <c r="CQ70" t="e">
        <f>AND(medidas!BO141,"AAAAAEb9f14=")</f>
        <v>#VALUE!</v>
      </c>
      <c r="CR70" t="e">
        <f>AND(medidas!BP141,"AAAAAEb9f18=")</f>
        <v>#VALUE!</v>
      </c>
      <c r="CS70" t="e">
        <f>AND(medidas!BQ141,"AAAAAEb9f2A=")</f>
        <v>#VALUE!</v>
      </c>
      <c r="CT70" t="e">
        <f>AND(medidas!BR141,"AAAAAEb9f2E=")</f>
        <v>#VALUE!</v>
      </c>
      <c r="CU70" t="e">
        <f>AND(medidas!BS141,"AAAAAEb9f2I=")</f>
        <v>#VALUE!</v>
      </c>
      <c r="CV70" t="e">
        <f>AND(medidas!BT141,"AAAAAEb9f2M=")</f>
        <v>#VALUE!</v>
      </c>
      <c r="CW70" t="e">
        <f>AND(medidas!BU141,"AAAAAEb9f2Q=")</f>
        <v>#VALUE!</v>
      </c>
      <c r="CX70" t="e">
        <f>AND(medidas!BV141,"AAAAAEb9f2U=")</f>
        <v>#VALUE!</v>
      </c>
      <c r="CY70" t="e">
        <f>AND(medidas!BW141,"AAAAAEb9f2Y=")</f>
        <v>#VALUE!</v>
      </c>
      <c r="CZ70" t="e">
        <f>AND(medidas!BX141,"AAAAAEb9f2c=")</f>
        <v>#VALUE!</v>
      </c>
      <c r="DA70" t="e">
        <f>AND(medidas!BY141,"AAAAAEb9f2g=")</f>
        <v>#VALUE!</v>
      </c>
      <c r="DB70">
        <f>IF(medidas!142:142,"AAAAAEb9f2k=",0)</f>
        <v>0</v>
      </c>
      <c r="DC70" t="e">
        <f>AND(medidas!B142,"AAAAAEb9f2o=")</f>
        <v>#VALUE!</v>
      </c>
      <c r="DD70" t="e">
        <f>AND(medidas!C142,"AAAAAEb9f2s=")</f>
        <v>#VALUE!</v>
      </c>
      <c r="DE70" t="e">
        <f>AND(medidas!D142,"AAAAAEb9f2w=")</f>
        <v>#VALUE!</v>
      </c>
      <c r="DF70" t="e">
        <f>AND(medidas!E142,"AAAAAEb9f20=")</f>
        <v>#VALUE!</v>
      </c>
      <c r="DG70" t="e">
        <f>AND(medidas!F142,"AAAAAEb9f24=")</f>
        <v>#VALUE!</v>
      </c>
      <c r="DH70" t="e">
        <f>AND(medidas!G142,"AAAAAEb9f28=")</f>
        <v>#VALUE!</v>
      </c>
      <c r="DI70" t="e">
        <f>AND(medidas!H142,"AAAAAEb9f3A=")</f>
        <v>#VALUE!</v>
      </c>
      <c r="DJ70" t="e">
        <f>AND(medidas!I142,"AAAAAEb9f3E=")</f>
        <v>#VALUE!</v>
      </c>
      <c r="DK70" t="e">
        <f>AND(medidas!J142,"AAAAAEb9f3I=")</f>
        <v>#VALUE!</v>
      </c>
      <c r="DL70" t="e">
        <f>AND(medidas!K142,"AAAAAEb9f3M=")</f>
        <v>#VALUE!</v>
      </c>
      <c r="DM70" t="e">
        <f>AND(medidas!L142,"AAAAAEb9f3Q=")</f>
        <v>#VALUE!</v>
      </c>
      <c r="DN70" t="e">
        <f>AND(medidas!M142,"AAAAAEb9f3U=")</f>
        <v>#VALUE!</v>
      </c>
      <c r="DO70" t="e">
        <f>AND(medidas!N142,"AAAAAEb9f3Y=")</f>
        <v>#VALUE!</v>
      </c>
      <c r="DP70" t="e">
        <f>AND(medidas!O142,"AAAAAEb9f3c=")</f>
        <v>#VALUE!</v>
      </c>
      <c r="DQ70" t="e">
        <f>AND(medidas!P142,"AAAAAEb9f3g=")</f>
        <v>#VALUE!</v>
      </c>
      <c r="DR70" t="e">
        <f>AND(medidas!Q142,"AAAAAEb9f3k=")</f>
        <v>#VALUE!</v>
      </c>
      <c r="DS70" t="e">
        <f>AND(medidas!R142,"AAAAAEb9f3o=")</f>
        <v>#VALUE!</v>
      </c>
      <c r="DT70" t="e">
        <f>AND(medidas!S142,"AAAAAEb9f3s=")</f>
        <v>#VALUE!</v>
      </c>
      <c r="DU70" t="e">
        <f>AND(medidas!T142,"AAAAAEb9f3w=")</f>
        <v>#VALUE!</v>
      </c>
      <c r="DV70" t="e">
        <f>AND(medidas!U142,"AAAAAEb9f30=")</f>
        <v>#VALUE!</v>
      </c>
      <c r="DW70" t="e">
        <f>AND(medidas!V142,"AAAAAEb9f34=")</f>
        <v>#VALUE!</v>
      </c>
      <c r="DX70" t="e">
        <f>AND(medidas!W142,"AAAAAEb9f38=")</f>
        <v>#VALUE!</v>
      </c>
      <c r="DY70" t="e">
        <f>AND(medidas!X142,"AAAAAEb9f4A=")</f>
        <v>#VALUE!</v>
      </c>
      <c r="DZ70" t="e">
        <f>AND(medidas!Y142,"AAAAAEb9f4E=")</f>
        <v>#VALUE!</v>
      </c>
      <c r="EA70" t="e">
        <f>AND(medidas!Z142,"AAAAAEb9f4I=")</f>
        <v>#VALUE!</v>
      </c>
      <c r="EB70" t="e">
        <f>AND(medidas!AA142,"AAAAAEb9f4M=")</f>
        <v>#VALUE!</v>
      </c>
      <c r="EC70" t="e">
        <f>AND(medidas!AB142,"AAAAAEb9f4Q=")</f>
        <v>#VALUE!</v>
      </c>
      <c r="ED70" t="e">
        <f>AND(medidas!AC142,"AAAAAEb9f4U=")</f>
        <v>#VALUE!</v>
      </c>
      <c r="EE70" t="e">
        <f>AND(medidas!AD142,"AAAAAEb9f4Y=")</f>
        <v>#VALUE!</v>
      </c>
      <c r="EF70" t="e">
        <f>AND(medidas!AE142,"AAAAAEb9f4c=")</f>
        <v>#VALUE!</v>
      </c>
      <c r="EG70" t="e">
        <f>AND(medidas!AF142,"AAAAAEb9f4g=")</f>
        <v>#VALUE!</v>
      </c>
      <c r="EH70" t="e">
        <f>AND(medidas!AG142,"AAAAAEb9f4k=")</f>
        <v>#VALUE!</v>
      </c>
      <c r="EI70" t="e">
        <f>AND(medidas!AH142,"AAAAAEb9f4o=")</f>
        <v>#VALUE!</v>
      </c>
      <c r="EJ70" t="e">
        <f>AND(medidas!AI142,"AAAAAEb9f4s=")</f>
        <v>#VALUE!</v>
      </c>
      <c r="EK70" t="e">
        <f>AND(medidas!AJ142,"AAAAAEb9f4w=")</f>
        <v>#VALUE!</v>
      </c>
      <c r="EL70" t="e">
        <f>AND(medidas!AK142,"AAAAAEb9f40=")</f>
        <v>#VALUE!</v>
      </c>
      <c r="EM70" t="e">
        <f>AND(medidas!AL142,"AAAAAEb9f44=")</f>
        <v>#VALUE!</v>
      </c>
      <c r="EN70" t="e">
        <f>AND(medidas!AM142,"AAAAAEb9f48=")</f>
        <v>#VALUE!</v>
      </c>
      <c r="EO70" t="e">
        <f>AND(medidas!AN142,"AAAAAEb9f5A=")</f>
        <v>#VALUE!</v>
      </c>
      <c r="EP70" t="e">
        <f>AND(medidas!AO142,"AAAAAEb9f5E=")</f>
        <v>#VALUE!</v>
      </c>
      <c r="EQ70" t="e">
        <f>AND(medidas!AP142,"AAAAAEb9f5I=")</f>
        <v>#VALUE!</v>
      </c>
      <c r="ER70" t="e">
        <f>AND(medidas!AQ142,"AAAAAEb9f5M=")</f>
        <v>#VALUE!</v>
      </c>
      <c r="ES70" t="e">
        <f>AND(medidas!AR142,"AAAAAEb9f5Q=")</f>
        <v>#VALUE!</v>
      </c>
      <c r="ET70" t="e">
        <f>AND(medidas!AS142,"AAAAAEb9f5U=")</f>
        <v>#VALUE!</v>
      </c>
      <c r="EU70" t="e">
        <f>AND(medidas!AT142,"AAAAAEb9f5Y=")</f>
        <v>#VALUE!</v>
      </c>
      <c r="EV70" t="e">
        <f>AND(medidas!AU142,"AAAAAEb9f5c=")</f>
        <v>#VALUE!</v>
      </c>
      <c r="EW70" t="e">
        <f>AND(medidas!AV142,"AAAAAEb9f5g=")</f>
        <v>#VALUE!</v>
      </c>
      <c r="EX70" t="e">
        <f>AND(medidas!AW142,"AAAAAEb9f5k=")</f>
        <v>#VALUE!</v>
      </c>
      <c r="EY70" t="e">
        <f>AND(medidas!AX142,"AAAAAEb9f5o=")</f>
        <v>#VALUE!</v>
      </c>
      <c r="EZ70" t="e">
        <f>AND(medidas!AY142,"AAAAAEb9f5s=")</f>
        <v>#VALUE!</v>
      </c>
      <c r="FA70" t="e">
        <f>AND(medidas!AZ142,"AAAAAEb9f5w=")</f>
        <v>#VALUE!</v>
      </c>
      <c r="FB70" t="e">
        <f>AND(medidas!BA142,"AAAAAEb9f50=")</f>
        <v>#VALUE!</v>
      </c>
      <c r="FC70" t="e">
        <f>AND(medidas!BB142,"AAAAAEb9f54=")</f>
        <v>#VALUE!</v>
      </c>
      <c r="FD70" t="e">
        <f>AND(medidas!BC142,"AAAAAEb9f58=")</f>
        <v>#VALUE!</v>
      </c>
      <c r="FE70" t="e">
        <f>AND(medidas!BD142,"AAAAAEb9f6A=")</f>
        <v>#VALUE!</v>
      </c>
      <c r="FF70" t="e">
        <f>AND(medidas!BE142,"AAAAAEb9f6E=")</f>
        <v>#VALUE!</v>
      </c>
      <c r="FG70" t="e">
        <f>AND(medidas!BF142,"AAAAAEb9f6I=")</f>
        <v>#VALUE!</v>
      </c>
      <c r="FH70" t="e">
        <f>AND(medidas!BG142,"AAAAAEb9f6M=")</f>
        <v>#VALUE!</v>
      </c>
      <c r="FI70" t="e">
        <f>AND(medidas!BH142,"AAAAAEb9f6Q=")</f>
        <v>#VALUE!</v>
      </c>
      <c r="FJ70" t="e">
        <f>AND(medidas!BI142,"AAAAAEb9f6U=")</f>
        <v>#VALUE!</v>
      </c>
      <c r="FK70" t="e">
        <f>AND(medidas!BJ142,"AAAAAEb9f6Y=")</f>
        <v>#VALUE!</v>
      </c>
      <c r="FL70" t="e">
        <f>AND(medidas!BK142,"AAAAAEb9f6c=")</f>
        <v>#VALUE!</v>
      </c>
      <c r="FM70" t="e">
        <f>AND(medidas!BL142,"AAAAAEb9f6g=")</f>
        <v>#VALUE!</v>
      </c>
      <c r="FN70" t="e">
        <f>AND(medidas!BM142,"AAAAAEb9f6k=")</f>
        <v>#VALUE!</v>
      </c>
      <c r="FO70" t="e">
        <f>AND(medidas!BN142,"AAAAAEb9f6o=")</f>
        <v>#VALUE!</v>
      </c>
      <c r="FP70" t="e">
        <f>AND(medidas!BO142,"AAAAAEb9f6s=")</f>
        <v>#VALUE!</v>
      </c>
      <c r="FQ70" t="e">
        <f>AND(medidas!BP142,"AAAAAEb9f6w=")</f>
        <v>#VALUE!</v>
      </c>
      <c r="FR70" t="e">
        <f>AND(medidas!BQ142,"AAAAAEb9f60=")</f>
        <v>#VALUE!</v>
      </c>
      <c r="FS70" t="e">
        <f>AND(medidas!BR142,"AAAAAEb9f64=")</f>
        <v>#VALUE!</v>
      </c>
      <c r="FT70" t="e">
        <f>AND(medidas!BS142,"AAAAAEb9f68=")</f>
        <v>#VALUE!</v>
      </c>
      <c r="FU70" t="e">
        <f>AND(medidas!BT142,"AAAAAEb9f7A=")</f>
        <v>#VALUE!</v>
      </c>
      <c r="FV70" t="e">
        <f>AND(medidas!BU142,"AAAAAEb9f7E=")</f>
        <v>#VALUE!</v>
      </c>
      <c r="FW70" t="e">
        <f>AND(medidas!BV142,"AAAAAEb9f7I=")</f>
        <v>#VALUE!</v>
      </c>
      <c r="FX70" t="e">
        <f>AND(medidas!BW142,"AAAAAEb9f7M=")</f>
        <v>#VALUE!</v>
      </c>
      <c r="FY70" t="e">
        <f>AND(medidas!BX142,"AAAAAEb9f7Q=")</f>
        <v>#VALUE!</v>
      </c>
      <c r="FZ70" t="e">
        <f>AND(medidas!BY142,"AAAAAEb9f7U=")</f>
        <v>#VALUE!</v>
      </c>
      <c r="GA70">
        <f>IF(medidas!143:143,"AAAAAEb9f7Y=",0)</f>
        <v>0</v>
      </c>
      <c r="GB70" t="e">
        <f>AND(medidas!B143,"AAAAAEb9f7c=")</f>
        <v>#VALUE!</v>
      </c>
      <c r="GC70" t="e">
        <f>AND(medidas!C143,"AAAAAEb9f7g=")</f>
        <v>#VALUE!</v>
      </c>
      <c r="GD70" t="e">
        <f>AND(medidas!D143,"AAAAAEb9f7k=")</f>
        <v>#VALUE!</v>
      </c>
      <c r="GE70" t="e">
        <f>AND(medidas!E143,"AAAAAEb9f7o=")</f>
        <v>#VALUE!</v>
      </c>
      <c r="GF70" t="e">
        <f>AND(medidas!F143,"AAAAAEb9f7s=")</f>
        <v>#VALUE!</v>
      </c>
      <c r="GG70" t="e">
        <f>AND(medidas!G143,"AAAAAEb9f7w=")</f>
        <v>#VALUE!</v>
      </c>
      <c r="GH70" t="e">
        <f>AND(medidas!H143,"AAAAAEb9f70=")</f>
        <v>#VALUE!</v>
      </c>
      <c r="GI70" t="e">
        <f>AND(medidas!I143,"AAAAAEb9f74=")</f>
        <v>#VALUE!</v>
      </c>
      <c r="GJ70" t="e">
        <f>AND(medidas!J143,"AAAAAEb9f78=")</f>
        <v>#VALUE!</v>
      </c>
      <c r="GK70" t="e">
        <f>AND(medidas!K143,"AAAAAEb9f8A=")</f>
        <v>#VALUE!</v>
      </c>
      <c r="GL70" t="e">
        <f>AND(medidas!L143,"AAAAAEb9f8E=")</f>
        <v>#VALUE!</v>
      </c>
      <c r="GM70" t="e">
        <f>AND(medidas!M143,"AAAAAEb9f8I=")</f>
        <v>#VALUE!</v>
      </c>
      <c r="GN70" t="e">
        <f>AND(medidas!N143,"AAAAAEb9f8M=")</f>
        <v>#VALUE!</v>
      </c>
      <c r="GO70" t="e">
        <f>AND(medidas!O143,"AAAAAEb9f8Q=")</f>
        <v>#VALUE!</v>
      </c>
      <c r="GP70" t="e">
        <f>AND(medidas!P143,"AAAAAEb9f8U=")</f>
        <v>#VALUE!</v>
      </c>
      <c r="GQ70" t="e">
        <f>AND(medidas!Q143,"AAAAAEb9f8Y=")</f>
        <v>#VALUE!</v>
      </c>
      <c r="GR70" t="e">
        <f>AND(medidas!R143,"AAAAAEb9f8c=")</f>
        <v>#VALUE!</v>
      </c>
      <c r="GS70" t="e">
        <f>AND(medidas!S143,"AAAAAEb9f8g=")</f>
        <v>#VALUE!</v>
      </c>
      <c r="GT70" t="e">
        <f>AND(medidas!T143,"AAAAAEb9f8k=")</f>
        <v>#VALUE!</v>
      </c>
      <c r="GU70" t="e">
        <f>AND(medidas!U143,"AAAAAEb9f8o=")</f>
        <v>#VALUE!</v>
      </c>
      <c r="GV70" t="e">
        <f>AND(medidas!V143,"AAAAAEb9f8s=")</f>
        <v>#VALUE!</v>
      </c>
      <c r="GW70" t="e">
        <f>AND(medidas!W143,"AAAAAEb9f8w=")</f>
        <v>#VALUE!</v>
      </c>
      <c r="GX70" t="e">
        <f>AND(medidas!X143,"AAAAAEb9f80=")</f>
        <v>#VALUE!</v>
      </c>
      <c r="GY70" t="e">
        <f>AND(medidas!Y143,"AAAAAEb9f84=")</f>
        <v>#VALUE!</v>
      </c>
      <c r="GZ70" t="e">
        <f>AND(medidas!Z143,"AAAAAEb9f88=")</f>
        <v>#VALUE!</v>
      </c>
      <c r="HA70" t="e">
        <f>AND(medidas!AA143,"AAAAAEb9f9A=")</f>
        <v>#VALUE!</v>
      </c>
      <c r="HB70" t="e">
        <f>AND(medidas!AB143,"AAAAAEb9f9E=")</f>
        <v>#VALUE!</v>
      </c>
      <c r="HC70" t="e">
        <f>AND(medidas!AC143,"AAAAAEb9f9I=")</f>
        <v>#VALUE!</v>
      </c>
      <c r="HD70" t="e">
        <f>AND(medidas!AD143,"AAAAAEb9f9M=")</f>
        <v>#VALUE!</v>
      </c>
      <c r="HE70" t="e">
        <f>AND(medidas!AE143,"AAAAAEb9f9Q=")</f>
        <v>#VALUE!</v>
      </c>
      <c r="HF70" t="e">
        <f>AND(medidas!AF143,"AAAAAEb9f9U=")</f>
        <v>#VALUE!</v>
      </c>
      <c r="HG70" t="e">
        <f>AND(medidas!AG143,"AAAAAEb9f9Y=")</f>
        <v>#VALUE!</v>
      </c>
      <c r="HH70" t="e">
        <f>AND(medidas!AH143,"AAAAAEb9f9c=")</f>
        <v>#VALUE!</v>
      </c>
      <c r="HI70" t="e">
        <f>AND(medidas!AI143,"AAAAAEb9f9g=")</f>
        <v>#VALUE!</v>
      </c>
      <c r="HJ70" t="e">
        <f>AND(medidas!AJ143,"AAAAAEb9f9k=")</f>
        <v>#VALUE!</v>
      </c>
      <c r="HK70" t="e">
        <f>AND(medidas!AK143,"AAAAAEb9f9o=")</f>
        <v>#VALUE!</v>
      </c>
      <c r="HL70" t="e">
        <f>AND(medidas!AL143,"AAAAAEb9f9s=")</f>
        <v>#VALUE!</v>
      </c>
      <c r="HM70" t="e">
        <f>AND(medidas!AM143,"AAAAAEb9f9w=")</f>
        <v>#VALUE!</v>
      </c>
      <c r="HN70" t="e">
        <f>AND(medidas!AN143,"AAAAAEb9f90=")</f>
        <v>#VALUE!</v>
      </c>
      <c r="HO70" t="e">
        <f>AND(medidas!AO143,"AAAAAEb9f94=")</f>
        <v>#VALUE!</v>
      </c>
      <c r="HP70" t="e">
        <f>AND(medidas!AP143,"AAAAAEb9f98=")</f>
        <v>#VALUE!</v>
      </c>
      <c r="HQ70" t="e">
        <f>AND(medidas!AQ143,"AAAAAEb9f+A=")</f>
        <v>#VALUE!</v>
      </c>
      <c r="HR70" t="e">
        <f>AND(medidas!AR143,"AAAAAEb9f+E=")</f>
        <v>#VALUE!</v>
      </c>
      <c r="HS70" t="e">
        <f>AND(medidas!AS143,"AAAAAEb9f+I=")</f>
        <v>#VALUE!</v>
      </c>
      <c r="HT70" t="e">
        <f>AND(medidas!AT143,"AAAAAEb9f+M=")</f>
        <v>#VALUE!</v>
      </c>
      <c r="HU70" t="e">
        <f>AND(medidas!AU143,"AAAAAEb9f+Q=")</f>
        <v>#VALUE!</v>
      </c>
      <c r="HV70" t="e">
        <f>AND(medidas!AV143,"AAAAAEb9f+U=")</f>
        <v>#VALUE!</v>
      </c>
      <c r="HW70" t="e">
        <f>AND(medidas!AW143,"AAAAAEb9f+Y=")</f>
        <v>#VALUE!</v>
      </c>
      <c r="HX70" t="e">
        <f>AND(medidas!AX143,"AAAAAEb9f+c=")</f>
        <v>#VALUE!</v>
      </c>
      <c r="HY70" t="e">
        <f>AND(medidas!AY143,"AAAAAEb9f+g=")</f>
        <v>#VALUE!</v>
      </c>
      <c r="HZ70" t="e">
        <f>AND(medidas!AZ143,"AAAAAEb9f+k=")</f>
        <v>#VALUE!</v>
      </c>
      <c r="IA70" t="e">
        <f>AND(medidas!BA143,"AAAAAEb9f+o=")</f>
        <v>#VALUE!</v>
      </c>
      <c r="IB70" t="e">
        <f>AND(medidas!BB143,"AAAAAEb9f+s=")</f>
        <v>#VALUE!</v>
      </c>
      <c r="IC70" t="e">
        <f>AND(medidas!BC143,"AAAAAEb9f+w=")</f>
        <v>#VALUE!</v>
      </c>
      <c r="ID70" t="e">
        <f>AND(medidas!BD143,"AAAAAEb9f+0=")</f>
        <v>#VALUE!</v>
      </c>
      <c r="IE70" t="e">
        <f>AND(medidas!BE143,"AAAAAEb9f+4=")</f>
        <v>#VALUE!</v>
      </c>
      <c r="IF70" t="e">
        <f>AND(medidas!BF143,"AAAAAEb9f+8=")</f>
        <v>#VALUE!</v>
      </c>
      <c r="IG70" t="e">
        <f>AND(medidas!BG143,"AAAAAEb9f/A=")</f>
        <v>#VALUE!</v>
      </c>
      <c r="IH70" t="e">
        <f>AND(medidas!BH143,"AAAAAEb9f/E=")</f>
        <v>#VALUE!</v>
      </c>
      <c r="II70" t="e">
        <f>AND(medidas!BI143,"AAAAAEb9f/I=")</f>
        <v>#VALUE!</v>
      </c>
      <c r="IJ70" t="e">
        <f>AND(medidas!BJ143,"AAAAAEb9f/M=")</f>
        <v>#VALUE!</v>
      </c>
      <c r="IK70" t="e">
        <f>AND(medidas!BK143,"AAAAAEb9f/Q=")</f>
        <v>#VALUE!</v>
      </c>
      <c r="IL70" t="e">
        <f>AND(medidas!BL143,"AAAAAEb9f/U=")</f>
        <v>#VALUE!</v>
      </c>
      <c r="IM70" t="e">
        <f>AND(medidas!BM143,"AAAAAEb9f/Y=")</f>
        <v>#VALUE!</v>
      </c>
      <c r="IN70" t="e">
        <f>AND(medidas!BN143,"AAAAAEb9f/c=")</f>
        <v>#VALUE!</v>
      </c>
      <c r="IO70" t="e">
        <f>AND(medidas!BO143,"AAAAAEb9f/g=")</f>
        <v>#VALUE!</v>
      </c>
      <c r="IP70" t="e">
        <f>AND(medidas!BP143,"AAAAAEb9f/k=")</f>
        <v>#VALUE!</v>
      </c>
      <c r="IQ70" t="e">
        <f>AND(medidas!BQ143,"AAAAAEb9f/o=")</f>
        <v>#VALUE!</v>
      </c>
      <c r="IR70" t="e">
        <f>AND(medidas!BR143,"AAAAAEb9f/s=")</f>
        <v>#VALUE!</v>
      </c>
      <c r="IS70" t="e">
        <f>AND(medidas!BS143,"AAAAAEb9f/w=")</f>
        <v>#VALUE!</v>
      </c>
      <c r="IT70" t="e">
        <f>AND(medidas!BT143,"AAAAAEb9f/0=")</f>
        <v>#VALUE!</v>
      </c>
      <c r="IU70" t="e">
        <f>AND(medidas!BU143,"AAAAAEb9f/4=")</f>
        <v>#VALUE!</v>
      </c>
      <c r="IV70" t="e">
        <f>AND(medidas!BV143,"AAAAAEb9f/8=")</f>
        <v>#VALUE!</v>
      </c>
    </row>
    <row r="71" spans="1:256" x14ac:dyDescent="0.2">
      <c r="A71" t="e">
        <f>AND(medidas!BW143,"AAAAACf+pQA=")</f>
        <v>#VALUE!</v>
      </c>
      <c r="B71" t="e">
        <f>AND(medidas!BX143,"AAAAACf+pQE=")</f>
        <v>#VALUE!</v>
      </c>
      <c r="C71" t="e">
        <f>AND(medidas!BY143,"AAAAACf+pQI=")</f>
        <v>#VALUE!</v>
      </c>
      <c r="D71">
        <f>IF(medidas!144:144,"AAAAACf+pQM=",0)</f>
        <v>0</v>
      </c>
      <c r="E71" t="e">
        <f>AND(medidas!B144,"AAAAACf+pQQ=")</f>
        <v>#VALUE!</v>
      </c>
      <c r="F71" t="e">
        <f>AND(medidas!C144,"AAAAACf+pQU=")</f>
        <v>#VALUE!</v>
      </c>
      <c r="G71" t="e">
        <f>AND(medidas!D144,"AAAAACf+pQY=")</f>
        <v>#VALUE!</v>
      </c>
      <c r="H71" t="e">
        <f>AND(medidas!E144,"AAAAACf+pQc=")</f>
        <v>#VALUE!</v>
      </c>
      <c r="I71" t="e">
        <f>AND(medidas!F144,"AAAAACf+pQg=")</f>
        <v>#VALUE!</v>
      </c>
      <c r="J71" t="e">
        <f>AND(medidas!G144,"AAAAACf+pQk=")</f>
        <v>#VALUE!</v>
      </c>
      <c r="K71" t="e">
        <f>AND(medidas!H144,"AAAAACf+pQo=")</f>
        <v>#VALUE!</v>
      </c>
      <c r="L71" t="e">
        <f>AND(medidas!I144,"AAAAACf+pQs=")</f>
        <v>#VALUE!</v>
      </c>
      <c r="M71" t="e">
        <f>AND(medidas!J144,"AAAAACf+pQw=")</f>
        <v>#VALUE!</v>
      </c>
      <c r="N71" t="e">
        <f>AND(medidas!K144,"AAAAACf+pQ0=")</f>
        <v>#VALUE!</v>
      </c>
      <c r="O71" t="e">
        <f>AND(medidas!L144,"AAAAACf+pQ4=")</f>
        <v>#VALUE!</v>
      </c>
      <c r="P71" t="e">
        <f>AND(medidas!M144,"AAAAACf+pQ8=")</f>
        <v>#VALUE!</v>
      </c>
      <c r="Q71" t="e">
        <f>AND(medidas!N144,"AAAAACf+pRA=")</f>
        <v>#VALUE!</v>
      </c>
      <c r="R71" t="e">
        <f>AND(medidas!O144,"AAAAACf+pRE=")</f>
        <v>#VALUE!</v>
      </c>
      <c r="S71" t="e">
        <f>AND(medidas!P144,"AAAAACf+pRI=")</f>
        <v>#VALUE!</v>
      </c>
      <c r="T71" t="e">
        <f>AND(medidas!Q144,"AAAAACf+pRM=")</f>
        <v>#VALUE!</v>
      </c>
      <c r="U71" t="e">
        <f>AND(medidas!R144,"AAAAACf+pRQ=")</f>
        <v>#VALUE!</v>
      </c>
      <c r="V71" t="e">
        <f>AND(medidas!S144,"AAAAACf+pRU=")</f>
        <v>#VALUE!</v>
      </c>
      <c r="W71" t="e">
        <f>AND(medidas!T144,"AAAAACf+pRY=")</f>
        <v>#VALUE!</v>
      </c>
      <c r="X71" t="e">
        <f>AND(medidas!U144,"AAAAACf+pRc=")</f>
        <v>#VALUE!</v>
      </c>
      <c r="Y71" t="e">
        <f>AND(medidas!V144,"AAAAACf+pRg=")</f>
        <v>#VALUE!</v>
      </c>
      <c r="Z71" t="e">
        <f>AND(medidas!W144,"AAAAACf+pRk=")</f>
        <v>#VALUE!</v>
      </c>
      <c r="AA71" t="e">
        <f>AND(medidas!X144,"AAAAACf+pRo=")</f>
        <v>#VALUE!</v>
      </c>
      <c r="AB71" t="e">
        <f>AND(medidas!Y144,"AAAAACf+pRs=")</f>
        <v>#VALUE!</v>
      </c>
      <c r="AC71" t="e">
        <f>AND(medidas!Z144,"AAAAACf+pRw=")</f>
        <v>#VALUE!</v>
      </c>
      <c r="AD71" t="e">
        <f>AND(medidas!AA144,"AAAAACf+pR0=")</f>
        <v>#VALUE!</v>
      </c>
      <c r="AE71" t="e">
        <f>AND(medidas!AB144,"AAAAACf+pR4=")</f>
        <v>#VALUE!</v>
      </c>
      <c r="AF71" t="e">
        <f>AND(medidas!AC144,"AAAAACf+pR8=")</f>
        <v>#VALUE!</v>
      </c>
      <c r="AG71" t="e">
        <f>AND(medidas!AD144,"AAAAACf+pSA=")</f>
        <v>#VALUE!</v>
      </c>
      <c r="AH71" t="e">
        <f>AND(medidas!AE144,"AAAAACf+pSE=")</f>
        <v>#VALUE!</v>
      </c>
      <c r="AI71" t="e">
        <f>AND(medidas!AF144,"AAAAACf+pSI=")</f>
        <v>#VALUE!</v>
      </c>
      <c r="AJ71" t="e">
        <f>AND(medidas!AG144,"AAAAACf+pSM=")</f>
        <v>#VALUE!</v>
      </c>
      <c r="AK71" t="e">
        <f>AND(medidas!AH144,"AAAAACf+pSQ=")</f>
        <v>#VALUE!</v>
      </c>
      <c r="AL71" t="e">
        <f>AND(medidas!AI144,"AAAAACf+pSU=")</f>
        <v>#VALUE!</v>
      </c>
      <c r="AM71" t="e">
        <f>AND(medidas!AJ144,"AAAAACf+pSY=")</f>
        <v>#VALUE!</v>
      </c>
      <c r="AN71" t="e">
        <f>AND(medidas!AK144,"AAAAACf+pSc=")</f>
        <v>#VALUE!</v>
      </c>
      <c r="AO71" t="e">
        <f>AND(medidas!AL144,"AAAAACf+pSg=")</f>
        <v>#VALUE!</v>
      </c>
      <c r="AP71" t="e">
        <f>AND(medidas!AM144,"AAAAACf+pSk=")</f>
        <v>#VALUE!</v>
      </c>
      <c r="AQ71" t="e">
        <f>AND(medidas!AN144,"AAAAACf+pSo=")</f>
        <v>#VALUE!</v>
      </c>
      <c r="AR71" t="e">
        <f>AND(medidas!AO144,"AAAAACf+pSs=")</f>
        <v>#VALUE!</v>
      </c>
      <c r="AS71" t="e">
        <f>AND(medidas!AP144,"AAAAACf+pSw=")</f>
        <v>#VALUE!</v>
      </c>
      <c r="AT71" t="e">
        <f>AND(medidas!AQ144,"AAAAACf+pS0=")</f>
        <v>#VALUE!</v>
      </c>
      <c r="AU71" t="e">
        <f>AND(medidas!AR144,"AAAAACf+pS4=")</f>
        <v>#VALUE!</v>
      </c>
      <c r="AV71" t="e">
        <f>AND(medidas!AS144,"AAAAACf+pS8=")</f>
        <v>#VALUE!</v>
      </c>
      <c r="AW71" t="e">
        <f>AND(medidas!AT144,"AAAAACf+pTA=")</f>
        <v>#VALUE!</v>
      </c>
      <c r="AX71" t="e">
        <f>AND(medidas!AU144,"AAAAACf+pTE=")</f>
        <v>#VALUE!</v>
      </c>
      <c r="AY71" t="e">
        <f>AND(medidas!AV144,"AAAAACf+pTI=")</f>
        <v>#VALUE!</v>
      </c>
      <c r="AZ71" t="e">
        <f>AND(medidas!AW144,"AAAAACf+pTM=")</f>
        <v>#VALUE!</v>
      </c>
      <c r="BA71" t="e">
        <f>AND(medidas!AX144,"AAAAACf+pTQ=")</f>
        <v>#VALUE!</v>
      </c>
      <c r="BB71" t="e">
        <f>AND(medidas!AY144,"AAAAACf+pTU=")</f>
        <v>#VALUE!</v>
      </c>
      <c r="BC71" t="e">
        <f>AND(medidas!AZ144,"AAAAACf+pTY=")</f>
        <v>#VALUE!</v>
      </c>
      <c r="BD71" t="e">
        <f>AND(medidas!BA144,"AAAAACf+pTc=")</f>
        <v>#VALUE!</v>
      </c>
      <c r="BE71" t="e">
        <f>AND(medidas!BB144,"AAAAACf+pTg=")</f>
        <v>#VALUE!</v>
      </c>
      <c r="BF71" t="e">
        <f>AND(medidas!BC144,"AAAAACf+pTk=")</f>
        <v>#VALUE!</v>
      </c>
      <c r="BG71" t="e">
        <f>AND(medidas!BD144,"AAAAACf+pTo=")</f>
        <v>#VALUE!</v>
      </c>
      <c r="BH71" t="e">
        <f>AND(medidas!BE144,"AAAAACf+pTs=")</f>
        <v>#VALUE!</v>
      </c>
      <c r="BI71" t="e">
        <f>AND(medidas!BF144,"AAAAACf+pTw=")</f>
        <v>#VALUE!</v>
      </c>
      <c r="BJ71" t="e">
        <f>AND(medidas!BG144,"AAAAACf+pT0=")</f>
        <v>#VALUE!</v>
      </c>
      <c r="BK71" t="e">
        <f>AND(medidas!BH144,"AAAAACf+pT4=")</f>
        <v>#VALUE!</v>
      </c>
      <c r="BL71" t="e">
        <f>AND(medidas!BI144,"AAAAACf+pT8=")</f>
        <v>#VALUE!</v>
      </c>
      <c r="BM71" t="e">
        <f>AND(medidas!BJ144,"AAAAACf+pUA=")</f>
        <v>#VALUE!</v>
      </c>
      <c r="BN71" t="e">
        <f>AND(medidas!BK144,"AAAAACf+pUE=")</f>
        <v>#VALUE!</v>
      </c>
      <c r="BO71" t="e">
        <f>AND(medidas!BL144,"AAAAACf+pUI=")</f>
        <v>#VALUE!</v>
      </c>
      <c r="BP71" t="e">
        <f>AND(medidas!BM144,"AAAAACf+pUM=")</f>
        <v>#VALUE!</v>
      </c>
      <c r="BQ71" t="e">
        <f>AND(medidas!BN144,"AAAAACf+pUQ=")</f>
        <v>#VALUE!</v>
      </c>
      <c r="BR71" t="e">
        <f>AND(medidas!BO144,"AAAAACf+pUU=")</f>
        <v>#VALUE!</v>
      </c>
      <c r="BS71" t="e">
        <f>AND(medidas!BP144,"AAAAACf+pUY=")</f>
        <v>#VALUE!</v>
      </c>
      <c r="BT71" t="e">
        <f>AND(medidas!BQ144,"AAAAACf+pUc=")</f>
        <v>#VALUE!</v>
      </c>
      <c r="BU71" t="e">
        <f>AND(medidas!BR144,"AAAAACf+pUg=")</f>
        <v>#VALUE!</v>
      </c>
      <c r="BV71" t="e">
        <f>AND(medidas!BS144,"AAAAACf+pUk=")</f>
        <v>#VALUE!</v>
      </c>
      <c r="BW71" t="e">
        <f>AND(medidas!BT144,"AAAAACf+pUo=")</f>
        <v>#VALUE!</v>
      </c>
      <c r="BX71" t="e">
        <f>AND(medidas!BU144,"AAAAACf+pUs=")</f>
        <v>#VALUE!</v>
      </c>
      <c r="BY71" t="e">
        <f>AND(medidas!BV144,"AAAAACf+pUw=")</f>
        <v>#VALUE!</v>
      </c>
      <c r="BZ71" t="e">
        <f>AND(medidas!BW144,"AAAAACf+pU0=")</f>
        <v>#VALUE!</v>
      </c>
      <c r="CA71" t="e">
        <f>AND(medidas!BX144,"AAAAACf+pU4=")</f>
        <v>#VALUE!</v>
      </c>
      <c r="CB71" t="e">
        <f>AND(medidas!BY144,"AAAAACf+pU8=")</f>
        <v>#VALUE!</v>
      </c>
      <c r="CC71">
        <f>IF(medidas!145:145,"AAAAACf+pVA=",0)</f>
        <v>0</v>
      </c>
      <c r="CD71" t="e">
        <f>AND(medidas!B145,"AAAAACf+pVE=")</f>
        <v>#VALUE!</v>
      </c>
      <c r="CE71" t="e">
        <f>AND(medidas!C145,"AAAAACf+pVI=")</f>
        <v>#VALUE!</v>
      </c>
      <c r="CF71" t="e">
        <f>AND(medidas!D145,"AAAAACf+pVM=")</f>
        <v>#VALUE!</v>
      </c>
      <c r="CG71" t="e">
        <f>AND(medidas!E145,"AAAAACf+pVQ=")</f>
        <v>#VALUE!</v>
      </c>
      <c r="CH71" t="e">
        <f>AND(medidas!F145,"AAAAACf+pVU=")</f>
        <v>#VALUE!</v>
      </c>
      <c r="CI71" t="e">
        <f>AND(medidas!G145,"AAAAACf+pVY=")</f>
        <v>#VALUE!</v>
      </c>
      <c r="CJ71" t="e">
        <f>AND(medidas!H145,"AAAAACf+pVc=")</f>
        <v>#VALUE!</v>
      </c>
      <c r="CK71" t="e">
        <f>AND(medidas!I145,"AAAAACf+pVg=")</f>
        <v>#VALUE!</v>
      </c>
      <c r="CL71" t="e">
        <f>AND(medidas!J145,"AAAAACf+pVk=")</f>
        <v>#VALUE!</v>
      </c>
      <c r="CM71" t="e">
        <f>AND(medidas!K145,"AAAAACf+pVo=")</f>
        <v>#VALUE!</v>
      </c>
      <c r="CN71" t="e">
        <f>AND(medidas!L145,"AAAAACf+pVs=")</f>
        <v>#VALUE!</v>
      </c>
      <c r="CO71" t="e">
        <f>AND(medidas!M145,"AAAAACf+pVw=")</f>
        <v>#VALUE!</v>
      </c>
      <c r="CP71" t="e">
        <f>AND(medidas!N145,"AAAAACf+pV0=")</f>
        <v>#VALUE!</v>
      </c>
      <c r="CQ71" t="e">
        <f>AND(medidas!O145,"AAAAACf+pV4=")</f>
        <v>#VALUE!</v>
      </c>
      <c r="CR71" t="e">
        <f>AND(medidas!P145,"AAAAACf+pV8=")</f>
        <v>#VALUE!</v>
      </c>
      <c r="CS71" t="e">
        <f>AND(medidas!Q145,"AAAAACf+pWA=")</f>
        <v>#VALUE!</v>
      </c>
      <c r="CT71" t="e">
        <f>AND(medidas!R145,"AAAAACf+pWE=")</f>
        <v>#VALUE!</v>
      </c>
      <c r="CU71" t="e">
        <f>AND(medidas!S145,"AAAAACf+pWI=")</f>
        <v>#VALUE!</v>
      </c>
      <c r="CV71" t="e">
        <f>AND(medidas!T145,"AAAAACf+pWM=")</f>
        <v>#VALUE!</v>
      </c>
      <c r="CW71" t="e">
        <f>AND(medidas!U145,"AAAAACf+pWQ=")</f>
        <v>#VALUE!</v>
      </c>
      <c r="CX71" t="e">
        <f>AND(medidas!V145,"AAAAACf+pWU=")</f>
        <v>#VALUE!</v>
      </c>
      <c r="CY71" t="e">
        <f>AND(medidas!W145,"AAAAACf+pWY=")</f>
        <v>#VALUE!</v>
      </c>
      <c r="CZ71" t="e">
        <f>AND(medidas!X145,"AAAAACf+pWc=")</f>
        <v>#VALUE!</v>
      </c>
      <c r="DA71" t="e">
        <f>AND(medidas!Y145,"AAAAACf+pWg=")</f>
        <v>#VALUE!</v>
      </c>
      <c r="DB71" t="e">
        <f>AND(medidas!Z145,"AAAAACf+pWk=")</f>
        <v>#VALUE!</v>
      </c>
      <c r="DC71" t="e">
        <f>AND(medidas!AA145,"AAAAACf+pWo=")</f>
        <v>#VALUE!</v>
      </c>
      <c r="DD71" t="e">
        <f>AND(medidas!AB145,"AAAAACf+pWs=")</f>
        <v>#VALUE!</v>
      </c>
      <c r="DE71" t="e">
        <f>AND(medidas!AC145,"AAAAACf+pWw=")</f>
        <v>#VALUE!</v>
      </c>
      <c r="DF71" t="e">
        <f>AND(medidas!AD145,"AAAAACf+pW0=")</f>
        <v>#VALUE!</v>
      </c>
      <c r="DG71" t="e">
        <f>AND(medidas!AE145,"AAAAACf+pW4=")</f>
        <v>#VALUE!</v>
      </c>
      <c r="DH71" t="e">
        <f>AND(medidas!AF145,"AAAAACf+pW8=")</f>
        <v>#VALUE!</v>
      </c>
      <c r="DI71" t="e">
        <f>AND(medidas!AG145,"AAAAACf+pXA=")</f>
        <v>#VALUE!</v>
      </c>
      <c r="DJ71" t="e">
        <f>AND(medidas!AH145,"AAAAACf+pXE=")</f>
        <v>#VALUE!</v>
      </c>
      <c r="DK71" t="e">
        <f>AND(medidas!AI145,"AAAAACf+pXI=")</f>
        <v>#VALUE!</v>
      </c>
      <c r="DL71" t="e">
        <f>AND(medidas!AJ145,"AAAAACf+pXM=")</f>
        <v>#VALUE!</v>
      </c>
      <c r="DM71" t="e">
        <f>AND(medidas!AK145,"AAAAACf+pXQ=")</f>
        <v>#VALUE!</v>
      </c>
      <c r="DN71" t="e">
        <f>AND(medidas!AL145,"AAAAACf+pXU=")</f>
        <v>#VALUE!</v>
      </c>
      <c r="DO71" t="e">
        <f>AND(medidas!AM145,"AAAAACf+pXY=")</f>
        <v>#VALUE!</v>
      </c>
      <c r="DP71" t="e">
        <f>AND(medidas!AN145,"AAAAACf+pXc=")</f>
        <v>#VALUE!</v>
      </c>
      <c r="DQ71" t="e">
        <f>AND(medidas!AO145,"AAAAACf+pXg=")</f>
        <v>#VALUE!</v>
      </c>
      <c r="DR71" t="e">
        <f>AND(medidas!AP145,"AAAAACf+pXk=")</f>
        <v>#VALUE!</v>
      </c>
      <c r="DS71" t="e">
        <f>AND(medidas!AQ145,"AAAAACf+pXo=")</f>
        <v>#VALUE!</v>
      </c>
      <c r="DT71" t="e">
        <f>AND(medidas!AR145,"AAAAACf+pXs=")</f>
        <v>#VALUE!</v>
      </c>
      <c r="DU71" t="e">
        <f>AND(medidas!AS145,"AAAAACf+pXw=")</f>
        <v>#VALUE!</v>
      </c>
      <c r="DV71" t="e">
        <f>AND(medidas!AT145,"AAAAACf+pX0=")</f>
        <v>#VALUE!</v>
      </c>
      <c r="DW71" t="e">
        <f>AND(medidas!AU145,"AAAAACf+pX4=")</f>
        <v>#VALUE!</v>
      </c>
      <c r="DX71" t="e">
        <f>AND(medidas!AV145,"AAAAACf+pX8=")</f>
        <v>#VALUE!</v>
      </c>
      <c r="DY71" t="e">
        <f>AND(medidas!AW145,"AAAAACf+pYA=")</f>
        <v>#VALUE!</v>
      </c>
      <c r="DZ71" t="e">
        <f>AND(medidas!AX145,"AAAAACf+pYE=")</f>
        <v>#VALUE!</v>
      </c>
      <c r="EA71" t="e">
        <f>AND(medidas!AY145,"AAAAACf+pYI=")</f>
        <v>#VALUE!</v>
      </c>
      <c r="EB71" t="e">
        <f>AND(medidas!AZ145,"AAAAACf+pYM=")</f>
        <v>#VALUE!</v>
      </c>
      <c r="EC71" t="e">
        <f>AND(medidas!BA145,"AAAAACf+pYQ=")</f>
        <v>#VALUE!</v>
      </c>
      <c r="ED71" t="e">
        <f>AND(medidas!BB145,"AAAAACf+pYU=")</f>
        <v>#VALUE!</v>
      </c>
      <c r="EE71" t="e">
        <f>AND(medidas!BC145,"AAAAACf+pYY=")</f>
        <v>#VALUE!</v>
      </c>
      <c r="EF71" t="e">
        <f>AND(medidas!BD145,"AAAAACf+pYc=")</f>
        <v>#VALUE!</v>
      </c>
      <c r="EG71" t="e">
        <f>AND(medidas!BE145,"AAAAACf+pYg=")</f>
        <v>#VALUE!</v>
      </c>
      <c r="EH71" t="e">
        <f>AND(medidas!BF145,"AAAAACf+pYk=")</f>
        <v>#VALUE!</v>
      </c>
      <c r="EI71" t="e">
        <f>AND(medidas!BG145,"AAAAACf+pYo=")</f>
        <v>#VALUE!</v>
      </c>
      <c r="EJ71" t="e">
        <f>AND(medidas!BH145,"AAAAACf+pYs=")</f>
        <v>#VALUE!</v>
      </c>
      <c r="EK71" t="e">
        <f>AND(medidas!BI145,"AAAAACf+pYw=")</f>
        <v>#VALUE!</v>
      </c>
      <c r="EL71" t="e">
        <f>AND(medidas!BJ145,"AAAAACf+pY0=")</f>
        <v>#VALUE!</v>
      </c>
      <c r="EM71" t="e">
        <f>AND(medidas!BK145,"AAAAACf+pY4=")</f>
        <v>#VALUE!</v>
      </c>
      <c r="EN71" t="e">
        <f>AND(medidas!BL145,"AAAAACf+pY8=")</f>
        <v>#VALUE!</v>
      </c>
      <c r="EO71" t="e">
        <f>AND(medidas!BM145,"AAAAACf+pZA=")</f>
        <v>#VALUE!</v>
      </c>
      <c r="EP71" t="e">
        <f>AND(medidas!BN145,"AAAAACf+pZE=")</f>
        <v>#VALUE!</v>
      </c>
      <c r="EQ71" t="e">
        <f>AND(medidas!BO145,"AAAAACf+pZI=")</f>
        <v>#VALUE!</v>
      </c>
      <c r="ER71" t="e">
        <f>AND(medidas!BP145,"AAAAACf+pZM=")</f>
        <v>#VALUE!</v>
      </c>
      <c r="ES71" t="e">
        <f>AND(medidas!BQ145,"AAAAACf+pZQ=")</f>
        <v>#VALUE!</v>
      </c>
      <c r="ET71" t="e">
        <f>AND(medidas!BR145,"AAAAACf+pZU=")</f>
        <v>#VALUE!</v>
      </c>
      <c r="EU71" t="e">
        <f>AND(medidas!BS145,"AAAAACf+pZY=")</f>
        <v>#VALUE!</v>
      </c>
      <c r="EV71" t="e">
        <f>AND(medidas!BT145,"AAAAACf+pZc=")</f>
        <v>#VALUE!</v>
      </c>
      <c r="EW71" t="e">
        <f>AND(medidas!BU145,"AAAAACf+pZg=")</f>
        <v>#VALUE!</v>
      </c>
      <c r="EX71" t="e">
        <f>AND(medidas!BV145,"AAAAACf+pZk=")</f>
        <v>#VALUE!</v>
      </c>
      <c r="EY71" t="e">
        <f>AND(medidas!BW145,"AAAAACf+pZo=")</f>
        <v>#VALUE!</v>
      </c>
      <c r="EZ71" t="e">
        <f>AND(medidas!BX145,"AAAAACf+pZs=")</f>
        <v>#VALUE!</v>
      </c>
      <c r="FA71" t="e">
        <f>AND(medidas!BY145,"AAAAACf+pZw=")</f>
        <v>#VALUE!</v>
      </c>
      <c r="FB71">
        <f>IF(medidas!146:146,"AAAAACf+pZ0=",0)</f>
        <v>0</v>
      </c>
      <c r="FC71" t="e">
        <f>AND(medidas!B146,"AAAAACf+pZ4=")</f>
        <v>#VALUE!</v>
      </c>
      <c r="FD71" t="e">
        <f>AND(medidas!C146,"AAAAACf+pZ8=")</f>
        <v>#VALUE!</v>
      </c>
      <c r="FE71" t="e">
        <f>AND(medidas!D146,"AAAAACf+paA=")</f>
        <v>#VALUE!</v>
      </c>
      <c r="FF71" t="e">
        <f>AND(medidas!E146,"AAAAACf+paE=")</f>
        <v>#VALUE!</v>
      </c>
      <c r="FG71" t="e">
        <f>AND(medidas!F146,"AAAAACf+paI=")</f>
        <v>#VALUE!</v>
      </c>
      <c r="FH71" t="e">
        <f>AND(medidas!G146,"AAAAACf+paM=")</f>
        <v>#VALUE!</v>
      </c>
      <c r="FI71" t="e">
        <f>AND(medidas!H146,"AAAAACf+paQ=")</f>
        <v>#VALUE!</v>
      </c>
      <c r="FJ71" t="e">
        <f>AND(medidas!I146,"AAAAACf+paU=")</f>
        <v>#VALUE!</v>
      </c>
      <c r="FK71" t="e">
        <f>AND(medidas!J146,"AAAAACf+paY=")</f>
        <v>#VALUE!</v>
      </c>
      <c r="FL71" t="e">
        <f>AND(medidas!K146,"AAAAACf+pac=")</f>
        <v>#VALUE!</v>
      </c>
      <c r="FM71" t="e">
        <f>AND(medidas!L146,"AAAAACf+pag=")</f>
        <v>#VALUE!</v>
      </c>
      <c r="FN71" t="e">
        <f>AND(medidas!M146,"AAAAACf+pak=")</f>
        <v>#VALUE!</v>
      </c>
      <c r="FO71" t="e">
        <f>AND(medidas!N146,"AAAAACf+pao=")</f>
        <v>#VALUE!</v>
      </c>
      <c r="FP71" t="e">
        <f>AND(medidas!O146,"AAAAACf+pas=")</f>
        <v>#VALUE!</v>
      </c>
      <c r="FQ71" t="e">
        <f>AND(medidas!P146,"AAAAACf+paw=")</f>
        <v>#VALUE!</v>
      </c>
      <c r="FR71" t="e">
        <f>AND(medidas!Q146,"AAAAACf+pa0=")</f>
        <v>#VALUE!</v>
      </c>
      <c r="FS71" t="e">
        <f>AND(medidas!R146,"AAAAACf+pa4=")</f>
        <v>#VALUE!</v>
      </c>
      <c r="FT71" t="e">
        <f>AND(medidas!S146,"AAAAACf+pa8=")</f>
        <v>#VALUE!</v>
      </c>
      <c r="FU71" t="e">
        <f>AND(medidas!T146,"AAAAACf+pbA=")</f>
        <v>#VALUE!</v>
      </c>
      <c r="FV71" t="e">
        <f>AND(medidas!U146,"AAAAACf+pbE=")</f>
        <v>#VALUE!</v>
      </c>
      <c r="FW71" t="e">
        <f>AND(medidas!V146,"AAAAACf+pbI=")</f>
        <v>#VALUE!</v>
      </c>
      <c r="FX71" t="e">
        <f>AND(medidas!W146,"AAAAACf+pbM=")</f>
        <v>#VALUE!</v>
      </c>
      <c r="FY71" t="e">
        <f>AND(medidas!X146,"AAAAACf+pbQ=")</f>
        <v>#VALUE!</v>
      </c>
      <c r="FZ71" t="e">
        <f>AND(medidas!Y146,"AAAAACf+pbU=")</f>
        <v>#VALUE!</v>
      </c>
      <c r="GA71" t="e">
        <f>AND(medidas!Z146,"AAAAACf+pbY=")</f>
        <v>#VALUE!</v>
      </c>
      <c r="GB71" t="e">
        <f>AND(medidas!AA146,"AAAAACf+pbc=")</f>
        <v>#VALUE!</v>
      </c>
      <c r="GC71" t="e">
        <f>AND(medidas!AB146,"AAAAACf+pbg=")</f>
        <v>#VALUE!</v>
      </c>
      <c r="GD71" t="e">
        <f>AND(medidas!AC146,"AAAAACf+pbk=")</f>
        <v>#VALUE!</v>
      </c>
      <c r="GE71" t="e">
        <f>AND(medidas!AD146,"AAAAACf+pbo=")</f>
        <v>#VALUE!</v>
      </c>
      <c r="GF71" t="e">
        <f>AND(medidas!AE146,"AAAAACf+pbs=")</f>
        <v>#VALUE!</v>
      </c>
      <c r="GG71" t="e">
        <f>AND(medidas!AF146,"AAAAACf+pbw=")</f>
        <v>#VALUE!</v>
      </c>
      <c r="GH71" t="e">
        <f>AND(medidas!AG146,"AAAAACf+pb0=")</f>
        <v>#VALUE!</v>
      </c>
      <c r="GI71" t="e">
        <f>AND(medidas!AH146,"AAAAACf+pb4=")</f>
        <v>#VALUE!</v>
      </c>
      <c r="GJ71" t="e">
        <f>AND(medidas!AI146,"AAAAACf+pb8=")</f>
        <v>#VALUE!</v>
      </c>
      <c r="GK71" t="e">
        <f>AND(medidas!AJ146,"AAAAACf+pcA=")</f>
        <v>#VALUE!</v>
      </c>
      <c r="GL71" t="e">
        <f>AND(medidas!AK146,"AAAAACf+pcE=")</f>
        <v>#VALUE!</v>
      </c>
      <c r="GM71" t="e">
        <f>AND(medidas!AL146,"AAAAACf+pcI=")</f>
        <v>#VALUE!</v>
      </c>
      <c r="GN71" t="e">
        <f>AND(medidas!AM146,"AAAAACf+pcM=")</f>
        <v>#VALUE!</v>
      </c>
      <c r="GO71" t="e">
        <f>AND(medidas!AN146,"AAAAACf+pcQ=")</f>
        <v>#VALUE!</v>
      </c>
      <c r="GP71" t="e">
        <f>AND(medidas!AO146,"AAAAACf+pcU=")</f>
        <v>#VALUE!</v>
      </c>
      <c r="GQ71" t="e">
        <f>AND(medidas!AP146,"AAAAACf+pcY=")</f>
        <v>#VALUE!</v>
      </c>
      <c r="GR71" t="e">
        <f>AND(medidas!AQ146,"AAAAACf+pcc=")</f>
        <v>#VALUE!</v>
      </c>
      <c r="GS71" t="e">
        <f>AND(medidas!AR146,"AAAAACf+pcg=")</f>
        <v>#VALUE!</v>
      </c>
      <c r="GT71" t="e">
        <f>AND(medidas!AS146,"AAAAACf+pck=")</f>
        <v>#VALUE!</v>
      </c>
      <c r="GU71" t="e">
        <f>AND(medidas!AT146,"AAAAACf+pco=")</f>
        <v>#VALUE!</v>
      </c>
      <c r="GV71" t="e">
        <f>AND(medidas!AU146,"AAAAACf+pcs=")</f>
        <v>#VALUE!</v>
      </c>
      <c r="GW71" t="e">
        <f>AND(medidas!AV146,"AAAAACf+pcw=")</f>
        <v>#VALUE!</v>
      </c>
      <c r="GX71" t="e">
        <f>AND(medidas!AW146,"AAAAACf+pc0=")</f>
        <v>#VALUE!</v>
      </c>
      <c r="GY71" t="e">
        <f>AND(medidas!AX146,"AAAAACf+pc4=")</f>
        <v>#VALUE!</v>
      </c>
      <c r="GZ71" t="e">
        <f>AND(medidas!AY146,"AAAAACf+pc8=")</f>
        <v>#VALUE!</v>
      </c>
      <c r="HA71" t="e">
        <f>AND(medidas!AZ146,"AAAAACf+pdA=")</f>
        <v>#VALUE!</v>
      </c>
      <c r="HB71" t="e">
        <f>AND(medidas!BA146,"AAAAACf+pdE=")</f>
        <v>#VALUE!</v>
      </c>
      <c r="HC71" t="e">
        <f>AND(medidas!BB146,"AAAAACf+pdI=")</f>
        <v>#VALUE!</v>
      </c>
      <c r="HD71" t="e">
        <f>AND(medidas!BC146,"AAAAACf+pdM=")</f>
        <v>#VALUE!</v>
      </c>
      <c r="HE71" t="e">
        <f>AND(medidas!BD146,"AAAAACf+pdQ=")</f>
        <v>#VALUE!</v>
      </c>
      <c r="HF71" t="e">
        <f>AND(medidas!BE146,"AAAAACf+pdU=")</f>
        <v>#VALUE!</v>
      </c>
      <c r="HG71" t="e">
        <f>AND(medidas!BF146,"AAAAACf+pdY=")</f>
        <v>#VALUE!</v>
      </c>
      <c r="HH71" t="e">
        <f>AND(medidas!BG146,"AAAAACf+pdc=")</f>
        <v>#VALUE!</v>
      </c>
      <c r="HI71" t="e">
        <f>AND(medidas!BH146,"AAAAACf+pdg=")</f>
        <v>#VALUE!</v>
      </c>
      <c r="HJ71" t="e">
        <f>AND(medidas!BI146,"AAAAACf+pdk=")</f>
        <v>#VALUE!</v>
      </c>
      <c r="HK71" t="e">
        <f>AND(medidas!BJ146,"AAAAACf+pdo=")</f>
        <v>#VALUE!</v>
      </c>
      <c r="HL71" t="e">
        <f>AND(medidas!BK146,"AAAAACf+pds=")</f>
        <v>#VALUE!</v>
      </c>
      <c r="HM71" t="e">
        <f>AND(medidas!BL146,"AAAAACf+pdw=")</f>
        <v>#VALUE!</v>
      </c>
      <c r="HN71" t="e">
        <f>AND(medidas!BM146,"AAAAACf+pd0=")</f>
        <v>#VALUE!</v>
      </c>
      <c r="HO71" t="e">
        <f>AND(medidas!BN146,"AAAAACf+pd4=")</f>
        <v>#VALUE!</v>
      </c>
      <c r="HP71" t="e">
        <f>AND(medidas!BO146,"AAAAACf+pd8=")</f>
        <v>#VALUE!</v>
      </c>
      <c r="HQ71" t="e">
        <f>AND(medidas!BP146,"AAAAACf+peA=")</f>
        <v>#VALUE!</v>
      </c>
      <c r="HR71" t="e">
        <f>AND(medidas!BQ146,"AAAAACf+peE=")</f>
        <v>#VALUE!</v>
      </c>
      <c r="HS71" t="e">
        <f>AND(medidas!BR146,"AAAAACf+peI=")</f>
        <v>#VALUE!</v>
      </c>
      <c r="HT71" t="e">
        <f>AND(medidas!BS146,"AAAAACf+peM=")</f>
        <v>#VALUE!</v>
      </c>
      <c r="HU71" t="e">
        <f>AND(medidas!BT146,"AAAAACf+peQ=")</f>
        <v>#VALUE!</v>
      </c>
      <c r="HV71" t="e">
        <f>AND(medidas!BU146,"AAAAACf+peU=")</f>
        <v>#VALUE!</v>
      </c>
      <c r="HW71" t="e">
        <f>AND(medidas!BV146,"AAAAACf+peY=")</f>
        <v>#VALUE!</v>
      </c>
      <c r="HX71" t="e">
        <f>AND(medidas!BW146,"AAAAACf+pec=")</f>
        <v>#VALUE!</v>
      </c>
      <c r="HY71" t="e">
        <f>AND(medidas!BX146,"AAAAACf+peg=")</f>
        <v>#VALUE!</v>
      </c>
      <c r="HZ71" t="e">
        <f>AND(medidas!BY146,"AAAAACf+pek=")</f>
        <v>#VALUE!</v>
      </c>
      <c r="IA71">
        <f>IF(medidas!147:147,"AAAAACf+peo=",0)</f>
        <v>0</v>
      </c>
      <c r="IB71" t="e">
        <f>AND(medidas!B147,"AAAAACf+pes=")</f>
        <v>#VALUE!</v>
      </c>
      <c r="IC71" t="e">
        <f>AND(medidas!C147,"AAAAACf+pew=")</f>
        <v>#VALUE!</v>
      </c>
      <c r="ID71" t="e">
        <f>AND(medidas!D147,"AAAAACf+pe0=")</f>
        <v>#VALUE!</v>
      </c>
      <c r="IE71" t="e">
        <f>AND(medidas!E147,"AAAAACf+pe4=")</f>
        <v>#VALUE!</v>
      </c>
      <c r="IF71" t="e">
        <f>AND(medidas!F147,"AAAAACf+pe8=")</f>
        <v>#VALUE!</v>
      </c>
      <c r="IG71" t="e">
        <f>AND(medidas!G147,"AAAAACf+pfA=")</f>
        <v>#VALUE!</v>
      </c>
      <c r="IH71" t="e">
        <f>AND(medidas!H147,"AAAAACf+pfE=")</f>
        <v>#VALUE!</v>
      </c>
      <c r="II71" t="e">
        <f>AND(medidas!I147,"AAAAACf+pfI=")</f>
        <v>#VALUE!</v>
      </c>
      <c r="IJ71" t="e">
        <f>AND(medidas!J147,"AAAAACf+pfM=")</f>
        <v>#VALUE!</v>
      </c>
      <c r="IK71" t="e">
        <f>AND(medidas!K147,"AAAAACf+pfQ=")</f>
        <v>#VALUE!</v>
      </c>
      <c r="IL71" t="e">
        <f>AND(medidas!L147,"AAAAACf+pfU=")</f>
        <v>#VALUE!</v>
      </c>
      <c r="IM71" t="e">
        <f>AND(medidas!M147,"AAAAACf+pfY=")</f>
        <v>#VALUE!</v>
      </c>
      <c r="IN71" t="e">
        <f>AND(medidas!N147,"AAAAACf+pfc=")</f>
        <v>#VALUE!</v>
      </c>
      <c r="IO71" t="e">
        <f>AND(medidas!O147,"AAAAACf+pfg=")</f>
        <v>#VALUE!</v>
      </c>
      <c r="IP71" t="e">
        <f>AND(medidas!P147,"AAAAACf+pfk=")</f>
        <v>#VALUE!</v>
      </c>
      <c r="IQ71" t="e">
        <f>AND(medidas!Q147,"AAAAACf+pfo=")</f>
        <v>#VALUE!</v>
      </c>
      <c r="IR71" t="e">
        <f>AND(medidas!R147,"AAAAACf+pfs=")</f>
        <v>#VALUE!</v>
      </c>
      <c r="IS71" t="e">
        <f>AND(medidas!S147,"AAAAACf+pfw=")</f>
        <v>#VALUE!</v>
      </c>
      <c r="IT71" t="e">
        <f>AND(medidas!T147,"AAAAACf+pf0=")</f>
        <v>#VALUE!</v>
      </c>
      <c r="IU71" t="e">
        <f>AND(medidas!U147,"AAAAACf+pf4=")</f>
        <v>#VALUE!</v>
      </c>
      <c r="IV71" t="e">
        <f>AND(medidas!V147,"AAAAACf+pf8=")</f>
        <v>#VALUE!</v>
      </c>
    </row>
    <row r="72" spans="1:256" x14ac:dyDescent="0.2">
      <c r="A72" t="e">
        <f>AND(medidas!W147,"AAAAAF727wA=")</f>
        <v>#VALUE!</v>
      </c>
      <c r="B72" t="e">
        <f>AND(medidas!X147,"AAAAAF727wE=")</f>
        <v>#VALUE!</v>
      </c>
      <c r="C72" t="e">
        <f>AND(medidas!Y147,"AAAAAF727wI=")</f>
        <v>#VALUE!</v>
      </c>
      <c r="D72" t="e">
        <f>AND(medidas!Z147,"AAAAAF727wM=")</f>
        <v>#VALUE!</v>
      </c>
      <c r="E72" t="e">
        <f>AND(medidas!AA147,"AAAAAF727wQ=")</f>
        <v>#VALUE!</v>
      </c>
      <c r="F72" t="e">
        <f>AND(medidas!AB147,"AAAAAF727wU=")</f>
        <v>#VALUE!</v>
      </c>
      <c r="G72" t="e">
        <f>AND(medidas!AC147,"AAAAAF727wY=")</f>
        <v>#VALUE!</v>
      </c>
      <c r="H72" t="e">
        <f>AND(medidas!AD147,"AAAAAF727wc=")</f>
        <v>#VALUE!</v>
      </c>
      <c r="I72" t="e">
        <f>AND(medidas!AE147,"AAAAAF727wg=")</f>
        <v>#VALUE!</v>
      </c>
      <c r="J72" t="e">
        <f>AND(medidas!AF147,"AAAAAF727wk=")</f>
        <v>#VALUE!</v>
      </c>
      <c r="K72" t="e">
        <f>AND(medidas!AG147,"AAAAAF727wo=")</f>
        <v>#VALUE!</v>
      </c>
      <c r="L72" t="e">
        <f>AND(medidas!AH147,"AAAAAF727ws=")</f>
        <v>#VALUE!</v>
      </c>
      <c r="M72" t="e">
        <f>AND(medidas!AI147,"AAAAAF727ww=")</f>
        <v>#VALUE!</v>
      </c>
      <c r="N72" t="e">
        <f>AND(medidas!AJ147,"AAAAAF727w0=")</f>
        <v>#VALUE!</v>
      </c>
      <c r="O72" t="e">
        <f>AND(medidas!AK147,"AAAAAF727w4=")</f>
        <v>#VALUE!</v>
      </c>
      <c r="P72" t="e">
        <f>AND(medidas!AL147,"AAAAAF727w8=")</f>
        <v>#VALUE!</v>
      </c>
      <c r="Q72" t="e">
        <f>AND(medidas!AM147,"AAAAAF727xA=")</f>
        <v>#VALUE!</v>
      </c>
      <c r="R72" t="e">
        <f>AND(medidas!AN147,"AAAAAF727xE=")</f>
        <v>#VALUE!</v>
      </c>
      <c r="S72" t="e">
        <f>AND(medidas!AO147,"AAAAAF727xI=")</f>
        <v>#VALUE!</v>
      </c>
      <c r="T72" t="e">
        <f>AND(medidas!AP147,"AAAAAF727xM=")</f>
        <v>#VALUE!</v>
      </c>
      <c r="U72" t="e">
        <f>AND(medidas!AQ147,"AAAAAF727xQ=")</f>
        <v>#VALUE!</v>
      </c>
      <c r="V72" t="e">
        <f>AND(medidas!AR147,"AAAAAF727xU=")</f>
        <v>#VALUE!</v>
      </c>
      <c r="W72" t="e">
        <f>AND(medidas!AS147,"AAAAAF727xY=")</f>
        <v>#VALUE!</v>
      </c>
      <c r="X72" t="e">
        <f>AND(medidas!AT147,"AAAAAF727xc=")</f>
        <v>#VALUE!</v>
      </c>
      <c r="Y72" t="e">
        <f>AND(medidas!AU147,"AAAAAF727xg=")</f>
        <v>#VALUE!</v>
      </c>
      <c r="Z72" t="e">
        <f>AND(medidas!AV147,"AAAAAF727xk=")</f>
        <v>#VALUE!</v>
      </c>
      <c r="AA72" t="e">
        <f>AND(medidas!AW147,"AAAAAF727xo=")</f>
        <v>#VALUE!</v>
      </c>
      <c r="AB72" t="e">
        <f>AND(medidas!AX147,"AAAAAF727xs=")</f>
        <v>#VALUE!</v>
      </c>
      <c r="AC72" t="e">
        <f>AND(medidas!AY147,"AAAAAF727xw=")</f>
        <v>#VALUE!</v>
      </c>
      <c r="AD72" t="e">
        <f>AND(medidas!AZ147,"AAAAAF727x0=")</f>
        <v>#VALUE!</v>
      </c>
      <c r="AE72" t="e">
        <f>AND(medidas!BA147,"AAAAAF727x4=")</f>
        <v>#VALUE!</v>
      </c>
      <c r="AF72" t="e">
        <f>AND(medidas!BB147,"AAAAAF727x8=")</f>
        <v>#VALUE!</v>
      </c>
      <c r="AG72" t="e">
        <f>AND(medidas!BC147,"AAAAAF727yA=")</f>
        <v>#VALUE!</v>
      </c>
      <c r="AH72" t="e">
        <f>AND(medidas!BD147,"AAAAAF727yE=")</f>
        <v>#VALUE!</v>
      </c>
      <c r="AI72" t="e">
        <f>AND(medidas!BE147,"AAAAAF727yI=")</f>
        <v>#VALUE!</v>
      </c>
      <c r="AJ72" t="e">
        <f>AND(medidas!BF147,"AAAAAF727yM=")</f>
        <v>#VALUE!</v>
      </c>
      <c r="AK72" t="e">
        <f>AND(medidas!BG147,"AAAAAF727yQ=")</f>
        <v>#VALUE!</v>
      </c>
      <c r="AL72" t="e">
        <f>AND(medidas!BH147,"AAAAAF727yU=")</f>
        <v>#VALUE!</v>
      </c>
      <c r="AM72" t="e">
        <f>AND(medidas!BI147,"AAAAAF727yY=")</f>
        <v>#VALUE!</v>
      </c>
      <c r="AN72" t="e">
        <f>AND(medidas!BJ147,"AAAAAF727yc=")</f>
        <v>#VALUE!</v>
      </c>
      <c r="AO72" t="e">
        <f>AND(medidas!BK147,"AAAAAF727yg=")</f>
        <v>#VALUE!</v>
      </c>
      <c r="AP72" t="e">
        <f>AND(medidas!BL147,"AAAAAF727yk=")</f>
        <v>#VALUE!</v>
      </c>
      <c r="AQ72" t="e">
        <f>AND(medidas!BM147,"AAAAAF727yo=")</f>
        <v>#VALUE!</v>
      </c>
      <c r="AR72" t="e">
        <f>AND(medidas!BN147,"AAAAAF727ys=")</f>
        <v>#VALUE!</v>
      </c>
      <c r="AS72" t="e">
        <f>AND(medidas!BO147,"AAAAAF727yw=")</f>
        <v>#VALUE!</v>
      </c>
      <c r="AT72" t="e">
        <f>AND(medidas!BP147,"AAAAAF727y0=")</f>
        <v>#VALUE!</v>
      </c>
      <c r="AU72" t="e">
        <f>AND(medidas!BQ147,"AAAAAF727y4=")</f>
        <v>#VALUE!</v>
      </c>
      <c r="AV72" t="e">
        <f>AND(medidas!BR147,"AAAAAF727y8=")</f>
        <v>#VALUE!</v>
      </c>
      <c r="AW72" t="e">
        <f>AND(medidas!BS147,"AAAAAF727zA=")</f>
        <v>#VALUE!</v>
      </c>
      <c r="AX72" t="e">
        <f>AND(medidas!BT147,"AAAAAF727zE=")</f>
        <v>#VALUE!</v>
      </c>
      <c r="AY72" t="e">
        <f>AND(medidas!BU147,"AAAAAF727zI=")</f>
        <v>#VALUE!</v>
      </c>
      <c r="AZ72" t="e">
        <f>AND(medidas!BV147,"AAAAAF727zM=")</f>
        <v>#VALUE!</v>
      </c>
      <c r="BA72" t="e">
        <f>AND(medidas!BW147,"AAAAAF727zQ=")</f>
        <v>#VALUE!</v>
      </c>
      <c r="BB72" t="e">
        <f>AND(medidas!BX147,"AAAAAF727zU=")</f>
        <v>#VALUE!</v>
      </c>
      <c r="BC72" t="e">
        <f>AND(medidas!BY147,"AAAAAF727zY=")</f>
        <v>#VALUE!</v>
      </c>
      <c r="BD72">
        <f>IF(medidas!148:148,"AAAAAF727zc=",0)</f>
        <v>0</v>
      </c>
      <c r="BE72" t="e">
        <f>AND(medidas!B148,"AAAAAF727zg=")</f>
        <v>#VALUE!</v>
      </c>
      <c r="BF72" t="e">
        <f>AND(medidas!C148,"AAAAAF727zk=")</f>
        <v>#VALUE!</v>
      </c>
      <c r="BG72" t="e">
        <f>AND(medidas!D148,"AAAAAF727zo=")</f>
        <v>#VALUE!</v>
      </c>
      <c r="BH72" t="e">
        <f>AND(medidas!E148,"AAAAAF727zs=")</f>
        <v>#VALUE!</v>
      </c>
      <c r="BI72" t="e">
        <f>AND(medidas!F148,"AAAAAF727zw=")</f>
        <v>#VALUE!</v>
      </c>
      <c r="BJ72" t="e">
        <f>AND(medidas!G148,"AAAAAF727z0=")</f>
        <v>#VALUE!</v>
      </c>
      <c r="BK72" t="e">
        <f>AND(medidas!H148,"AAAAAF727z4=")</f>
        <v>#VALUE!</v>
      </c>
      <c r="BL72" t="e">
        <f>AND(medidas!I148,"AAAAAF727z8=")</f>
        <v>#VALUE!</v>
      </c>
      <c r="BM72" t="e">
        <f>AND(medidas!J148,"AAAAAF7270A=")</f>
        <v>#VALUE!</v>
      </c>
      <c r="BN72" t="e">
        <f>AND(medidas!K148,"AAAAAF7270E=")</f>
        <v>#VALUE!</v>
      </c>
      <c r="BO72" t="e">
        <f>AND(medidas!L148,"AAAAAF7270I=")</f>
        <v>#VALUE!</v>
      </c>
      <c r="BP72" t="e">
        <f>AND(medidas!M148,"AAAAAF7270M=")</f>
        <v>#VALUE!</v>
      </c>
      <c r="BQ72" t="e">
        <f>AND(medidas!N148,"AAAAAF7270Q=")</f>
        <v>#VALUE!</v>
      </c>
      <c r="BR72" t="e">
        <f>AND(medidas!O148,"AAAAAF7270U=")</f>
        <v>#VALUE!</v>
      </c>
      <c r="BS72" t="e">
        <f>AND(medidas!P148,"AAAAAF7270Y=")</f>
        <v>#VALUE!</v>
      </c>
      <c r="BT72" t="e">
        <f>AND(medidas!Q148,"AAAAAF7270c=")</f>
        <v>#VALUE!</v>
      </c>
      <c r="BU72" t="e">
        <f>AND(medidas!R148,"AAAAAF7270g=")</f>
        <v>#VALUE!</v>
      </c>
      <c r="BV72" t="e">
        <f>AND(medidas!S148,"AAAAAF7270k=")</f>
        <v>#VALUE!</v>
      </c>
      <c r="BW72" t="e">
        <f>AND(medidas!T148,"AAAAAF7270o=")</f>
        <v>#VALUE!</v>
      </c>
      <c r="BX72" t="e">
        <f>AND(medidas!U148,"AAAAAF7270s=")</f>
        <v>#VALUE!</v>
      </c>
      <c r="BY72" t="e">
        <f>AND(medidas!V148,"AAAAAF7270w=")</f>
        <v>#VALUE!</v>
      </c>
      <c r="BZ72" t="e">
        <f>AND(medidas!W148,"AAAAAF72700=")</f>
        <v>#VALUE!</v>
      </c>
      <c r="CA72" t="e">
        <f>AND(medidas!X148,"AAAAAF72704=")</f>
        <v>#VALUE!</v>
      </c>
      <c r="CB72" t="e">
        <f>AND(medidas!Y148,"AAAAAF72708=")</f>
        <v>#VALUE!</v>
      </c>
      <c r="CC72" t="e">
        <f>AND(medidas!Z148,"AAAAAF7271A=")</f>
        <v>#VALUE!</v>
      </c>
      <c r="CD72" t="e">
        <f>AND(medidas!AA148,"AAAAAF7271E=")</f>
        <v>#VALUE!</v>
      </c>
      <c r="CE72" t="e">
        <f>AND(medidas!AB148,"AAAAAF7271I=")</f>
        <v>#VALUE!</v>
      </c>
      <c r="CF72" t="e">
        <f>AND(medidas!AC148,"AAAAAF7271M=")</f>
        <v>#VALUE!</v>
      </c>
      <c r="CG72" t="e">
        <f>AND(medidas!AD148,"AAAAAF7271Q=")</f>
        <v>#VALUE!</v>
      </c>
      <c r="CH72" t="e">
        <f>AND(medidas!AE148,"AAAAAF7271U=")</f>
        <v>#VALUE!</v>
      </c>
      <c r="CI72" t="e">
        <f>AND(medidas!AF148,"AAAAAF7271Y=")</f>
        <v>#VALUE!</v>
      </c>
      <c r="CJ72" t="e">
        <f>AND(medidas!AG148,"AAAAAF7271c=")</f>
        <v>#VALUE!</v>
      </c>
      <c r="CK72" t="e">
        <f>AND(medidas!AH148,"AAAAAF7271g=")</f>
        <v>#VALUE!</v>
      </c>
      <c r="CL72" t="e">
        <f>AND(medidas!AI148,"AAAAAF7271k=")</f>
        <v>#VALUE!</v>
      </c>
      <c r="CM72" t="e">
        <f>AND(medidas!AJ148,"AAAAAF7271o=")</f>
        <v>#VALUE!</v>
      </c>
      <c r="CN72" t="e">
        <f>AND(medidas!AK148,"AAAAAF7271s=")</f>
        <v>#VALUE!</v>
      </c>
      <c r="CO72" t="e">
        <f>AND(medidas!AL148,"AAAAAF7271w=")</f>
        <v>#VALUE!</v>
      </c>
      <c r="CP72" t="e">
        <f>AND(medidas!AM148,"AAAAAF72710=")</f>
        <v>#VALUE!</v>
      </c>
      <c r="CQ72" t="e">
        <f>AND(medidas!AN148,"AAAAAF72714=")</f>
        <v>#VALUE!</v>
      </c>
      <c r="CR72" t="e">
        <f>AND(medidas!AO148,"AAAAAF72718=")</f>
        <v>#VALUE!</v>
      </c>
      <c r="CS72" t="e">
        <f>AND(medidas!AP148,"AAAAAF7272A=")</f>
        <v>#VALUE!</v>
      </c>
      <c r="CT72" t="e">
        <f>AND(medidas!AQ148,"AAAAAF7272E=")</f>
        <v>#VALUE!</v>
      </c>
      <c r="CU72" t="e">
        <f>AND(medidas!AR148,"AAAAAF7272I=")</f>
        <v>#VALUE!</v>
      </c>
      <c r="CV72" t="e">
        <f>AND(medidas!AS148,"AAAAAF7272M=")</f>
        <v>#VALUE!</v>
      </c>
      <c r="CW72" t="e">
        <f>AND(medidas!AT148,"AAAAAF7272Q=")</f>
        <v>#VALUE!</v>
      </c>
      <c r="CX72" t="e">
        <f>AND(medidas!AU148,"AAAAAF7272U=")</f>
        <v>#VALUE!</v>
      </c>
      <c r="CY72" t="e">
        <f>AND(medidas!AV148,"AAAAAF7272Y=")</f>
        <v>#VALUE!</v>
      </c>
      <c r="CZ72" t="e">
        <f>AND(medidas!AW148,"AAAAAF7272c=")</f>
        <v>#VALUE!</v>
      </c>
      <c r="DA72" t="e">
        <f>AND(medidas!AX148,"AAAAAF7272g=")</f>
        <v>#VALUE!</v>
      </c>
      <c r="DB72" t="e">
        <f>AND(medidas!AY148,"AAAAAF7272k=")</f>
        <v>#VALUE!</v>
      </c>
      <c r="DC72" t="e">
        <f>AND(medidas!AZ148,"AAAAAF7272o=")</f>
        <v>#VALUE!</v>
      </c>
      <c r="DD72" t="e">
        <f>AND(medidas!BA148,"AAAAAF7272s=")</f>
        <v>#VALUE!</v>
      </c>
      <c r="DE72" t="e">
        <f>AND(medidas!BB148,"AAAAAF7272w=")</f>
        <v>#VALUE!</v>
      </c>
      <c r="DF72" t="e">
        <f>AND(medidas!BC148,"AAAAAF72720=")</f>
        <v>#VALUE!</v>
      </c>
      <c r="DG72" t="e">
        <f>AND(medidas!BD148,"AAAAAF72724=")</f>
        <v>#VALUE!</v>
      </c>
      <c r="DH72" t="e">
        <f>AND(medidas!BE148,"AAAAAF72728=")</f>
        <v>#VALUE!</v>
      </c>
      <c r="DI72" t="e">
        <f>AND(medidas!BF148,"AAAAAF7273A=")</f>
        <v>#VALUE!</v>
      </c>
      <c r="DJ72" t="e">
        <f>AND(medidas!BG148,"AAAAAF7273E=")</f>
        <v>#VALUE!</v>
      </c>
      <c r="DK72" t="e">
        <f>AND(medidas!BH148,"AAAAAF7273I=")</f>
        <v>#VALUE!</v>
      </c>
      <c r="DL72" t="e">
        <f>AND(medidas!BI148,"AAAAAF7273M=")</f>
        <v>#VALUE!</v>
      </c>
      <c r="DM72" t="e">
        <f>AND(medidas!BJ148,"AAAAAF7273Q=")</f>
        <v>#VALUE!</v>
      </c>
      <c r="DN72" t="e">
        <f>AND(medidas!BK148,"AAAAAF7273U=")</f>
        <v>#VALUE!</v>
      </c>
      <c r="DO72" t="e">
        <f>AND(medidas!BL148,"AAAAAF7273Y=")</f>
        <v>#VALUE!</v>
      </c>
      <c r="DP72" t="e">
        <f>AND(medidas!BM148,"AAAAAF7273c=")</f>
        <v>#VALUE!</v>
      </c>
      <c r="DQ72" t="e">
        <f>AND(medidas!BN148,"AAAAAF7273g=")</f>
        <v>#VALUE!</v>
      </c>
      <c r="DR72" t="e">
        <f>AND(medidas!BO148,"AAAAAF7273k=")</f>
        <v>#VALUE!</v>
      </c>
      <c r="DS72" t="e">
        <f>AND(medidas!BP148,"AAAAAF7273o=")</f>
        <v>#VALUE!</v>
      </c>
      <c r="DT72" t="e">
        <f>AND(medidas!BQ148,"AAAAAF7273s=")</f>
        <v>#VALUE!</v>
      </c>
      <c r="DU72" t="e">
        <f>AND(medidas!BR148,"AAAAAF7273w=")</f>
        <v>#VALUE!</v>
      </c>
      <c r="DV72" t="e">
        <f>AND(medidas!BS148,"AAAAAF72730=")</f>
        <v>#VALUE!</v>
      </c>
      <c r="DW72" t="e">
        <f>AND(medidas!BT148,"AAAAAF72734=")</f>
        <v>#VALUE!</v>
      </c>
      <c r="DX72" t="e">
        <f>AND(medidas!BU148,"AAAAAF72738=")</f>
        <v>#VALUE!</v>
      </c>
      <c r="DY72" t="e">
        <f>AND(medidas!BV148,"AAAAAF7274A=")</f>
        <v>#VALUE!</v>
      </c>
      <c r="DZ72" t="e">
        <f>AND(medidas!BW148,"AAAAAF7274E=")</f>
        <v>#VALUE!</v>
      </c>
      <c r="EA72" t="e">
        <f>AND(medidas!BX148,"AAAAAF7274I=")</f>
        <v>#VALUE!</v>
      </c>
      <c r="EB72" t="e">
        <f>AND(medidas!BY148,"AAAAAF7274M=")</f>
        <v>#VALUE!</v>
      </c>
      <c r="EC72">
        <f>IF(medidas!149:149,"AAAAAF7274Q=",0)</f>
        <v>0</v>
      </c>
      <c r="ED72" t="e">
        <f>AND(medidas!B149,"AAAAAF7274U=")</f>
        <v>#VALUE!</v>
      </c>
      <c r="EE72" t="e">
        <f>AND(medidas!C149,"AAAAAF7274Y=")</f>
        <v>#VALUE!</v>
      </c>
      <c r="EF72" t="e">
        <f>AND(medidas!D149,"AAAAAF7274c=")</f>
        <v>#VALUE!</v>
      </c>
      <c r="EG72" t="e">
        <f>AND(medidas!E149,"AAAAAF7274g=")</f>
        <v>#VALUE!</v>
      </c>
      <c r="EH72" t="e">
        <f>AND(medidas!F149,"AAAAAF7274k=")</f>
        <v>#VALUE!</v>
      </c>
      <c r="EI72" t="e">
        <f>AND(medidas!G149,"AAAAAF7274o=")</f>
        <v>#VALUE!</v>
      </c>
      <c r="EJ72" t="e">
        <f>AND(medidas!H149,"AAAAAF7274s=")</f>
        <v>#VALUE!</v>
      </c>
      <c r="EK72" t="e">
        <f>AND(medidas!I149,"AAAAAF7274w=")</f>
        <v>#VALUE!</v>
      </c>
      <c r="EL72" t="e">
        <f>AND(medidas!J149,"AAAAAF72740=")</f>
        <v>#VALUE!</v>
      </c>
      <c r="EM72" t="e">
        <f>AND(medidas!K149,"AAAAAF72744=")</f>
        <v>#VALUE!</v>
      </c>
      <c r="EN72" t="e">
        <f>AND(medidas!L149,"AAAAAF72748=")</f>
        <v>#VALUE!</v>
      </c>
      <c r="EO72" t="e">
        <f>AND(medidas!M149,"AAAAAF7275A=")</f>
        <v>#VALUE!</v>
      </c>
      <c r="EP72" t="e">
        <f>AND(medidas!N149,"AAAAAF7275E=")</f>
        <v>#VALUE!</v>
      </c>
      <c r="EQ72" t="e">
        <f>AND(medidas!O149,"AAAAAF7275I=")</f>
        <v>#VALUE!</v>
      </c>
      <c r="ER72" t="e">
        <f>AND(medidas!P149,"AAAAAF7275M=")</f>
        <v>#VALUE!</v>
      </c>
      <c r="ES72" t="e">
        <f>AND(medidas!Q149,"AAAAAF7275Q=")</f>
        <v>#VALUE!</v>
      </c>
      <c r="ET72" t="e">
        <f>AND(medidas!R149,"AAAAAF7275U=")</f>
        <v>#VALUE!</v>
      </c>
      <c r="EU72" t="e">
        <f>AND(medidas!S149,"AAAAAF7275Y=")</f>
        <v>#VALUE!</v>
      </c>
      <c r="EV72" t="e">
        <f>AND(medidas!T149,"AAAAAF7275c=")</f>
        <v>#VALUE!</v>
      </c>
      <c r="EW72" t="e">
        <f>AND(medidas!U149,"AAAAAF7275g=")</f>
        <v>#VALUE!</v>
      </c>
      <c r="EX72" t="e">
        <f>AND(medidas!V149,"AAAAAF7275k=")</f>
        <v>#VALUE!</v>
      </c>
      <c r="EY72" t="e">
        <f>AND(medidas!W149,"AAAAAF7275o=")</f>
        <v>#VALUE!</v>
      </c>
      <c r="EZ72" t="e">
        <f>AND(medidas!X149,"AAAAAF7275s=")</f>
        <v>#VALUE!</v>
      </c>
      <c r="FA72" t="e">
        <f>AND(medidas!Y149,"AAAAAF7275w=")</f>
        <v>#VALUE!</v>
      </c>
      <c r="FB72" t="e">
        <f>AND(medidas!Z149,"AAAAAF72750=")</f>
        <v>#VALUE!</v>
      </c>
      <c r="FC72" t="e">
        <f>AND(medidas!AA149,"AAAAAF72754=")</f>
        <v>#VALUE!</v>
      </c>
      <c r="FD72" t="e">
        <f>AND(medidas!AB149,"AAAAAF72758=")</f>
        <v>#VALUE!</v>
      </c>
      <c r="FE72" t="e">
        <f>AND(medidas!AC149,"AAAAAF7276A=")</f>
        <v>#VALUE!</v>
      </c>
      <c r="FF72" t="e">
        <f>AND(medidas!AD149,"AAAAAF7276E=")</f>
        <v>#VALUE!</v>
      </c>
      <c r="FG72" t="e">
        <f>AND(medidas!AE149,"AAAAAF7276I=")</f>
        <v>#VALUE!</v>
      </c>
      <c r="FH72" t="e">
        <f>AND(medidas!AF149,"AAAAAF7276M=")</f>
        <v>#VALUE!</v>
      </c>
      <c r="FI72" t="e">
        <f>AND(medidas!AG149,"AAAAAF7276Q=")</f>
        <v>#VALUE!</v>
      </c>
      <c r="FJ72" t="e">
        <f>AND(medidas!AH149,"AAAAAF7276U=")</f>
        <v>#VALUE!</v>
      </c>
      <c r="FK72" t="e">
        <f>AND(medidas!AI149,"AAAAAF7276Y=")</f>
        <v>#VALUE!</v>
      </c>
      <c r="FL72" t="e">
        <f>AND(medidas!AJ149,"AAAAAF7276c=")</f>
        <v>#VALUE!</v>
      </c>
      <c r="FM72" t="e">
        <f>AND(medidas!AK149,"AAAAAF7276g=")</f>
        <v>#VALUE!</v>
      </c>
      <c r="FN72" t="e">
        <f>AND(medidas!AL149,"AAAAAF7276k=")</f>
        <v>#VALUE!</v>
      </c>
      <c r="FO72" t="e">
        <f>AND(medidas!AM149,"AAAAAF7276o=")</f>
        <v>#VALUE!</v>
      </c>
      <c r="FP72" t="e">
        <f>AND(medidas!AN149,"AAAAAF7276s=")</f>
        <v>#VALUE!</v>
      </c>
      <c r="FQ72" t="e">
        <f>AND(medidas!AO149,"AAAAAF7276w=")</f>
        <v>#VALUE!</v>
      </c>
      <c r="FR72" t="e">
        <f>AND(medidas!AP149,"AAAAAF72760=")</f>
        <v>#VALUE!</v>
      </c>
      <c r="FS72" t="e">
        <f>AND(medidas!AQ149,"AAAAAF72764=")</f>
        <v>#VALUE!</v>
      </c>
      <c r="FT72" t="e">
        <f>AND(medidas!AR149,"AAAAAF72768=")</f>
        <v>#VALUE!</v>
      </c>
      <c r="FU72" t="e">
        <f>AND(medidas!AS149,"AAAAAF7277A=")</f>
        <v>#VALUE!</v>
      </c>
      <c r="FV72" t="e">
        <f>AND(medidas!AT149,"AAAAAF7277E=")</f>
        <v>#VALUE!</v>
      </c>
      <c r="FW72" t="e">
        <f>AND(medidas!AU149,"AAAAAF7277I=")</f>
        <v>#VALUE!</v>
      </c>
      <c r="FX72" t="e">
        <f>AND(medidas!AV149,"AAAAAF7277M=")</f>
        <v>#VALUE!</v>
      </c>
      <c r="FY72" t="e">
        <f>AND(medidas!AW149,"AAAAAF7277Q=")</f>
        <v>#VALUE!</v>
      </c>
      <c r="FZ72" t="e">
        <f>AND(medidas!AX149,"AAAAAF7277U=")</f>
        <v>#VALUE!</v>
      </c>
      <c r="GA72" t="e">
        <f>AND(medidas!AY149,"AAAAAF7277Y=")</f>
        <v>#VALUE!</v>
      </c>
      <c r="GB72" t="e">
        <f>AND(medidas!AZ149,"AAAAAF7277c=")</f>
        <v>#VALUE!</v>
      </c>
      <c r="GC72" t="e">
        <f>AND(medidas!BA149,"AAAAAF7277g=")</f>
        <v>#VALUE!</v>
      </c>
      <c r="GD72" t="e">
        <f>AND(medidas!BB149,"AAAAAF7277k=")</f>
        <v>#VALUE!</v>
      </c>
      <c r="GE72" t="e">
        <f>AND(medidas!BC149,"AAAAAF7277o=")</f>
        <v>#VALUE!</v>
      </c>
      <c r="GF72" t="e">
        <f>AND(medidas!BD149,"AAAAAF7277s=")</f>
        <v>#VALUE!</v>
      </c>
      <c r="GG72" t="e">
        <f>AND(medidas!BE149,"AAAAAF7277w=")</f>
        <v>#VALUE!</v>
      </c>
      <c r="GH72" t="e">
        <f>AND(medidas!BF149,"AAAAAF72770=")</f>
        <v>#VALUE!</v>
      </c>
      <c r="GI72" t="e">
        <f>AND(medidas!BG149,"AAAAAF72774=")</f>
        <v>#VALUE!</v>
      </c>
      <c r="GJ72" t="e">
        <f>AND(medidas!BH149,"AAAAAF72778=")</f>
        <v>#VALUE!</v>
      </c>
      <c r="GK72" t="e">
        <f>AND(medidas!BI149,"AAAAAF7278A=")</f>
        <v>#VALUE!</v>
      </c>
      <c r="GL72" t="e">
        <f>AND(medidas!BJ149,"AAAAAF7278E=")</f>
        <v>#VALUE!</v>
      </c>
      <c r="GM72" t="e">
        <f>AND(medidas!BK149,"AAAAAF7278I=")</f>
        <v>#VALUE!</v>
      </c>
      <c r="GN72" t="e">
        <f>AND(medidas!BL149,"AAAAAF7278M=")</f>
        <v>#VALUE!</v>
      </c>
      <c r="GO72" t="e">
        <f>AND(medidas!BM149,"AAAAAF7278Q=")</f>
        <v>#VALUE!</v>
      </c>
      <c r="GP72" t="e">
        <f>AND(medidas!BN149,"AAAAAF7278U=")</f>
        <v>#VALUE!</v>
      </c>
      <c r="GQ72" t="e">
        <f>AND(medidas!BO149,"AAAAAF7278Y=")</f>
        <v>#VALUE!</v>
      </c>
      <c r="GR72" t="e">
        <f>AND(medidas!BP149,"AAAAAF7278c=")</f>
        <v>#VALUE!</v>
      </c>
      <c r="GS72" t="e">
        <f>AND(medidas!BQ149,"AAAAAF7278g=")</f>
        <v>#VALUE!</v>
      </c>
      <c r="GT72" t="e">
        <f>AND(medidas!BR149,"AAAAAF7278k=")</f>
        <v>#VALUE!</v>
      </c>
      <c r="GU72" t="e">
        <f>AND(medidas!BS149,"AAAAAF7278o=")</f>
        <v>#VALUE!</v>
      </c>
      <c r="GV72" t="e">
        <f>AND(medidas!BT149,"AAAAAF7278s=")</f>
        <v>#VALUE!</v>
      </c>
      <c r="GW72" t="e">
        <f>AND(medidas!BU149,"AAAAAF7278w=")</f>
        <v>#VALUE!</v>
      </c>
      <c r="GX72" t="e">
        <f>AND(medidas!BV149,"AAAAAF72780=")</f>
        <v>#VALUE!</v>
      </c>
      <c r="GY72" t="e">
        <f>AND(medidas!BW149,"AAAAAF72784=")</f>
        <v>#VALUE!</v>
      </c>
      <c r="GZ72" t="e">
        <f>AND(medidas!BX149,"AAAAAF72788=")</f>
        <v>#VALUE!</v>
      </c>
      <c r="HA72" t="e">
        <f>AND(medidas!BY149,"AAAAAF7279A=")</f>
        <v>#VALUE!</v>
      </c>
      <c r="HB72">
        <f>IF(medidas!150:150,"AAAAAF7279E=",0)</f>
        <v>0</v>
      </c>
      <c r="HC72" t="e">
        <f>AND(medidas!B150,"AAAAAF7279I=")</f>
        <v>#VALUE!</v>
      </c>
      <c r="HD72" t="e">
        <f>AND(medidas!C150,"AAAAAF7279M=")</f>
        <v>#VALUE!</v>
      </c>
      <c r="HE72" t="e">
        <f>AND(medidas!D150,"AAAAAF7279Q=")</f>
        <v>#VALUE!</v>
      </c>
      <c r="HF72" t="e">
        <f>AND(medidas!E150,"AAAAAF7279U=")</f>
        <v>#VALUE!</v>
      </c>
      <c r="HG72" t="e">
        <f>AND(medidas!F150,"AAAAAF7279Y=")</f>
        <v>#VALUE!</v>
      </c>
      <c r="HH72" t="e">
        <f>AND(medidas!G150,"AAAAAF7279c=")</f>
        <v>#VALUE!</v>
      </c>
      <c r="HI72" t="e">
        <f>AND(medidas!H150,"AAAAAF7279g=")</f>
        <v>#VALUE!</v>
      </c>
      <c r="HJ72" t="e">
        <f>AND(medidas!I150,"AAAAAF7279k=")</f>
        <v>#VALUE!</v>
      </c>
      <c r="HK72" t="e">
        <f>AND(medidas!J150,"AAAAAF7279o=")</f>
        <v>#VALUE!</v>
      </c>
      <c r="HL72" t="e">
        <f>AND(medidas!K150,"AAAAAF7279s=")</f>
        <v>#VALUE!</v>
      </c>
      <c r="HM72" t="e">
        <f>AND(medidas!L150,"AAAAAF7279w=")</f>
        <v>#VALUE!</v>
      </c>
      <c r="HN72" t="e">
        <f>AND(medidas!M150,"AAAAAF72790=")</f>
        <v>#VALUE!</v>
      </c>
      <c r="HO72" t="e">
        <f>AND(medidas!N150,"AAAAAF72794=")</f>
        <v>#VALUE!</v>
      </c>
      <c r="HP72" t="e">
        <f>AND(medidas!O150,"AAAAAF72798=")</f>
        <v>#VALUE!</v>
      </c>
      <c r="HQ72" t="e">
        <f>AND(medidas!P150,"AAAAAF727+A=")</f>
        <v>#VALUE!</v>
      </c>
      <c r="HR72" t="e">
        <f>AND(medidas!Q150,"AAAAAF727+E=")</f>
        <v>#VALUE!</v>
      </c>
      <c r="HS72" t="e">
        <f>AND(medidas!R150,"AAAAAF727+I=")</f>
        <v>#VALUE!</v>
      </c>
      <c r="HT72" t="e">
        <f>AND(medidas!S150,"AAAAAF727+M=")</f>
        <v>#VALUE!</v>
      </c>
      <c r="HU72" t="e">
        <f>AND(medidas!T150,"AAAAAF727+Q=")</f>
        <v>#VALUE!</v>
      </c>
      <c r="HV72" t="e">
        <f>AND(medidas!U150,"AAAAAF727+U=")</f>
        <v>#VALUE!</v>
      </c>
      <c r="HW72" t="e">
        <f>AND(medidas!V150,"AAAAAF727+Y=")</f>
        <v>#VALUE!</v>
      </c>
      <c r="HX72" t="e">
        <f>AND(medidas!W150,"AAAAAF727+c=")</f>
        <v>#VALUE!</v>
      </c>
      <c r="HY72" t="e">
        <f>AND(medidas!X150,"AAAAAF727+g=")</f>
        <v>#VALUE!</v>
      </c>
      <c r="HZ72" t="e">
        <f>AND(medidas!Y150,"AAAAAF727+k=")</f>
        <v>#VALUE!</v>
      </c>
      <c r="IA72" t="e">
        <f>AND(medidas!Z150,"AAAAAF727+o=")</f>
        <v>#VALUE!</v>
      </c>
      <c r="IB72" t="e">
        <f>AND(medidas!AA150,"AAAAAF727+s=")</f>
        <v>#VALUE!</v>
      </c>
      <c r="IC72" t="e">
        <f>AND(medidas!AB150,"AAAAAF727+w=")</f>
        <v>#VALUE!</v>
      </c>
      <c r="ID72" t="e">
        <f>AND(medidas!AC150,"AAAAAF727+0=")</f>
        <v>#VALUE!</v>
      </c>
      <c r="IE72" t="e">
        <f>AND(medidas!AD150,"AAAAAF727+4=")</f>
        <v>#VALUE!</v>
      </c>
      <c r="IF72" t="e">
        <f>AND(medidas!AE150,"AAAAAF727+8=")</f>
        <v>#VALUE!</v>
      </c>
      <c r="IG72" t="e">
        <f>AND(medidas!AF150,"AAAAAF727/A=")</f>
        <v>#VALUE!</v>
      </c>
      <c r="IH72" t="e">
        <f>AND(medidas!AG150,"AAAAAF727/E=")</f>
        <v>#VALUE!</v>
      </c>
      <c r="II72" t="e">
        <f>AND(medidas!AH150,"AAAAAF727/I=")</f>
        <v>#VALUE!</v>
      </c>
      <c r="IJ72" t="e">
        <f>AND(medidas!AI150,"AAAAAF727/M=")</f>
        <v>#VALUE!</v>
      </c>
      <c r="IK72" t="e">
        <f>AND(medidas!AJ150,"AAAAAF727/Q=")</f>
        <v>#VALUE!</v>
      </c>
      <c r="IL72" t="e">
        <f>AND(medidas!AK150,"AAAAAF727/U=")</f>
        <v>#VALUE!</v>
      </c>
      <c r="IM72" t="e">
        <f>AND(medidas!AL150,"AAAAAF727/Y=")</f>
        <v>#VALUE!</v>
      </c>
      <c r="IN72" t="e">
        <f>AND(medidas!AM150,"AAAAAF727/c=")</f>
        <v>#VALUE!</v>
      </c>
      <c r="IO72" t="e">
        <f>AND(medidas!AN150,"AAAAAF727/g=")</f>
        <v>#VALUE!</v>
      </c>
      <c r="IP72" t="e">
        <f>AND(medidas!AO150,"AAAAAF727/k=")</f>
        <v>#VALUE!</v>
      </c>
      <c r="IQ72" t="e">
        <f>AND(medidas!AP150,"AAAAAF727/o=")</f>
        <v>#VALUE!</v>
      </c>
      <c r="IR72" t="e">
        <f>AND(medidas!AQ150,"AAAAAF727/s=")</f>
        <v>#VALUE!</v>
      </c>
      <c r="IS72" t="e">
        <f>AND(medidas!AR150,"AAAAAF727/w=")</f>
        <v>#VALUE!</v>
      </c>
      <c r="IT72" t="e">
        <f>AND(medidas!AS150,"AAAAAF727/0=")</f>
        <v>#VALUE!</v>
      </c>
      <c r="IU72" t="e">
        <f>AND(medidas!AT150,"AAAAAF727/4=")</f>
        <v>#VALUE!</v>
      </c>
      <c r="IV72" t="e">
        <f>AND(medidas!AU150,"AAAAAF727/8=")</f>
        <v>#VALUE!</v>
      </c>
    </row>
    <row r="73" spans="1:256" x14ac:dyDescent="0.2">
      <c r="A73" t="e">
        <f>AND(medidas!AV150,"AAAAAD/P/wA=")</f>
        <v>#VALUE!</v>
      </c>
      <c r="B73" t="e">
        <f>AND(medidas!AW150,"AAAAAD/P/wE=")</f>
        <v>#VALUE!</v>
      </c>
      <c r="C73" t="e">
        <f>AND(medidas!AX150,"AAAAAD/P/wI=")</f>
        <v>#VALUE!</v>
      </c>
      <c r="D73" t="e">
        <f>AND(medidas!AY150,"AAAAAD/P/wM=")</f>
        <v>#VALUE!</v>
      </c>
      <c r="E73" t="e">
        <f>AND(medidas!AZ150,"AAAAAD/P/wQ=")</f>
        <v>#VALUE!</v>
      </c>
      <c r="F73" t="e">
        <f>AND(medidas!BA150,"AAAAAD/P/wU=")</f>
        <v>#VALUE!</v>
      </c>
      <c r="G73" t="e">
        <f>AND(medidas!BB150,"AAAAAD/P/wY=")</f>
        <v>#VALUE!</v>
      </c>
      <c r="H73" t="e">
        <f>AND(medidas!BC150,"AAAAAD/P/wc=")</f>
        <v>#VALUE!</v>
      </c>
      <c r="I73" t="e">
        <f>AND(medidas!BD150,"AAAAAD/P/wg=")</f>
        <v>#VALUE!</v>
      </c>
      <c r="J73" t="e">
        <f>AND(medidas!BE150,"AAAAAD/P/wk=")</f>
        <v>#VALUE!</v>
      </c>
      <c r="K73" t="e">
        <f>AND(medidas!BF150,"AAAAAD/P/wo=")</f>
        <v>#VALUE!</v>
      </c>
      <c r="L73" t="e">
        <f>AND(medidas!BG150,"AAAAAD/P/ws=")</f>
        <v>#VALUE!</v>
      </c>
      <c r="M73" t="e">
        <f>AND(medidas!BH150,"AAAAAD/P/ww=")</f>
        <v>#VALUE!</v>
      </c>
      <c r="N73" t="e">
        <f>AND(medidas!BI150,"AAAAAD/P/w0=")</f>
        <v>#VALUE!</v>
      </c>
      <c r="O73" t="e">
        <f>AND(medidas!BJ150,"AAAAAD/P/w4=")</f>
        <v>#VALUE!</v>
      </c>
      <c r="P73" t="e">
        <f>AND(medidas!BK150,"AAAAAD/P/w8=")</f>
        <v>#VALUE!</v>
      </c>
      <c r="Q73" t="e">
        <f>AND(medidas!BL150,"AAAAAD/P/xA=")</f>
        <v>#VALUE!</v>
      </c>
      <c r="R73" t="e">
        <f>AND(medidas!BM150,"AAAAAD/P/xE=")</f>
        <v>#VALUE!</v>
      </c>
      <c r="S73" t="e">
        <f>AND(medidas!BN150,"AAAAAD/P/xI=")</f>
        <v>#VALUE!</v>
      </c>
      <c r="T73" t="e">
        <f>AND(medidas!BO150,"AAAAAD/P/xM=")</f>
        <v>#VALUE!</v>
      </c>
      <c r="U73" t="e">
        <f>AND(medidas!BP150,"AAAAAD/P/xQ=")</f>
        <v>#VALUE!</v>
      </c>
      <c r="V73" t="e">
        <f>AND(medidas!BQ150,"AAAAAD/P/xU=")</f>
        <v>#VALUE!</v>
      </c>
      <c r="W73" t="e">
        <f>AND(medidas!BR150,"AAAAAD/P/xY=")</f>
        <v>#VALUE!</v>
      </c>
      <c r="X73" t="e">
        <f>AND(medidas!BS150,"AAAAAD/P/xc=")</f>
        <v>#VALUE!</v>
      </c>
      <c r="Y73" t="e">
        <f>AND(medidas!BT150,"AAAAAD/P/xg=")</f>
        <v>#VALUE!</v>
      </c>
      <c r="Z73" t="e">
        <f>AND(medidas!BU150,"AAAAAD/P/xk=")</f>
        <v>#VALUE!</v>
      </c>
      <c r="AA73" t="e">
        <f>AND(medidas!BV150,"AAAAAD/P/xo=")</f>
        <v>#VALUE!</v>
      </c>
      <c r="AB73" t="e">
        <f>AND(medidas!BW150,"AAAAAD/P/xs=")</f>
        <v>#VALUE!</v>
      </c>
      <c r="AC73" t="e">
        <f>AND(medidas!BX150,"AAAAAD/P/xw=")</f>
        <v>#VALUE!</v>
      </c>
      <c r="AD73" t="e">
        <f>AND(medidas!BY150,"AAAAAD/P/x0=")</f>
        <v>#VALUE!</v>
      </c>
      <c r="AE73">
        <f>IF(medidas!151:151,"AAAAAD/P/x4=",0)</f>
        <v>0</v>
      </c>
      <c r="AF73" t="e">
        <f>AND(medidas!B151,"AAAAAD/P/x8=")</f>
        <v>#VALUE!</v>
      </c>
      <c r="AG73" t="e">
        <f>AND(medidas!C151,"AAAAAD/P/yA=")</f>
        <v>#VALUE!</v>
      </c>
      <c r="AH73" t="e">
        <f>AND(medidas!D151,"AAAAAD/P/yE=")</f>
        <v>#VALUE!</v>
      </c>
      <c r="AI73" t="e">
        <f>AND(medidas!E151,"AAAAAD/P/yI=")</f>
        <v>#VALUE!</v>
      </c>
      <c r="AJ73" t="e">
        <f>AND(medidas!F151,"AAAAAD/P/yM=")</f>
        <v>#VALUE!</v>
      </c>
      <c r="AK73" t="e">
        <f>AND(medidas!G151,"AAAAAD/P/yQ=")</f>
        <v>#VALUE!</v>
      </c>
      <c r="AL73" t="e">
        <f>AND(medidas!H151,"AAAAAD/P/yU=")</f>
        <v>#VALUE!</v>
      </c>
      <c r="AM73" t="e">
        <f>AND(medidas!I151,"AAAAAD/P/yY=")</f>
        <v>#VALUE!</v>
      </c>
      <c r="AN73" t="e">
        <f>AND(medidas!J151,"AAAAAD/P/yc=")</f>
        <v>#VALUE!</v>
      </c>
      <c r="AO73" t="e">
        <f>AND(medidas!K151,"AAAAAD/P/yg=")</f>
        <v>#VALUE!</v>
      </c>
      <c r="AP73" t="e">
        <f>AND(medidas!L151,"AAAAAD/P/yk=")</f>
        <v>#VALUE!</v>
      </c>
      <c r="AQ73" t="e">
        <f>AND(medidas!M151,"AAAAAD/P/yo=")</f>
        <v>#VALUE!</v>
      </c>
      <c r="AR73" t="e">
        <f>AND(medidas!N151,"AAAAAD/P/ys=")</f>
        <v>#VALUE!</v>
      </c>
      <c r="AS73" t="e">
        <f>AND(medidas!O151,"AAAAAD/P/yw=")</f>
        <v>#VALUE!</v>
      </c>
      <c r="AT73" t="e">
        <f>AND(medidas!P151,"AAAAAD/P/y0=")</f>
        <v>#VALUE!</v>
      </c>
      <c r="AU73" t="e">
        <f>AND(medidas!Q151,"AAAAAD/P/y4=")</f>
        <v>#VALUE!</v>
      </c>
      <c r="AV73" t="e">
        <f>AND(medidas!R151,"AAAAAD/P/y8=")</f>
        <v>#VALUE!</v>
      </c>
      <c r="AW73" t="e">
        <f>AND(medidas!S151,"AAAAAD/P/zA=")</f>
        <v>#VALUE!</v>
      </c>
      <c r="AX73" t="e">
        <f>AND(medidas!T151,"AAAAAD/P/zE=")</f>
        <v>#VALUE!</v>
      </c>
      <c r="AY73" t="e">
        <f>AND(medidas!U151,"AAAAAD/P/zI=")</f>
        <v>#VALUE!</v>
      </c>
      <c r="AZ73" t="e">
        <f>AND(medidas!V151,"AAAAAD/P/zM=")</f>
        <v>#VALUE!</v>
      </c>
      <c r="BA73" t="e">
        <f>AND(medidas!W151,"AAAAAD/P/zQ=")</f>
        <v>#VALUE!</v>
      </c>
      <c r="BB73" t="e">
        <f>AND(medidas!X151,"AAAAAD/P/zU=")</f>
        <v>#VALUE!</v>
      </c>
      <c r="BC73" t="e">
        <f>AND(medidas!Y151,"AAAAAD/P/zY=")</f>
        <v>#VALUE!</v>
      </c>
      <c r="BD73" t="e">
        <f>AND(medidas!Z151,"AAAAAD/P/zc=")</f>
        <v>#VALUE!</v>
      </c>
      <c r="BE73" t="e">
        <f>AND(medidas!AA151,"AAAAAD/P/zg=")</f>
        <v>#VALUE!</v>
      </c>
      <c r="BF73" t="e">
        <f>AND(medidas!AB151,"AAAAAD/P/zk=")</f>
        <v>#VALUE!</v>
      </c>
      <c r="BG73" t="e">
        <f>AND(medidas!AC151,"AAAAAD/P/zo=")</f>
        <v>#VALUE!</v>
      </c>
      <c r="BH73" t="e">
        <f>AND(medidas!AD151,"AAAAAD/P/zs=")</f>
        <v>#VALUE!</v>
      </c>
      <c r="BI73" t="e">
        <f>AND(medidas!AE151,"AAAAAD/P/zw=")</f>
        <v>#VALUE!</v>
      </c>
      <c r="BJ73" t="e">
        <f>AND(medidas!AF151,"AAAAAD/P/z0=")</f>
        <v>#VALUE!</v>
      </c>
      <c r="BK73" t="e">
        <f>AND(medidas!AG151,"AAAAAD/P/z4=")</f>
        <v>#VALUE!</v>
      </c>
      <c r="BL73" t="e">
        <f>AND(medidas!AH151,"AAAAAD/P/z8=")</f>
        <v>#VALUE!</v>
      </c>
      <c r="BM73" t="e">
        <f>AND(medidas!AI151,"AAAAAD/P/0A=")</f>
        <v>#VALUE!</v>
      </c>
      <c r="BN73" t="e">
        <f>AND(medidas!AJ151,"AAAAAD/P/0E=")</f>
        <v>#VALUE!</v>
      </c>
      <c r="BO73" t="e">
        <f>AND(medidas!AK151,"AAAAAD/P/0I=")</f>
        <v>#VALUE!</v>
      </c>
      <c r="BP73" t="e">
        <f>AND(medidas!AL151,"AAAAAD/P/0M=")</f>
        <v>#VALUE!</v>
      </c>
      <c r="BQ73" t="e">
        <f>AND(medidas!AM151,"AAAAAD/P/0Q=")</f>
        <v>#VALUE!</v>
      </c>
      <c r="BR73" t="e">
        <f>AND(medidas!AN151,"AAAAAD/P/0U=")</f>
        <v>#VALUE!</v>
      </c>
      <c r="BS73" t="e">
        <f>AND(medidas!AO151,"AAAAAD/P/0Y=")</f>
        <v>#VALUE!</v>
      </c>
      <c r="BT73" t="e">
        <f>AND(medidas!AP151,"AAAAAD/P/0c=")</f>
        <v>#VALUE!</v>
      </c>
      <c r="BU73" t="e">
        <f>AND(medidas!AQ151,"AAAAAD/P/0g=")</f>
        <v>#VALUE!</v>
      </c>
      <c r="BV73" t="e">
        <f>AND(medidas!AR151,"AAAAAD/P/0k=")</f>
        <v>#VALUE!</v>
      </c>
      <c r="BW73" t="e">
        <f>AND(medidas!AS151,"AAAAAD/P/0o=")</f>
        <v>#VALUE!</v>
      </c>
      <c r="BX73" t="e">
        <f>AND(medidas!AT151,"AAAAAD/P/0s=")</f>
        <v>#VALUE!</v>
      </c>
      <c r="BY73" t="e">
        <f>AND(medidas!AU151,"AAAAAD/P/0w=")</f>
        <v>#VALUE!</v>
      </c>
      <c r="BZ73" t="e">
        <f>AND(medidas!AV151,"AAAAAD/P/00=")</f>
        <v>#VALUE!</v>
      </c>
      <c r="CA73" t="e">
        <f>AND(medidas!AW151,"AAAAAD/P/04=")</f>
        <v>#VALUE!</v>
      </c>
      <c r="CB73" t="e">
        <f>AND(medidas!AX151,"AAAAAD/P/08=")</f>
        <v>#VALUE!</v>
      </c>
      <c r="CC73" t="e">
        <f>AND(medidas!AY151,"AAAAAD/P/1A=")</f>
        <v>#VALUE!</v>
      </c>
      <c r="CD73" t="e">
        <f>AND(medidas!AZ151,"AAAAAD/P/1E=")</f>
        <v>#VALUE!</v>
      </c>
      <c r="CE73" t="e">
        <f>AND(medidas!BA151,"AAAAAD/P/1I=")</f>
        <v>#VALUE!</v>
      </c>
      <c r="CF73" t="e">
        <f>AND(medidas!BB151,"AAAAAD/P/1M=")</f>
        <v>#VALUE!</v>
      </c>
      <c r="CG73" t="e">
        <f>AND(medidas!BC151,"AAAAAD/P/1Q=")</f>
        <v>#VALUE!</v>
      </c>
      <c r="CH73" t="e">
        <f>AND(medidas!BD151,"AAAAAD/P/1U=")</f>
        <v>#VALUE!</v>
      </c>
      <c r="CI73" t="e">
        <f>AND(medidas!BE151,"AAAAAD/P/1Y=")</f>
        <v>#VALUE!</v>
      </c>
      <c r="CJ73" t="e">
        <f>AND(medidas!BF151,"AAAAAD/P/1c=")</f>
        <v>#VALUE!</v>
      </c>
      <c r="CK73" t="e">
        <f>AND(medidas!BG151,"AAAAAD/P/1g=")</f>
        <v>#VALUE!</v>
      </c>
      <c r="CL73" t="e">
        <f>AND(medidas!BH151,"AAAAAD/P/1k=")</f>
        <v>#VALUE!</v>
      </c>
      <c r="CM73" t="e">
        <f>AND(medidas!BI151,"AAAAAD/P/1o=")</f>
        <v>#VALUE!</v>
      </c>
      <c r="CN73" t="e">
        <f>AND(medidas!BJ151,"AAAAAD/P/1s=")</f>
        <v>#VALUE!</v>
      </c>
      <c r="CO73" t="e">
        <f>AND(medidas!BK151,"AAAAAD/P/1w=")</f>
        <v>#VALUE!</v>
      </c>
      <c r="CP73" t="e">
        <f>AND(medidas!BL151,"AAAAAD/P/10=")</f>
        <v>#VALUE!</v>
      </c>
      <c r="CQ73" t="e">
        <f>AND(medidas!BM151,"AAAAAD/P/14=")</f>
        <v>#VALUE!</v>
      </c>
      <c r="CR73" t="e">
        <f>AND(medidas!BN151,"AAAAAD/P/18=")</f>
        <v>#VALUE!</v>
      </c>
      <c r="CS73" t="e">
        <f>AND(medidas!BO151,"AAAAAD/P/2A=")</f>
        <v>#VALUE!</v>
      </c>
      <c r="CT73" t="e">
        <f>AND(medidas!BP151,"AAAAAD/P/2E=")</f>
        <v>#VALUE!</v>
      </c>
      <c r="CU73" t="e">
        <f>AND(medidas!BQ151,"AAAAAD/P/2I=")</f>
        <v>#VALUE!</v>
      </c>
      <c r="CV73" t="e">
        <f>AND(medidas!BR151,"AAAAAD/P/2M=")</f>
        <v>#VALUE!</v>
      </c>
      <c r="CW73" t="e">
        <f>AND(medidas!BS151,"AAAAAD/P/2Q=")</f>
        <v>#VALUE!</v>
      </c>
      <c r="CX73" t="e">
        <f>AND(medidas!BT151,"AAAAAD/P/2U=")</f>
        <v>#VALUE!</v>
      </c>
      <c r="CY73" t="e">
        <f>AND(medidas!BU151,"AAAAAD/P/2Y=")</f>
        <v>#VALUE!</v>
      </c>
      <c r="CZ73" t="e">
        <f>AND(medidas!BV151,"AAAAAD/P/2c=")</f>
        <v>#VALUE!</v>
      </c>
      <c r="DA73" t="e">
        <f>AND(medidas!BW151,"AAAAAD/P/2g=")</f>
        <v>#VALUE!</v>
      </c>
      <c r="DB73" t="e">
        <f>AND(medidas!BX151,"AAAAAD/P/2k=")</f>
        <v>#VALUE!</v>
      </c>
      <c r="DC73" t="e">
        <f>AND(medidas!BY151,"AAAAAD/P/2o=")</f>
        <v>#VALUE!</v>
      </c>
      <c r="DD73">
        <f>IF(medidas!152:152,"AAAAAD/P/2s=",0)</f>
        <v>0</v>
      </c>
      <c r="DE73" t="e">
        <f>AND(medidas!B152,"AAAAAD/P/2w=")</f>
        <v>#VALUE!</v>
      </c>
      <c r="DF73" t="e">
        <f>AND(medidas!C152,"AAAAAD/P/20=")</f>
        <v>#VALUE!</v>
      </c>
      <c r="DG73" t="e">
        <f>AND(medidas!D152,"AAAAAD/P/24=")</f>
        <v>#VALUE!</v>
      </c>
      <c r="DH73" t="e">
        <f>AND(medidas!E152,"AAAAAD/P/28=")</f>
        <v>#VALUE!</v>
      </c>
      <c r="DI73" t="e">
        <f>AND(medidas!F152,"AAAAAD/P/3A=")</f>
        <v>#VALUE!</v>
      </c>
      <c r="DJ73" t="e">
        <f>AND(medidas!G152,"AAAAAD/P/3E=")</f>
        <v>#VALUE!</v>
      </c>
      <c r="DK73" t="e">
        <f>AND(medidas!H152,"AAAAAD/P/3I=")</f>
        <v>#VALUE!</v>
      </c>
      <c r="DL73" t="e">
        <f>AND(medidas!I152,"AAAAAD/P/3M=")</f>
        <v>#VALUE!</v>
      </c>
      <c r="DM73" t="e">
        <f>AND(medidas!J152,"AAAAAD/P/3Q=")</f>
        <v>#VALUE!</v>
      </c>
      <c r="DN73" t="e">
        <f>AND(medidas!K152,"AAAAAD/P/3U=")</f>
        <v>#VALUE!</v>
      </c>
      <c r="DO73" t="e">
        <f>AND(medidas!L152,"AAAAAD/P/3Y=")</f>
        <v>#VALUE!</v>
      </c>
      <c r="DP73" t="e">
        <f>AND(medidas!M152,"AAAAAD/P/3c=")</f>
        <v>#VALUE!</v>
      </c>
      <c r="DQ73" t="e">
        <f>AND(medidas!N152,"AAAAAD/P/3g=")</f>
        <v>#VALUE!</v>
      </c>
      <c r="DR73" t="e">
        <f>AND(medidas!O152,"AAAAAD/P/3k=")</f>
        <v>#VALUE!</v>
      </c>
      <c r="DS73" t="e">
        <f>AND(medidas!P152,"AAAAAD/P/3o=")</f>
        <v>#VALUE!</v>
      </c>
      <c r="DT73" t="e">
        <f>AND(medidas!Q152,"AAAAAD/P/3s=")</f>
        <v>#VALUE!</v>
      </c>
      <c r="DU73" t="e">
        <f>AND(medidas!R152,"AAAAAD/P/3w=")</f>
        <v>#VALUE!</v>
      </c>
      <c r="DV73" t="e">
        <f>AND(medidas!S152,"AAAAAD/P/30=")</f>
        <v>#VALUE!</v>
      </c>
      <c r="DW73" t="e">
        <f>AND(medidas!T152,"AAAAAD/P/34=")</f>
        <v>#VALUE!</v>
      </c>
      <c r="DX73" t="e">
        <f>AND(medidas!U152,"AAAAAD/P/38=")</f>
        <v>#VALUE!</v>
      </c>
      <c r="DY73" t="e">
        <f>AND(medidas!V152,"AAAAAD/P/4A=")</f>
        <v>#VALUE!</v>
      </c>
      <c r="DZ73" t="e">
        <f>AND(medidas!W152,"AAAAAD/P/4E=")</f>
        <v>#VALUE!</v>
      </c>
      <c r="EA73" t="e">
        <f>AND(medidas!X152,"AAAAAD/P/4I=")</f>
        <v>#VALUE!</v>
      </c>
      <c r="EB73" t="e">
        <f>AND(medidas!Y152,"AAAAAD/P/4M=")</f>
        <v>#VALUE!</v>
      </c>
      <c r="EC73" t="e">
        <f>AND(medidas!Z152,"AAAAAD/P/4Q=")</f>
        <v>#VALUE!</v>
      </c>
      <c r="ED73" t="e">
        <f>AND(medidas!AA152,"AAAAAD/P/4U=")</f>
        <v>#VALUE!</v>
      </c>
      <c r="EE73" t="e">
        <f>AND(medidas!AB152,"AAAAAD/P/4Y=")</f>
        <v>#VALUE!</v>
      </c>
      <c r="EF73" t="e">
        <f>AND(medidas!AC152,"AAAAAD/P/4c=")</f>
        <v>#VALUE!</v>
      </c>
      <c r="EG73" t="e">
        <f>AND(medidas!AD152,"AAAAAD/P/4g=")</f>
        <v>#VALUE!</v>
      </c>
      <c r="EH73" t="e">
        <f>AND(medidas!AE152,"AAAAAD/P/4k=")</f>
        <v>#VALUE!</v>
      </c>
      <c r="EI73" t="e">
        <f>AND(medidas!AF152,"AAAAAD/P/4o=")</f>
        <v>#VALUE!</v>
      </c>
      <c r="EJ73" t="e">
        <f>AND(medidas!AG152,"AAAAAD/P/4s=")</f>
        <v>#VALUE!</v>
      </c>
      <c r="EK73" t="e">
        <f>AND(medidas!AH152,"AAAAAD/P/4w=")</f>
        <v>#VALUE!</v>
      </c>
      <c r="EL73" t="e">
        <f>AND(medidas!AI152,"AAAAAD/P/40=")</f>
        <v>#VALUE!</v>
      </c>
      <c r="EM73" t="e">
        <f>AND(medidas!AJ152,"AAAAAD/P/44=")</f>
        <v>#VALUE!</v>
      </c>
      <c r="EN73" t="e">
        <f>AND(medidas!AK152,"AAAAAD/P/48=")</f>
        <v>#VALUE!</v>
      </c>
      <c r="EO73" t="e">
        <f>AND(medidas!AL152,"AAAAAD/P/5A=")</f>
        <v>#VALUE!</v>
      </c>
      <c r="EP73" t="e">
        <f>AND(medidas!AM152,"AAAAAD/P/5E=")</f>
        <v>#VALUE!</v>
      </c>
      <c r="EQ73" t="e">
        <f>AND(medidas!AN152,"AAAAAD/P/5I=")</f>
        <v>#VALUE!</v>
      </c>
      <c r="ER73" t="e">
        <f>AND(medidas!AO152,"AAAAAD/P/5M=")</f>
        <v>#VALUE!</v>
      </c>
      <c r="ES73" t="e">
        <f>AND(medidas!AP152,"AAAAAD/P/5Q=")</f>
        <v>#VALUE!</v>
      </c>
      <c r="ET73" t="e">
        <f>AND(medidas!AQ152,"AAAAAD/P/5U=")</f>
        <v>#VALUE!</v>
      </c>
      <c r="EU73" t="e">
        <f>AND(medidas!AR152,"AAAAAD/P/5Y=")</f>
        <v>#VALUE!</v>
      </c>
      <c r="EV73" t="e">
        <f>AND(medidas!AS152,"AAAAAD/P/5c=")</f>
        <v>#VALUE!</v>
      </c>
      <c r="EW73" t="e">
        <f>AND(medidas!AT152,"AAAAAD/P/5g=")</f>
        <v>#VALUE!</v>
      </c>
      <c r="EX73" t="e">
        <f>AND(medidas!AU152,"AAAAAD/P/5k=")</f>
        <v>#VALUE!</v>
      </c>
      <c r="EY73" t="e">
        <f>AND(medidas!AV152,"AAAAAD/P/5o=")</f>
        <v>#VALUE!</v>
      </c>
      <c r="EZ73" t="e">
        <f>AND(medidas!AW152,"AAAAAD/P/5s=")</f>
        <v>#VALUE!</v>
      </c>
      <c r="FA73" t="e">
        <f>AND(medidas!AX152,"AAAAAD/P/5w=")</f>
        <v>#VALUE!</v>
      </c>
      <c r="FB73" t="e">
        <f>AND(medidas!AY152,"AAAAAD/P/50=")</f>
        <v>#VALUE!</v>
      </c>
      <c r="FC73" t="e">
        <f>AND(medidas!AZ152,"AAAAAD/P/54=")</f>
        <v>#VALUE!</v>
      </c>
      <c r="FD73" t="e">
        <f>AND(medidas!BA152,"AAAAAD/P/58=")</f>
        <v>#VALUE!</v>
      </c>
      <c r="FE73" t="e">
        <f>AND(medidas!BB152,"AAAAAD/P/6A=")</f>
        <v>#VALUE!</v>
      </c>
      <c r="FF73" t="e">
        <f>AND(medidas!BC152,"AAAAAD/P/6E=")</f>
        <v>#VALUE!</v>
      </c>
      <c r="FG73" t="e">
        <f>AND(medidas!BD152,"AAAAAD/P/6I=")</f>
        <v>#VALUE!</v>
      </c>
      <c r="FH73" t="e">
        <f>AND(medidas!BE152,"AAAAAD/P/6M=")</f>
        <v>#VALUE!</v>
      </c>
      <c r="FI73" t="e">
        <f>AND(medidas!BF152,"AAAAAD/P/6Q=")</f>
        <v>#VALUE!</v>
      </c>
      <c r="FJ73" t="e">
        <f>AND(medidas!BG152,"AAAAAD/P/6U=")</f>
        <v>#VALUE!</v>
      </c>
      <c r="FK73" t="e">
        <f>AND(medidas!BH152,"AAAAAD/P/6Y=")</f>
        <v>#VALUE!</v>
      </c>
      <c r="FL73" t="e">
        <f>AND(medidas!BI152,"AAAAAD/P/6c=")</f>
        <v>#VALUE!</v>
      </c>
      <c r="FM73" t="e">
        <f>AND(medidas!BJ152,"AAAAAD/P/6g=")</f>
        <v>#VALUE!</v>
      </c>
      <c r="FN73" t="e">
        <f>AND(medidas!BK152,"AAAAAD/P/6k=")</f>
        <v>#VALUE!</v>
      </c>
      <c r="FO73" t="e">
        <f>AND(medidas!BL152,"AAAAAD/P/6o=")</f>
        <v>#VALUE!</v>
      </c>
      <c r="FP73" t="e">
        <f>AND(medidas!BM152,"AAAAAD/P/6s=")</f>
        <v>#VALUE!</v>
      </c>
      <c r="FQ73" t="e">
        <f>AND(medidas!BN152,"AAAAAD/P/6w=")</f>
        <v>#VALUE!</v>
      </c>
      <c r="FR73" t="e">
        <f>AND(medidas!BO152,"AAAAAD/P/60=")</f>
        <v>#VALUE!</v>
      </c>
      <c r="FS73" t="e">
        <f>AND(medidas!BP152,"AAAAAD/P/64=")</f>
        <v>#VALUE!</v>
      </c>
      <c r="FT73" t="e">
        <f>AND(medidas!BQ152,"AAAAAD/P/68=")</f>
        <v>#VALUE!</v>
      </c>
      <c r="FU73" t="e">
        <f>AND(medidas!BR152,"AAAAAD/P/7A=")</f>
        <v>#VALUE!</v>
      </c>
      <c r="FV73" t="e">
        <f>AND(medidas!BS152,"AAAAAD/P/7E=")</f>
        <v>#VALUE!</v>
      </c>
      <c r="FW73" t="e">
        <f>AND(medidas!BT152,"AAAAAD/P/7I=")</f>
        <v>#VALUE!</v>
      </c>
      <c r="FX73" t="e">
        <f>AND(medidas!BU152,"AAAAAD/P/7M=")</f>
        <v>#VALUE!</v>
      </c>
      <c r="FY73" t="e">
        <f>AND(medidas!BV152,"AAAAAD/P/7Q=")</f>
        <v>#VALUE!</v>
      </c>
      <c r="FZ73" t="e">
        <f>AND(medidas!BW152,"AAAAAD/P/7U=")</f>
        <v>#VALUE!</v>
      </c>
      <c r="GA73" t="e">
        <f>AND(medidas!BX152,"AAAAAD/P/7Y=")</f>
        <v>#VALUE!</v>
      </c>
      <c r="GB73" t="e">
        <f>AND(medidas!BY152,"AAAAAD/P/7c=")</f>
        <v>#VALUE!</v>
      </c>
      <c r="GC73">
        <f>IF(medidas!153:153,"AAAAAD/P/7g=",0)</f>
        <v>0</v>
      </c>
      <c r="GD73" t="e">
        <f>AND(medidas!B153,"AAAAAD/P/7k=")</f>
        <v>#VALUE!</v>
      </c>
      <c r="GE73" t="e">
        <f>AND(medidas!C153,"AAAAAD/P/7o=")</f>
        <v>#VALUE!</v>
      </c>
      <c r="GF73" t="e">
        <f>AND(medidas!D153,"AAAAAD/P/7s=")</f>
        <v>#VALUE!</v>
      </c>
      <c r="GG73" t="e">
        <f>AND(medidas!E153,"AAAAAD/P/7w=")</f>
        <v>#VALUE!</v>
      </c>
      <c r="GH73" t="e">
        <f>AND(medidas!F153,"AAAAAD/P/70=")</f>
        <v>#VALUE!</v>
      </c>
      <c r="GI73" t="e">
        <f>AND(medidas!G153,"AAAAAD/P/74=")</f>
        <v>#VALUE!</v>
      </c>
      <c r="GJ73" t="e">
        <f>AND(medidas!H153,"AAAAAD/P/78=")</f>
        <v>#VALUE!</v>
      </c>
      <c r="GK73" t="e">
        <f>AND(medidas!I153,"AAAAAD/P/8A=")</f>
        <v>#VALUE!</v>
      </c>
      <c r="GL73" t="e">
        <f>AND(medidas!J153,"AAAAAD/P/8E=")</f>
        <v>#VALUE!</v>
      </c>
      <c r="GM73" t="e">
        <f>AND(medidas!K153,"AAAAAD/P/8I=")</f>
        <v>#VALUE!</v>
      </c>
      <c r="GN73" t="e">
        <f>AND(medidas!L153,"AAAAAD/P/8M=")</f>
        <v>#VALUE!</v>
      </c>
      <c r="GO73" t="e">
        <f>AND(medidas!M153,"AAAAAD/P/8Q=")</f>
        <v>#VALUE!</v>
      </c>
      <c r="GP73" t="e">
        <f>AND(medidas!N153,"AAAAAD/P/8U=")</f>
        <v>#VALUE!</v>
      </c>
      <c r="GQ73" t="e">
        <f>AND(medidas!O153,"AAAAAD/P/8Y=")</f>
        <v>#VALUE!</v>
      </c>
      <c r="GR73" t="e">
        <f>AND(medidas!P153,"AAAAAD/P/8c=")</f>
        <v>#VALUE!</v>
      </c>
      <c r="GS73" t="e">
        <f>AND(medidas!Q153,"AAAAAD/P/8g=")</f>
        <v>#VALUE!</v>
      </c>
      <c r="GT73" t="e">
        <f>AND(medidas!R153,"AAAAAD/P/8k=")</f>
        <v>#VALUE!</v>
      </c>
      <c r="GU73" t="e">
        <f>AND(medidas!S153,"AAAAAD/P/8o=")</f>
        <v>#VALUE!</v>
      </c>
      <c r="GV73" t="e">
        <f>AND(medidas!T153,"AAAAAD/P/8s=")</f>
        <v>#VALUE!</v>
      </c>
      <c r="GW73" t="e">
        <f>AND(medidas!U153,"AAAAAD/P/8w=")</f>
        <v>#VALUE!</v>
      </c>
      <c r="GX73" t="e">
        <f>AND(medidas!V153,"AAAAAD/P/80=")</f>
        <v>#VALUE!</v>
      </c>
      <c r="GY73" t="e">
        <f>AND(medidas!W153,"AAAAAD/P/84=")</f>
        <v>#VALUE!</v>
      </c>
      <c r="GZ73" t="e">
        <f>AND(medidas!X153,"AAAAAD/P/88=")</f>
        <v>#VALUE!</v>
      </c>
      <c r="HA73" t="e">
        <f>AND(medidas!Y153,"AAAAAD/P/9A=")</f>
        <v>#VALUE!</v>
      </c>
      <c r="HB73" t="e">
        <f>AND(medidas!Z153,"AAAAAD/P/9E=")</f>
        <v>#VALUE!</v>
      </c>
      <c r="HC73" t="e">
        <f>AND(medidas!AA153,"AAAAAD/P/9I=")</f>
        <v>#VALUE!</v>
      </c>
      <c r="HD73" t="e">
        <f>AND(medidas!AB153,"AAAAAD/P/9M=")</f>
        <v>#VALUE!</v>
      </c>
      <c r="HE73" t="e">
        <f>AND(medidas!AC153,"AAAAAD/P/9Q=")</f>
        <v>#VALUE!</v>
      </c>
      <c r="HF73" t="e">
        <f>AND(medidas!AD153,"AAAAAD/P/9U=")</f>
        <v>#VALUE!</v>
      </c>
      <c r="HG73" t="e">
        <f>AND(medidas!AE153,"AAAAAD/P/9Y=")</f>
        <v>#VALUE!</v>
      </c>
      <c r="HH73" t="e">
        <f>AND(medidas!AF153,"AAAAAD/P/9c=")</f>
        <v>#VALUE!</v>
      </c>
      <c r="HI73" t="e">
        <f>AND(medidas!AG153,"AAAAAD/P/9g=")</f>
        <v>#VALUE!</v>
      </c>
      <c r="HJ73" t="e">
        <f>AND(medidas!AH153,"AAAAAD/P/9k=")</f>
        <v>#VALUE!</v>
      </c>
      <c r="HK73" t="e">
        <f>AND(medidas!AI153,"AAAAAD/P/9o=")</f>
        <v>#VALUE!</v>
      </c>
      <c r="HL73" t="e">
        <f>AND(medidas!AJ153,"AAAAAD/P/9s=")</f>
        <v>#VALUE!</v>
      </c>
      <c r="HM73" t="e">
        <f>AND(medidas!AK153,"AAAAAD/P/9w=")</f>
        <v>#VALUE!</v>
      </c>
      <c r="HN73" t="e">
        <f>AND(medidas!AL153,"AAAAAD/P/90=")</f>
        <v>#VALUE!</v>
      </c>
      <c r="HO73" t="e">
        <f>AND(medidas!AM153,"AAAAAD/P/94=")</f>
        <v>#VALUE!</v>
      </c>
      <c r="HP73" t="e">
        <f>AND(medidas!AN153,"AAAAAD/P/98=")</f>
        <v>#VALUE!</v>
      </c>
      <c r="HQ73" t="e">
        <f>AND(medidas!AO153,"AAAAAD/P/+A=")</f>
        <v>#VALUE!</v>
      </c>
      <c r="HR73" t="e">
        <f>AND(medidas!AP153,"AAAAAD/P/+E=")</f>
        <v>#VALUE!</v>
      </c>
      <c r="HS73" t="e">
        <f>AND(medidas!AQ153,"AAAAAD/P/+I=")</f>
        <v>#VALUE!</v>
      </c>
      <c r="HT73" t="e">
        <f>AND(medidas!AR153,"AAAAAD/P/+M=")</f>
        <v>#VALUE!</v>
      </c>
      <c r="HU73" t="e">
        <f>AND(medidas!AS153,"AAAAAD/P/+Q=")</f>
        <v>#VALUE!</v>
      </c>
      <c r="HV73" t="e">
        <f>AND(medidas!AT153,"AAAAAD/P/+U=")</f>
        <v>#VALUE!</v>
      </c>
      <c r="HW73" t="e">
        <f>AND(medidas!AU153,"AAAAAD/P/+Y=")</f>
        <v>#VALUE!</v>
      </c>
      <c r="HX73" t="e">
        <f>AND(medidas!AV153,"AAAAAD/P/+c=")</f>
        <v>#VALUE!</v>
      </c>
      <c r="HY73" t="e">
        <f>AND(medidas!AW153,"AAAAAD/P/+g=")</f>
        <v>#VALUE!</v>
      </c>
      <c r="HZ73" t="e">
        <f>AND(medidas!AX153,"AAAAAD/P/+k=")</f>
        <v>#VALUE!</v>
      </c>
      <c r="IA73" t="e">
        <f>AND(medidas!AY153,"AAAAAD/P/+o=")</f>
        <v>#VALUE!</v>
      </c>
      <c r="IB73" t="e">
        <f>AND(medidas!AZ153,"AAAAAD/P/+s=")</f>
        <v>#VALUE!</v>
      </c>
      <c r="IC73" t="e">
        <f>AND(medidas!BA153,"AAAAAD/P/+w=")</f>
        <v>#VALUE!</v>
      </c>
      <c r="ID73" t="e">
        <f>AND(medidas!BB153,"AAAAAD/P/+0=")</f>
        <v>#VALUE!</v>
      </c>
      <c r="IE73" t="e">
        <f>AND(medidas!BC153,"AAAAAD/P/+4=")</f>
        <v>#VALUE!</v>
      </c>
      <c r="IF73" t="e">
        <f>AND(medidas!BD153,"AAAAAD/P/+8=")</f>
        <v>#VALUE!</v>
      </c>
      <c r="IG73" t="e">
        <f>AND(medidas!BE153,"AAAAAD/P//A=")</f>
        <v>#VALUE!</v>
      </c>
      <c r="IH73" t="e">
        <f>AND(medidas!BF153,"AAAAAD/P//E=")</f>
        <v>#VALUE!</v>
      </c>
      <c r="II73" t="e">
        <f>AND(medidas!BG153,"AAAAAD/P//I=")</f>
        <v>#VALUE!</v>
      </c>
      <c r="IJ73" t="e">
        <f>AND(medidas!BH153,"AAAAAD/P//M=")</f>
        <v>#VALUE!</v>
      </c>
      <c r="IK73" t="e">
        <f>AND(medidas!BI153,"AAAAAD/P//Q=")</f>
        <v>#VALUE!</v>
      </c>
      <c r="IL73" t="e">
        <f>AND(medidas!BJ153,"AAAAAD/P//U=")</f>
        <v>#VALUE!</v>
      </c>
      <c r="IM73" t="e">
        <f>AND(medidas!BK153,"AAAAAD/P//Y=")</f>
        <v>#VALUE!</v>
      </c>
      <c r="IN73" t="e">
        <f>AND(medidas!BL153,"AAAAAD/P//c=")</f>
        <v>#VALUE!</v>
      </c>
      <c r="IO73" t="e">
        <f>AND(medidas!BM153,"AAAAAD/P//g=")</f>
        <v>#VALUE!</v>
      </c>
      <c r="IP73" t="e">
        <f>AND(medidas!BN153,"AAAAAD/P//k=")</f>
        <v>#VALUE!</v>
      </c>
      <c r="IQ73" t="e">
        <f>AND(medidas!BO153,"AAAAAD/P//o=")</f>
        <v>#VALUE!</v>
      </c>
      <c r="IR73" t="e">
        <f>AND(medidas!BP153,"AAAAAD/P//s=")</f>
        <v>#VALUE!</v>
      </c>
      <c r="IS73" t="e">
        <f>AND(medidas!BQ153,"AAAAAD/P//w=")</f>
        <v>#VALUE!</v>
      </c>
      <c r="IT73" t="e">
        <f>AND(medidas!BR153,"AAAAAD/P//0=")</f>
        <v>#VALUE!</v>
      </c>
      <c r="IU73" t="e">
        <f>AND(medidas!BS153,"AAAAAD/P//4=")</f>
        <v>#VALUE!</v>
      </c>
      <c r="IV73" t="e">
        <f>AND(medidas!BT153,"AAAAAD/P//8=")</f>
        <v>#VALUE!</v>
      </c>
    </row>
    <row r="74" spans="1:256" x14ac:dyDescent="0.2">
      <c r="A74" t="e">
        <f>AND(medidas!BU153,"AAAAAH9H2wA=")</f>
        <v>#VALUE!</v>
      </c>
      <c r="B74" t="e">
        <f>AND(medidas!BV153,"AAAAAH9H2wE=")</f>
        <v>#VALUE!</v>
      </c>
      <c r="C74" t="e">
        <f>AND(medidas!BW153,"AAAAAH9H2wI=")</f>
        <v>#VALUE!</v>
      </c>
      <c r="D74" t="e">
        <f>AND(medidas!BX153,"AAAAAH9H2wM=")</f>
        <v>#VALUE!</v>
      </c>
      <c r="E74" t="e">
        <f>AND(medidas!BY153,"AAAAAH9H2wQ=")</f>
        <v>#VALUE!</v>
      </c>
      <c r="F74">
        <f>IF(medidas!154:154,"AAAAAH9H2wU=",0)</f>
        <v>0</v>
      </c>
      <c r="G74" t="e">
        <f>AND(medidas!B154,"AAAAAH9H2wY=")</f>
        <v>#VALUE!</v>
      </c>
      <c r="H74" t="e">
        <f>AND(medidas!C154,"AAAAAH9H2wc=")</f>
        <v>#VALUE!</v>
      </c>
      <c r="I74" t="e">
        <f>AND(medidas!D154,"AAAAAH9H2wg=")</f>
        <v>#VALUE!</v>
      </c>
      <c r="J74" t="e">
        <f>AND(medidas!E154,"AAAAAH9H2wk=")</f>
        <v>#VALUE!</v>
      </c>
      <c r="K74" t="e">
        <f>AND(medidas!F154,"AAAAAH9H2wo=")</f>
        <v>#VALUE!</v>
      </c>
      <c r="L74" t="e">
        <f>AND(medidas!G154,"AAAAAH9H2ws=")</f>
        <v>#VALUE!</v>
      </c>
      <c r="M74" t="e">
        <f>AND(medidas!H154,"AAAAAH9H2ww=")</f>
        <v>#VALUE!</v>
      </c>
      <c r="N74" t="e">
        <f>AND(medidas!I154,"AAAAAH9H2w0=")</f>
        <v>#VALUE!</v>
      </c>
      <c r="O74" t="e">
        <f>AND(medidas!J154,"AAAAAH9H2w4=")</f>
        <v>#VALUE!</v>
      </c>
      <c r="P74" t="e">
        <f>AND(medidas!K154,"AAAAAH9H2w8=")</f>
        <v>#VALUE!</v>
      </c>
      <c r="Q74" t="e">
        <f>AND(medidas!L154,"AAAAAH9H2xA=")</f>
        <v>#VALUE!</v>
      </c>
      <c r="R74" t="e">
        <f>AND(medidas!M154,"AAAAAH9H2xE=")</f>
        <v>#VALUE!</v>
      </c>
      <c r="S74" t="e">
        <f>AND(medidas!N154,"AAAAAH9H2xI=")</f>
        <v>#VALUE!</v>
      </c>
      <c r="T74" t="e">
        <f>AND(medidas!O154,"AAAAAH9H2xM=")</f>
        <v>#VALUE!</v>
      </c>
      <c r="U74" t="e">
        <f>AND(medidas!P154,"AAAAAH9H2xQ=")</f>
        <v>#VALUE!</v>
      </c>
      <c r="V74" t="e">
        <f>AND(medidas!Q154,"AAAAAH9H2xU=")</f>
        <v>#VALUE!</v>
      </c>
      <c r="W74" t="e">
        <f>AND(medidas!R154,"AAAAAH9H2xY=")</f>
        <v>#VALUE!</v>
      </c>
      <c r="X74" t="e">
        <f>AND(medidas!S154,"AAAAAH9H2xc=")</f>
        <v>#VALUE!</v>
      </c>
      <c r="Y74" t="e">
        <f>AND(medidas!T154,"AAAAAH9H2xg=")</f>
        <v>#VALUE!</v>
      </c>
      <c r="Z74" t="e">
        <f>AND(medidas!U154,"AAAAAH9H2xk=")</f>
        <v>#VALUE!</v>
      </c>
      <c r="AA74" t="e">
        <f>AND(medidas!V154,"AAAAAH9H2xo=")</f>
        <v>#VALUE!</v>
      </c>
      <c r="AB74" t="e">
        <f>AND(medidas!W154,"AAAAAH9H2xs=")</f>
        <v>#VALUE!</v>
      </c>
      <c r="AC74" t="e">
        <f>AND(medidas!X154,"AAAAAH9H2xw=")</f>
        <v>#VALUE!</v>
      </c>
      <c r="AD74" t="e">
        <f>AND(medidas!Y154,"AAAAAH9H2x0=")</f>
        <v>#VALUE!</v>
      </c>
      <c r="AE74" t="e">
        <f>AND(medidas!Z154,"AAAAAH9H2x4=")</f>
        <v>#VALUE!</v>
      </c>
      <c r="AF74" t="e">
        <f>AND(medidas!AA154,"AAAAAH9H2x8=")</f>
        <v>#VALUE!</v>
      </c>
      <c r="AG74" t="e">
        <f>AND(medidas!AB154,"AAAAAH9H2yA=")</f>
        <v>#VALUE!</v>
      </c>
      <c r="AH74" t="e">
        <f>AND(medidas!AC154,"AAAAAH9H2yE=")</f>
        <v>#VALUE!</v>
      </c>
      <c r="AI74" t="e">
        <f>AND(medidas!AD154,"AAAAAH9H2yI=")</f>
        <v>#VALUE!</v>
      </c>
      <c r="AJ74" t="e">
        <f>AND(medidas!AE154,"AAAAAH9H2yM=")</f>
        <v>#VALUE!</v>
      </c>
      <c r="AK74" t="e">
        <f>AND(medidas!AF154,"AAAAAH9H2yQ=")</f>
        <v>#VALUE!</v>
      </c>
      <c r="AL74" t="e">
        <f>AND(medidas!AG154,"AAAAAH9H2yU=")</f>
        <v>#VALUE!</v>
      </c>
      <c r="AM74" t="e">
        <f>AND(medidas!AH154,"AAAAAH9H2yY=")</f>
        <v>#VALUE!</v>
      </c>
      <c r="AN74" t="e">
        <f>AND(medidas!AI154,"AAAAAH9H2yc=")</f>
        <v>#VALUE!</v>
      </c>
      <c r="AO74" t="e">
        <f>AND(medidas!AJ154,"AAAAAH9H2yg=")</f>
        <v>#VALUE!</v>
      </c>
      <c r="AP74" t="e">
        <f>AND(medidas!AK154,"AAAAAH9H2yk=")</f>
        <v>#VALUE!</v>
      </c>
      <c r="AQ74" t="e">
        <f>AND(medidas!AL154,"AAAAAH9H2yo=")</f>
        <v>#VALUE!</v>
      </c>
      <c r="AR74" t="e">
        <f>AND(medidas!AM154,"AAAAAH9H2ys=")</f>
        <v>#VALUE!</v>
      </c>
      <c r="AS74" t="e">
        <f>AND(medidas!AN154,"AAAAAH9H2yw=")</f>
        <v>#VALUE!</v>
      </c>
      <c r="AT74" t="e">
        <f>AND(medidas!AO154,"AAAAAH9H2y0=")</f>
        <v>#VALUE!</v>
      </c>
      <c r="AU74" t="e">
        <f>AND(medidas!AP154,"AAAAAH9H2y4=")</f>
        <v>#VALUE!</v>
      </c>
      <c r="AV74" t="e">
        <f>AND(medidas!AQ154,"AAAAAH9H2y8=")</f>
        <v>#VALUE!</v>
      </c>
      <c r="AW74" t="e">
        <f>AND(medidas!AR154,"AAAAAH9H2zA=")</f>
        <v>#VALUE!</v>
      </c>
      <c r="AX74" t="e">
        <f>AND(medidas!AS154,"AAAAAH9H2zE=")</f>
        <v>#VALUE!</v>
      </c>
      <c r="AY74" t="e">
        <f>AND(medidas!AT154,"AAAAAH9H2zI=")</f>
        <v>#VALUE!</v>
      </c>
      <c r="AZ74" t="e">
        <f>AND(medidas!AU154,"AAAAAH9H2zM=")</f>
        <v>#VALUE!</v>
      </c>
      <c r="BA74" t="e">
        <f>AND(medidas!AV154,"AAAAAH9H2zQ=")</f>
        <v>#VALUE!</v>
      </c>
      <c r="BB74" t="e">
        <f>AND(medidas!AW154,"AAAAAH9H2zU=")</f>
        <v>#VALUE!</v>
      </c>
      <c r="BC74" t="e">
        <f>AND(medidas!AX154,"AAAAAH9H2zY=")</f>
        <v>#VALUE!</v>
      </c>
      <c r="BD74" t="e">
        <f>AND(medidas!AY154,"AAAAAH9H2zc=")</f>
        <v>#VALUE!</v>
      </c>
      <c r="BE74" t="e">
        <f>AND(medidas!AZ154,"AAAAAH9H2zg=")</f>
        <v>#VALUE!</v>
      </c>
      <c r="BF74" t="e">
        <f>AND(medidas!BA154,"AAAAAH9H2zk=")</f>
        <v>#VALUE!</v>
      </c>
      <c r="BG74" t="e">
        <f>AND(medidas!BB154,"AAAAAH9H2zo=")</f>
        <v>#VALUE!</v>
      </c>
      <c r="BH74" t="e">
        <f>AND(medidas!BC154,"AAAAAH9H2zs=")</f>
        <v>#VALUE!</v>
      </c>
      <c r="BI74" t="e">
        <f>AND(medidas!BD154,"AAAAAH9H2zw=")</f>
        <v>#VALUE!</v>
      </c>
      <c r="BJ74" t="e">
        <f>AND(medidas!BE154,"AAAAAH9H2z0=")</f>
        <v>#VALUE!</v>
      </c>
      <c r="BK74" t="e">
        <f>AND(medidas!BF154,"AAAAAH9H2z4=")</f>
        <v>#VALUE!</v>
      </c>
      <c r="BL74" t="e">
        <f>AND(medidas!BG154,"AAAAAH9H2z8=")</f>
        <v>#VALUE!</v>
      </c>
      <c r="BM74" t="e">
        <f>AND(medidas!BH154,"AAAAAH9H20A=")</f>
        <v>#VALUE!</v>
      </c>
      <c r="BN74" t="e">
        <f>AND(medidas!BI154,"AAAAAH9H20E=")</f>
        <v>#VALUE!</v>
      </c>
      <c r="BO74" t="e">
        <f>AND(medidas!BJ154,"AAAAAH9H20I=")</f>
        <v>#VALUE!</v>
      </c>
      <c r="BP74" t="e">
        <f>AND(medidas!BK154,"AAAAAH9H20M=")</f>
        <v>#VALUE!</v>
      </c>
      <c r="BQ74" t="e">
        <f>AND(medidas!BL154,"AAAAAH9H20Q=")</f>
        <v>#VALUE!</v>
      </c>
      <c r="BR74" t="e">
        <f>AND(medidas!BM154,"AAAAAH9H20U=")</f>
        <v>#VALUE!</v>
      </c>
      <c r="BS74" t="e">
        <f>AND(medidas!BN154,"AAAAAH9H20Y=")</f>
        <v>#VALUE!</v>
      </c>
      <c r="BT74" t="e">
        <f>AND(medidas!BO154,"AAAAAH9H20c=")</f>
        <v>#VALUE!</v>
      </c>
      <c r="BU74" t="e">
        <f>AND(medidas!BP154,"AAAAAH9H20g=")</f>
        <v>#VALUE!</v>
      </c>
      <c r="BV74" t="e">
        <f>AND(medidas!BQ154,"AAAAAH9H20k=")</f>
        <v>#VALUE!</v>
      </c>
      <c r="BW74" t="e">
        <f>AND(medidas!BR154,"AAAAAH9H20o=")</f>
        <v>#VALUE!</v>
      </c>
      <c r="BX74" t="e">
        <f>AND(medidas!BS154,"AAAAAH9H20s=")</f>
        <v>#VALUE!</v>
      </c>
      <c r="BY74" t="e">
        <f>AND(medidas!BT154,"AAAAAH9H20w=")</f>
        <v>#VALUE!</v>
      </c>
      <c r="BZ74" t="e">
        <f>AND(medidas!BU154,"AAAAAH9H200=")</f>
        <v>#VALUE!</v>
      </c>
      <c r="CA74" t="e">
        <f>AND(medidas!BV154,"AAAAAH9H204=")</f>
        <v>#VALUE!</v>
      </c>
      <c r="CB74" t="e">
        <f>AND(medidas!BW154,"AAAAAH9H208=")</f>
        <v>#VALUE!</v>
      </c>
      <c r="CC74" t="e">
        <f>AND(medidas!BX154,"AAAAAH9H21A=")</f>
        <v>#VALUE!</v>
      </c>
      <c r="CD74" t="e">
        <f>AND(medidas!BY154,"AAAAAH9H21E=")</f>
        <v>#VALUE!</v>
      </c>
      <c r="CE74">
        <f>IF(medidas!155:155,"AAAAAH9H21I=",0)</f>
        <v>0</v>
      </c>
      <c r="CF74" t="e">
        <f>AND(medidas!B155,"AAAAAH9H21M=")</f>
        <v>#VALUE!</v>
      </c>
      <c r="CG74" t="e">
        <f>AND(medidas!C155,"AAAAAH9H21Q=")</f>
        <v>#VALUE!</v>
      </c>
      <c r="CH74" t="e">
        <f>AND(medidas!D155,"AAAAAH9H21U=")</f>
        <v>#VALUE!</v>
      </c>
      <c r="CI74" t="e">
        <f>AND(medidas!E155,"AAAAAH9H21Y=")</f>
        <v>#VALUE!</v>
      </c>
      <c r="CJ74" t="e">
        <f>AND(medidas!F155,"AAAAAH9H21c=")</f>
        <v>#VALUE!</v>
      </c>
      <c r="CK74" t="e">
        <f>AND(medidas!G155,"AAAAAH9H21g=")</f>
        <v>#VALUE!</v>
      </c>
      <c r="CL74" t="e">
        <f>AND(medidas!H155,"AAAAAH9H21k=")</f>
        <v>#VALUE!</v>
      </c>
      <c r="CM74" t="e">
        <f>AND(medidas!I155,"AAAAAH9H21o=")</f>
        <v>#VALUE!</v>
      </c>
      <c r="CN74" t="e">
        <f>AND(medidas!J155,"AAAAAH9H21s=")</f>
        <v>#VALUE!</v>
      </c>
      <c r="CO74" t="e">
        <f>AND(medidas!K155,"AAAAAH9H21w=")</f>
        <v>#VALUE!</v>
      </c>
      <c r="CP74" t="e">
        <f>AND(medidas!L155,"AAAAAH9H210=")</f>
        <v>#VALUE!</v>
      </c>
      <c r="CQ74" t="e">
        <f>AND(medidas!M155,"AAAAAH9H214=")</f>
        <v>#VALUE!</v>
      </c>
      <c r="CR74" t="e">
        <f>AND(medidas!N155,"AAAAAH9H218=")</f>
        <v>#VALUE!</v>
      </c>
      <c r="CS74" t="e">
        <f>AND(medidas!O155,"AAAAAH9H22A=")</f>
        <v>#VALUE!</v>
      </c>
      <c r="CT74" t="e">
        <f>AND(medidas!P155,"AAAAAH9H22E=")</f>
        <v>#VALUE!</v>
      </c>
      <c r="CU74" t="e">
        <f>AND(medidas!Q155,"AAAAAH9H22I=")</f>
        <v>#VALUE!</v>
      </c>
      <c r="CV74" t="e">
        <f>AND(medidas!R155,"AAAAAH9H22M=")</f>
        <v>#VALUE!</v>
      </c>
      <c r="CW74" t="e">
        <f>AND(medidas!S155,"AAAAAH9H22Q=")</f>
        <v>#VALUE!</v>
      </c>
      <c r="CX74" t="e">
        <f>AND(medidas!T155,"AAAAAH9H22U=")</f>
        <v>#VALUE!</v>
      </c>
      <c r="CY74" t="e">
        <f>AND(medidas!U155,"AAAAAH9H22Y=")</f>
        <v>#VALUE!</v>
      </c>
      <c r="CZ74" t="e">
        <f>AND(medidas!V155,"AAAAAH9H22c=")</f>
        <v>#VALUE!</v>
      </c>
      <c r="DA74" t="e">
        <f>AND(medidas!W155,"AAAAAH9H22g=")</f>
        <v>#VALUE!</v>
      </c>
      <c r="DB74" t="e">
        <f>AND(medidas!X155,"AAAAAH9H22k=")</f>
        <v>#VALUE!</v>
      </c>
      <c r="DC74" t="e">
        <f>AND(medidas!Y155,"AAAAAH9H22o=")</f>
        <v>#VALUE!</v>
      </c>
      <c r="DD74" t="e">
        <f>AND(medidas!Z155,"AAAAAH9H22s=")</f>
        <v>#VALUE!</v>
      </c>
      <c r="DE74" t="e">
        <f>AND(medidas!AA155,"AAAAAH9H22w=")</f>
        <v>#VALUE!</v>
      </c>
      <c r="DF74" t="e">
        <f>AND(medidas!AB155,"AAAAAH9H220=")</f>
        <v>#VALUE!</v>
      </c>
      <c r="DG74" t="e">
        <f>AND(medidas!AC155,"AAAAAH9H224=")</f>
        <v>#VALUE!</v>
      </c>
      <c r="DH74" t="e">
        <f>AND(medidas!AD155,"AAAAAH9H228=")</f>
        <v>#VALUE!</v>
      </c>
      <c r="DI74" t="e">
        <f>AND(medidas!AE155,"AAAAAH9H23A=")</f>
        <v>#VALUE!</v>
      </c>
      <c r="DJ74" t="e">
        <f>AND(medidas!AF155,"AAAAAH9H23E=")</f>
        <v>#VALUE!</v>
      </c>
      <c r="DK74" t="e">
        <f>AND(medidas!AG155,"AAAAAH9H23I=")</f>
        <v>#VALUE!</v>
      </c>
      <c r="DL74" t="e">
        <f>AND(medidas!AH155,"AAAAAH9H23M=")</f>
        <v>#VALUE!</v>
      </c>
      <c r="DM74" t="e">
        <f>AND(medidas!AI155,"AAAAAH9H23Q=")</f>
        <v>#VALUE!</v>
      </c>
      <c r="DN74" t="e">
        <f>AND(medidas!AJ155,"AAAAAH9H23U=")</f>
        <v>#VALUE!</v>
      </c>
      <c r="DO74" t="e">
        <f>AND(medidas!AK155,"AAAAAH9H23Y=")</f>
        <v>#VALUE!</v>
      </c>
      <c r="DP74" t="e">
        <f>AND(medidas!AL155,"AAAAAH9H23c=")</f>
        <v>#VALUE!</v>
      </c>
      <c r="DQ74" t="e">
        <f>AND(medidas!AM155,"AAAAAH9H23g=")</f>
        <v>#VALUE!</v>
      </c>
      <c r="DR74" t="e">
        <f>AND(medidas!AN155,"AAAAAH9H23k=")</f>
        <v>#VALUE!</v>
      </c>
      <c r="DS74" t="e">
        <f>AND(medidas!AO155,"AAAAAH9H23o=")</f>
        <v>#VALUE!</v>
      </c>
      <c r="DT74" t="e">
        <f>AND(medidas!AP155,"AAAAAH9H23s=")</f>
        <v>#VALUE!</v>
      </c>
      <c r="DU74" t="e">
        <f>AND(medidas!AQ155,"AAAAAH9H23w=")</f>
        <v>#VALUE!</v>
      </c>
      <c r="DV74" t="e">
        <f>AND(medidas!AR155,"AAAAAH9H230=")</f>
        <v>#VALUE!</v>
      </c>
      <c r="DW74" t="e">
        <f>AND(medidas!AS155,"AAAAAH9H234=")</f>
        <v>#VALUE!</v>
      </c>
      <c r="DX74" t="e">
        <f>AND(medidas!AT155,"AAAAAH9H238=")</f>
        <v>#VALUE!</v>
      </c>
      <c r="DY74" t="e">
        <f>AND(medidas!AU155,"AAAAAH9H24A=")</f>
        <v>#VALUE!</v>
      </c>
      <c r="DZ74" t="e">
        <f>AND(medidas!AV155,"AAAAAH9H24E=")</f>
        <v>#VALUE!</v>
      </c>
      <c r="EA74" t="e">
        <f>AND(medidas!AW155,"AAAAAH9H24I=")</f>
        <v>#VALUE!</v>
      </c>
      <c r="EB74" t="e">
        <f>AND(medidas!AX155,"AAAAAH9H24M=")</f>
        <v>#VALUE!</v>
      </c>
      <c r="EC74" t="e">
        <f>AND(medidas!AY155,"AAAAAH9H24Q=")</f>
        <v>#VALUE!</v>
      </c>
      <c r="ED74" t="e">
        <f>AND(medidas!AZ155,"AAAAAH9H24U=")</f>
        <v>#VALUE!</v>
      </c>
      <c r="EE74" t="e">
        <f>AND(medidas!BA155,"AAAAAH9H24Y=")</f>
        <v>#VALUE!</v>
      </c>
      <c r="EF74" t="e">
        <f>AND(medidas!BB155,"AAAAAH9H24c=")</f>
        <v>#VALUE!</v>
      </c>
      <c r="EG74" t="e">
        <f>AND(medidas!BC155,"AAAAAH9H24g=")</f>
        <v>#VALUE!</v>
      </c>
      <c r="EH74" t="e">
        <f>AND(medidas!BD155,"AAAAAH9H24k=")</f>
        <v>#VALUE!</v>
      </c>
      <c r="EI74" t="e">
        <f>AND(medidas!BE155,"AAAAAH9H24o=")</f>
        <v>#VALUE!</v>
      </c>
      <c r="EJ74" t="e">
        <f>AND(medidas!BF155,"AAAAAH9H24s=")</f>
        <v>#VALUE!</v>
      </c>
      <c r="EK74" t="e">
        <f>AND(medidas!BG155,"AAAAAH9H24w=")</f>
        <v>#VALUE!</v>
      </c>
      <c r="EL74" t="e">
        <f>AND(medidas!BH155,"AAAAAH9H240=")</f>
        <v>#VALUE!</v>
      </c>
      <c r="EM74" t="e">
        <f>AND(medidas!BI155,"AAAAAH9H244=")</f>
        <v>#VALUE!</v>
      </c>
      <c r="EN74" t="e">
        <f>AND(medidas!BJ155,"AAAAAH9H248=")</f>
        <v>#VALUE!</v>
      </c>
      <c r="EO74" t="e">
        <f>AND(medidas!BK155,"AAAAAH9H25A=")</f>
        <v>#VALUE!</v>
      </c>
      <c r="EP74" t="e">
        <f>AND(medidas!BL155,"AAAAAH9H25E=")</f>
        <v>#VALUE!</v>
      </c>
      <c r="EQ74" t="e">
        <f>AND(medidas!BM155,"AAAAAH9H25I=")</f>
        <v>#VALUE!</v>
      </c>
      <c r="ER74" t="e">
        <f>AND(medidas!BN155,"AAAAAH9H25M=")</f>
        <v>#VALUE!</v>
      </c>
      <c r="ES74" t="e">
        <f>AND(medidas!BO155,"AAAAAH9H25Q=")</f>
        <v>#VALUE!</v>
      </c>
      <c r="ET74" t="e">
        <f>AND(medidas!BP155,"AAAAAH9H25U=")</f>
        <v>#VALUE!</v>
      </c>
      <c r="EU74" t="e">
        <f>AND(medidas!BQ155,"AAAAAH9H25Y=")</f>
        <v>#VALUE!</v>
      </c>
      <c r="EV74" t="e">
        <f>AND(medidas!BR155,"AAAAAH9H25c=")</f>
        <v>#VALUE!</v>
      </c>
      <c r="EW74" t="e">
        <f>AND(medidas!BS155,"AAAAAH9H25g=")</f>
        <v>#VALUE!</v>
      </c>
      <c r="EX74" t="e">
        <f>AND(medidas!BT155,"AAAAAH9H25k=")</f>
        <v>#VALUE!</v>
      </c>
      <c r="EY74" t="e">
        <f>AND(medidas!BU155,"AAAAAH9H25o=")</f>
        <v>#VALUE!</v>
      </c>
      <c r="EZ74" t="e">
        <f>AND(medidas!BV155,"AAAAAH9H25s=")</f>
        <v>#VALUE!</v>
      </c>
      <c r="FA74" t="e">
        <f>AND(medidas!BW155,"AAAAAH9H25w=")</f>
        <v>#VALUE!</v>
      </c>
      <c r="FB74" t="e">
        <f>AND(medidas!BX155,"AAAAAH9H250=")</f>
        <v>#VALUE!</v>
      </c>
      <c r="FC74" t="e">
        <f>AND(medidas!BY155,"AAAAAH9H254=")</f>
        <v>#VALUE!</v>
      </c>
      <c r="FD74">
        <f>IF(medidas!156:156,"AAAAAH9H258=",0)</f>
        <v>0</v>
      </c>
      <c r="FE74" t="e">
        <f>AND(medidas!B156,"AAAAAH9H26A=")</f>
        <v>#VALUE!</v>
      </c>
      <c r="FF74" t="e">
        <f>AND(medidas!C156,"AAAAAH9H26E=")</f>
        <v>#VALUE!</v>
      </c>
      <c r="FG74" t="e">
        <f>AND(medidas!D156,"AAAAAH9H26I=")</f>
        <v>#VALUE!</v>
      </c>
      <c r="FH74" t="e">
        <f>AND(medidas!E156,"AAAAAH9H26M=")</f>
        <v>#VALUE!</v>
      </c>
      <c r="FI74" t="e">
        <f>AND(medidas!F156,"AAAAAH9H26Q=")</f>
        <v>#VALUE!</v>
      </c>
      <c r="FJ74" t="e">
        <f>AND(medidas!G156,"AAAAAH9H26U=")</f>
        <v>#VALUE!</v>
      </c>
      <c r="FK74" t="e">
        <f>AND(medidas!H156,"AAAAAH9H26Y=")</f>
        <v>#VALUE!</v>
      </c>
      <c r="FL74" t="e">
        <f>AND(medidas!I156,"AAAAAH9H26c=")</f>
        <v>#VALUE!</v>
      </c>
      <c r="FM74" t="e">
        <f>AND(medidas!J156,"AAAAAH9H26g=")</f>
        <v>#VALUE!</v>
      </c>
      <c r="FN74" t="e">
        <f>AND(medidas!K156,"AAAAAH9H26k=")</f>
        <v>#VALUE!</v>
      </c>
      <c r="FO74" t="e">
        <f>AND(medidas!L156,"AAAAAH9H26o=")</f>
        <v>#VALUE!</v>
      </c>
      <c r="FP74" t="e">
        <f>AND(medidas!M156,"AAAAAH9H26s=")</f>
        <v>#VALUE!</v>
      </c>
      <c r="FQ74" t="e">
        <f>AND(medidas!N156,"AAAAAH9H26w=")</f>
        <v>#VALUE!</v>
      </c>
      <c r="FR74" t="e">
        <f>AND(medidas!O156,"AAAAAH9H260=")</f>
        <v>#VALUE!</v>
      </c>
      <c r="FS74" t="e">
        <f>AND(medidas!P156,"AAAAAH9H264=")</f>
        <v>#VALUE!</v>
      </c>
      <c r="FT74" t="e">
        <f>AND(medidas!Q156,"AAAAAH9H268=")</f>
        <v>#VALUE!</v>
      </c>
      <c r="FU74" t="e">
        <f>AND(medidas!R156,"AAAAAH9H27A=")</f>
        <v>#VALUE!</v>
      </c>
      <c r="FV74" t="e">
        <f>AND(medidas!S156,"AAAAAH9H27E=")</f>
        <v>#VALUE!</v>
      </c>
      <c r="FW74" t="e">
        <f>AND(medidas!T156,"AAAAAH9H27I=")</f>
        <v>#VALUE!</v>
      </c>
      <c r="FX74" t="e">
        <f>AND(medidas!U156,"AAAAAH9H27M=")</f>
        <v>#VALUE!</v>
      </c>
      <c r="FY74" t="e">
        <f>AND(medidas!V156,"AAAAAH9H27Q=")</f>
        <v>#VALUE!</v>
      </c>
      <c r="FZ74" t="e">
        <f>AND(medidas!W156,"AAAAAH9H27U=")</f>
        <v>#VALUE!</v>
      </c>
      <c r="GA74" t="e">
        <f>AND(medidas!X156,"AAAAAH9H27Y=")</f>
        <v>#VALUE!</v>
      </c>
      <c r="GB74" t="e">
        <f>AND(medidas!Y156,"AAAAAH9H27c=")</f>
        <v>#VALUE!</v>
      </c>
      <c r="GC74" t="e">
        <f>AND(medidas!Z156,"AAAAAH9H27g=")</f>
        <v>#VALUE!</v>
      </c>
      <c r="GD74" t="e">
        <f>AND(medidas!AA156,"AAAAAH9H27k=")</f>
        <v>#VALUE!</v>
      </c>
      <c r="GE74" t="e">
        <f>AND(medidas!AB156,"AAAAAH9H27o=")</f>
        <v>#VALUE!</v>
      </c>
      <c r="GF74" t="e">
        <f>AND(medidas!AC156,"AAAAAH9H27s=")</f>
        <v>#VALUE!</v>
      </c>
      <c r="GG74" t="e">
        <f>AND(medidas!AD156,"AAAAAH9H27w=")</f>
        <v>#VALUE!</v>
      </c>
      <c r="GH74" t="e">
        <f>AND(medidas!AE156,"AAAAAH9H270=")</f>
        <v>#VALUE!</v>
      </c>
      <c r="GI74" t="e">
        <f>AND(medidas!AF156,"AAAAAH9H274=")</f>
        <v>#VALUE!</v>
      </c>
      <c r="GJ74" t="e">
        <f>AND(medidas!AG156,"AAAAAH9H278=")</f>
        <v>#VALUE!</v>
      </c>
      <c r="GK74" t="e">
        <f>AND(medidas!AH156,"AAAAAH9H28A=")</f>
        <v>#VALUE!</v>
      </c>
      <c r="GL74" t="e">
        <f>AND(medidas!AI156,"AAAAAH9H28E=")</f>
        <v>#VALUE!</v>
      </c>
      <c r="GM74" t="e">
        <f>AND(medidas!AJ156,"AAAAAH9H28I=")</f>
        <v>#VALUE!</v>
      </c>
      <c r="GN74" t="e">
        <f>AND(medidas!AK156,"AAAAAH9H28M=")</f>
        <v>#VALUE!</v>
      </c>
      <c r="GO74" t="e">
        <f>AND(medidas!AL156,"AAAAAH9H28Q=")</f>
        <v>#VALUE!</v>
      </c>
      <c r="GP74" t="e">
        <f>AND(medidas!AM156,"AAAAAH9H28U=")</f>
        <v>#VALUE!</v>
      </c>
      <c r="GQ74" t="e">
        <f>AND(medidas!AN156,"AAAAAH9H28Y=")</f>
        <v>#VALUE!</v>
      </c>
      <c r="GR74" t="e">
        <f>AND(medidas!AO156,"AAAAAH9H28c=")</f>
        <v>#VALUE!</v>
      </c>
      <c r="GS74" t="e">
        <f>AND(medidas!AP156,"AAAAAH9H28g=")</f>
        <v>#VALUE!</v>
      </c>
      <c r="GT74" t="e">
        <f>AND(medidas!AQ156,"AAAAAH9H28k=")</f>
        <v>#VALUE!</v>
      </c>
      <c r="GU74" t="e">
        <f>AND(medidas!AR156,"AAAAAH9H28o=")</f>
        <v>#VALUE!</v>
      </c>
      <c r="GV74" t="e">
        <f>AND(medidas!AS156,"AAAAAH9H28s=")</f>
        <v>#VALUE!</v>
      </c>
      <c r="GW74" t="e">
        <f>AND(medidas!AT156,"AAAAAH9H28w=")</f>
        <v>#VALUE!</v>
      </c>
      <c r="GX74" t="e">
        <f>AND(medidas!AU156,"AAAAAH9H280=")</f>
        <v>#VALUE!</v>
      </c>
      <c r="GY74" t="e">
        <f>AND(medidas!AV156,"AAAAAH9H284=")</f>
        <v>#VALUE!</v>
      </c>
      <c r="GZ74" t="e">
        <f>AND(medidas!AW156,"AAAAAH9H288=")</f>
        <v>#VALUE!</v>
      </c>
      <c r="HA74" t="e">
        <f>AND(medidas!AX156,"AAAAAH9H29A=")</f>
        <v>#VALUE!</v>
      </c>
      <c r="HB74" t="e">
        <f>AND(medidas!AY156,"AAAAAH9H29E=")</f>
        <v>#VALUE!</v>
      </c>
      <c r="HC74" t="e">
        <f>AND(medidas!AZ156,"AAAAAH9H29I=")</f>
        <v>#VALUE!</v>
      </c>
      <c r="HD74" t="e">
        <f>AND(medidas!BA156,"AAAAAH9H29M=")</f>
        <v>#VALUE!</v>
      </c>
      <c r="HE74" t="e">
        <f>AND(medidas!BB156,"AAAAAH9H29Q=")</f>
        <v>#VALUE!</v>
      </c>
      <c r="HF74" t="e">
        <f>AND(medidas!BC156,"AAAAAH9H29U=")</f>
        <v>#VALUE!</v>
      </c>
      <c r="HG74" t="e">
        <f>AND(medidas!BD156,"AAAAAH9H29Y=")</f>
        <v>#VALUE!</v>
      </c>
      <c r="HH74" t="e">
        <f>AND(medidas!BE156,"AAAAAH9H29c=")</f>
        <v>#VALUE!</v>
      </c>
      <c r="HI74" t="e">
        <f>AND(medidas!BF156,"AAAAAH9H29g=")</f>
        <v>#VALUE!</v>
      </c>
      <c r="HJ74" t="e">
        <f>AND(medidas!BG156,"AAAAAH9H29k=")</f>
        <v>#VALUE!</v>
      </c>
      <c r="HK74" t="e">
        <f>AND(medidas!BH156,"AAAAAH9H29o=")</f>
        <v>#VALUE!</v>
      </c>
      <c r="HL74" t="e">
        <f>AND(medidas!BI156,"AAAAAH9H29s=")</f>
        <v>#VALUE!</v>
      </c>
      <c r="HM74" t="e">
        <f>AND(medidas!BJ156,"AAAAAH9H29w=")</f>
        <v>#VALUE!</v>
      </c>
      <c r="HN74" t="e">
        <f>AND(medidas!BK156,"AAAAAH9H290=")</f>
        <v>#VALUE!</v>
      </c>
      <c r="HO74" t="e">
        <f>AND(medidas!BL156,"AAAAAH9H294=")</f>
        <v>#VALUE!</v>
      </c>
      <c r="HP74" t="e">
        <f>AND(medidas!BM156,"AAAAAH9H298=")</f>
        <v>#VALUE!</v>
      </c>
      <c r="HQ74" t="e">
        <f>AND(medidas!BN156,"AAAAAH9H2+A=")</f>
        <v>#VALUE!</v>
      </c>
      <c r="HR74" t="e">
        <f>AND(medidas!BO156,"AAAAAH9H2+E=")</f>
        <v>#VALUE!</v>
      </c>
      <c r="HS74" t="e">
        <f>AND(medidas!BP156,"AAAAAH9H2+I=")</f>
        <v>#VALUE!</v>
      </c>
      <c r="HT74" t="e">
        <f>AND(medidas!BQ156,"AAAAAH9H2+M=")</f>
        <v>#VALUE!</v>
      </c>
      <c r="HU74" t="e">
        <f>AND(medidas!BR156,"AAAAAH9H2+Q=")</f>
        <v>#VALUE!</v>
      </c>
      <c r="HV74" t="e">
        <f>AND(medidas!BS156,"AAAAAH9H2+U=")</f>
        <v>#VALUE!</v>
      </c>
      <c r="HW74" t="e">
        <f>AND(medidas!BT156,"AAAAAH9H2+Y=")</f>
        <v>#VALUE!</v>
      </c>
      <c r="HX74" t="e">
        <f>AND(medidas!BU156,"AAAAAH9H2+c=")</f>
        <v>#VALUE!</v>
      </c>
      <c r="HY74" t="e">
        <f>AND(medidas!BV156,"AAAAAH9H2+g=")</f>
        <v>#VALUE!</v>
      </c>
      <c r="HZ74" t="e">
        <f>AND(medidas!BW156,"AAAAAH9H2+k=")</f>
        <v>#VALUE!</v>
      </c>
      <c r="IA74" t="e">
        <f>AND(medidas!BX156,"AAAAAH9H2+o=")</f>
        <v>#VALUE!</v>
      </c>
      <c r="IB74" t="e">
        <f>AND(medidas!BY156,"AAAAAH9H2+s=")</f>
        <v>#VALUE!</v>
      </c>
      <c r="IC74">
        <f>IF(medidas!157:157,"AAAAAH9H2+w=",0)</f>
        <v>0</v>
      </c>
      <c r="ID74" t="e">
        <f>AND(medidas!B157,"AAAAAH9H2+0=")</f>
        <v>#VALUE!</v>
      </c>
      <c r="IE74" t="e">
        <f>AND(medidas!C157,"AAAAAH9H2+4=")</f>
        <v>#VALUE!</v>
      </c>
      <c r="IF74" t="e">
        <f>AND(medidas!D157,"AAAAAH9H2+8=")</f>
        <v>#VALUE!</v>
      </c>
      <c r="IG74" t="e">
        <f>AND(medidas!E157,"AAAAAH9H2/A=")</f>
        <v>#VALUE!</v>
      </c>
      <c r="IH74" t="e">
        <f>AND(medidas!F157,"AAAAAH9H2/E=")</f>
        <v>#VALUE!</v>
      </c>
      <c r="II74" t="e">
        <f>AND(medidas!G157,"AAAAAH9H2/I=")</f>
        <v>#VALUE!</v>
      </c>
      <c r="IJ74" t="e">
        <f>AND(medidas!H157,"AAAAAH9H2/M=")</f>
        <v>#VALUE!</v>
      </c>
      <c r="IK74" t="e">
        <f>AND(medidas!I157,"AAAAAH9H2/Q=")</f>
        <v>#VALUE!</v>
      </c>
      <c r="IL74" t="e">
        <f>AND(medidas!J157,"AAAAAH9H2/U=")</f>
        <v>#VALUE!</v>
      </c>
      <c r="IM74" t="e">
        <f>AND(medidas!K157,"AAAAAH9H2/Y=")</f>
        <v>#VALUE!</v>
      </c>
      <c r="IN74" t="e">
        <f>AND(medidas!L157,"AAAAAH9H2/c=")</f>
        <v>#VALUE!</v>
      </c>
      <c r="IO74" t="e">
        <f>AND(medidas!M157,"AAAAAH9H2/g=")</f>
        <v>#VALUE!</v>
      </c>
      <c r="IP74" t="e">
        <f>AND(medidas!N157,"AAAAAH9H2/k=")</f>
        <v>#VALUE!</v>
      </c>
      <c r="IQ74" t="e">
        <f>AND(medidas!O157,"AAAAAH9H2/o=")</f>
        <v>#VALUE!</v>
      </c>
      <c r="IR74" t="e">
        <f>AND(medidas!P157,"AAAAAH9H2/s=")</f>
        <v>#VALUE!</v>
      </c>
      <c r="IS74" t="e">
        <f>AND(medidas!Q157,"AAAAAH9H2/w=")</f>
        <v>#VALUE!</v>
      </c>
      <c r="IT74" t="e">
        <f>AND(medidas!R157,"AAAAAH9H2/0=")</f>
        <v>#VALUE!</v>
      </c>
      <c r="IU74" t="e">
        <f>AND(medidas!S157,"AAAAAH9H2/4=")</f>
        <v>#VALUE!</v>
      </c>
      <c r="IV74" t="e">
        <f>AND(medidas!T157,"AAAAAH9H2/8=")</f>
        <v>#VALUE!</v>
      </c>
    </row>
    <row r="75" spans="1:256" x14ac:dyDescent="0.2">
      <c r="A75" t="e">
        <f>AND(medidas!U157,"AAAAAD7X/wA=")</f>
        <v>#VALUE!</v>
      </c>
      <c r="B75" t="e">
        <f>AND(medidas!V157,"AAAAAD7X/wE=")</f>
        <v>#VALUE!</v>
      </c>
      <c r="C75" t="e">
        <f>AND(medidas!W157,"AAAAAD7X/wI=")</f>
        <v>#VALUE!</v>
      </c>
      <c r="D75" t="e">
        <f>AND(medidas!X157,"AAAAAD7X/wM=")</f>
        <v>#VALUE!</v>
      </c>
      <c r="E75" t="e">
        <f>AND(medidas!Y157,"AAAAAD7X/wQ=")</f>
        <v>#VALUE!</v>
      </c>
      <c r="F75" t="e">
        <f>AND(medidas!Z157,"AAAAAD7X/wU=")</f>
        <v>#VALUE!</v>
      </c>
      <c r="G75" t="e">
        <f>AND(medidas!AA157,"AAAAAD7X/wY=")</f>
        <v>#VALUE!</v>
      </c>
      <c r="H75" t="e">
        <f>AND(medidas!AB157,"AAAAAD7X/wc=")</f>
        <v>#VALUE!</v>
      </c>
      <c r="I75" t="e">
        <f>AND(medidas!AC157,"AAAAAD7X/wg=")</f>
        <v>#VALUE!</v>
      </c>
      <c r="J75" t="e">
        <f>AND(medidas!AD157,"AAAAAD7X/wk=")</f>
        <v>#VALUE!</v>
      </c>
      <c r="K75" t="e">
        <f>AND(medidas!AE157,"AAAAAD7X/wo=")</f>
        <v>#VALUE!</v>
      </c>
      <c r="L75" t="e">
        <f>AND(medidas!AF157,"AAAAAD7X/ws=")</f>
        <v>#VALUE!</v>
      </c>
      <c r="M75" t="e">
        <f>AND(medidas!AG157,"AAAAAD7X/ww=")</f>
        <v>#VALUE!</v>
      </c>
      <c r="N75" t="e">
        <f>AND(medidas!AH157,"AAAAAD7X/w0=")</f>
        <v>#VALUE!</v>
      </c>
      <c r="O75" t="e">
        <f>AND(medidas!AI157,"AAAAAD7X/w4=")</f>
        <v>#VALUE!</v>
      </c>
      <c r="P75" t="e">
        <f>AND(medidas!AJ157,"AAAAAD7X/w8=")</f>
        <v>#VALUE!</v>
      </c>
      <c r="Q75" t="e">
        <f>AND(medidas!AK157,"AAAAAD7X/xA=")</f>
        <v>#VALUE!</v>
      </c>
      <c r="R75" t="e">
        <f>AND(medidas!AL157,"AAAAAD7X/xE=")</f>
        <v>#VALUE!</v>
      </c>
      <c r="S75" t="e">
        <f>AND(medidas!AM157,"AAAAAD7X/xI=")</f>
        <v>#VALUE!</v>
      </c>
      <c r="T75" t="e">
        <f>AND(medidas!AN157,"AAAAAD7X/xM=")</f>
        <v>#VALUE!</v>
      </c>
      <c r="U75" t="e">
        <f>AND(medidas!AO157,"AAAAAD7X/xQ=")</f>
        <v>#VALUE!</v>
      </c>
      <c r="V75" t="e">
        <f>AND(medidas!AP157,"AAAAAD7X/xU=")</f>
        <v>#VALUE!</v>
      </c>
      <c r="W75" t="e">
        <f>AND(medidas!AQ157,"AAAAAD7X/xY=")</f>
        <v>#VALUE!</v>
      </c>
      <c r="X75" t="e">
        <f>AND(medidas!AR157,"AAAAAD7X/xc=")</f>
        <v>#VALUE!</v>
      </c>
      <c r="Y75" t="e">
        <f>AND(medidas!AS157,"AAAAAD7X/xg=")</f>
        <v>#VALUE!</v>
      </c>
      <c r="Z75" t="e">
        <f>AND(medidas!AT157,"AAAAAD7X/xk=")</f>
        <v>#VALUE!</v>
      </c>
      <c r="AA75" t="e">
        <f>AND(medidas!AU157,"AAAAAD7X/xo=")</f>
        <v>#VALUE!</v>
      </c>
      <c r="AB75" t="e">
        <f>AND(medidas!AV157,"AAAAAD7X/xs=")</f>
        <v>#VALUE!</v>
      </c>
      <c r="AC75" t="e">
        <f>AND(medidas!AW157,"AAAAAD7X/xw=")</f>
        <v>#VALUE!</v>
      </c>
      <c r="AD75" t="e">
        <f>AND(medidas!AX157,"AAAAAD7X/x0=")</f>
        <v>#VALUE!</v>
      </c>
      <c r="AE75" t="e">
        <f>AND(medidas!AY157,"AAAAAD7X/x4=")</f>
        <v>#VALUE!</v>
      </c>
      <c r="AF75" t="e">
        <f>AND(medidas!AZ157,"AAAAAD7X/x8=")</f>
        <v>#VALUE!</v>
      </c>
      <c r="AG75" t="e">
        <f>AND(medidas!BA157,"AAAAAD7X/yA=")</f>
        <v>#VALUE!</v>
      </c>
      <c r="AH75" t="e">
        <f>AND(medidas!BB157,"AAAAAD7X/yE=")</f>
        <v>#VALUE!</v>
      </c>
      <c r="AI75" t="e">
        <f>AND(medidas!BC157,"AAAAAD7X/yI=")</f>
        <v>#VALUE!</v>
      </c>
      <c r="AJ75" t="e">
        <f>AND(medidas!BD157,"AAAAAD7X/yM=")</f>
        <v>#VALUE!</v>
      </c>
      <c r="AK75" t="e">
        <f>AND(medidas!BE157,"AAAAAD7X/yQ=")</f>
        <v>#VALUE!</v>
      </c>
      <c r="AL75" t="e">
        <f>AND(medidas!BF157,"AAAAAD7X/yU=")</f>
        <v>#VALUE!</v>
      </c>
      <c r="AM75" t="e">
        <f>AND(medidas!BG157,"AAAAAD7X/yY=")</f>
        <v>#VALUE!</v>
      </c>
      <c r="AN75" t="e">
        <f>AND(medidas!BH157,"AAAAAD7X/yc=")</f>
        <v>#VALUE!</v>
      </c>
      <c r="AO75" t="e">
        <f>AND(medidas!BI157,"AAAAAD7X/yg=")</f>
        <v>#VALUE!</v>
      </c>
      <c r="AP75" t="e">
        <f>AND(medidas!BJ157,"AAAAAD7X/yk=")</f>
        <v>#VALUE!</v>
      </c>
      <c r="AQ75" t="e">
        <f>AND(medidas!BK157,"AAAAAD7X/yo=")</f>
        <v>#VALUE!</v>
      </c>
      <c r="AR75" t="e">
        <f>AND(medidas!BL157,"AAAAAD7X/ys=")</f>
        <v>#VALUE!</v>
      </c>
      <c r="AS75" t="e">
        <f>AND(medidas!BM157,"AAAAAD7X/yw=")</f>
        <v>#VALUE!</v>
      </c>
      <c r="AT75" t="e">
        <f>AND(medidas!BN157,"AAAAAD7X/y0=")</f>
        <v>#VALUE!</v>
      </c>
      <c r="AU75" t="e">
        <f>AND(medidas!BO157,"AAAAAD7X/y4=")</f>
        <v>#VALUE!</v>
      </c>
      <c r="AV75" t="e">
        <f>AND(medidas!BP157,"AAAAAD7X/y8=")</f>
        <v>#VALUE!</v>
      </c>
      <c r="AW75" t="e">
        <f>AND(medidas!BQ157,"AAAAAD7X/zA=")</f>
        <v>#VALUE!</v>
      </c>
      <c r="AX75" t="e">
        <f>AND(medidas!BR157,"AAAAAD7X/zE=")</f>
        <v>#VALUE!</v>
      </c>
      <c r="AY75" t="e">
        <f>AND(medidas!BS157,"AAAAAD7X/zI=")</f>
        <v>#VALUE!</v>
      </c>
      <c r="AZ75" t="e">
        <f>AND(medidas!BT157,"AAAAAD7X/zM=")</f>
        <v>#VALUE!</v>
      </c>
      <c r="BA75" t="e">
        <f>AND(medidas!BU157,"AAAAAD7X/zQ=")</f>
        <v>#VALUE!</v>
      </c>
      <c r="BB75" t="e">
        <f>AND(medidas!BV157,"AAAAAD7X/zU=")</f>
        <v>#VALUE!</v>
      </c>
      <c r="BC75" t="e">
        <f>AND(medidas!BW157,"AAAAAD7X/zY=")</f>
        <v>#VALUE!</v>
      </c>
      <c r="BD75" t="e">
        <f>AND(medidas!BX157,"AAAAAD7X/zc=")</f>
        <v>#VALUE!</v>
      </c>
      <c r="BE75" t="e">
        <f>AND(medidas!BY157,"AAAAAD7X/zg=")</f>
        <v>#VALUE!</v>
      </c>
      <c r="BF75">
        <f>IF(medidas!158:158,"AAAAAD7X/zk=",0)</f>
        <v>0</v>
      </c>
      <c r="BG75" t="e">
        <f>AND(medidas!B158,"AAAAAD7X/zo=")</f>
        <v>#VALUE!</v>
      </c>
      <c r="BH75" t="e">
        <f>AND(medidas!C158,"AAAAAD7X/zs=")</f>
        <v>#VALUE!</v>
      </c>
      <c r="BI75" t="e">
        <f>AND(medidas!D158,"AAAAAD7X/zw=")</f>
        <v>#VALUE!</v>
      </c>
      <c r="BJ75" t="e">
        <f>AND(medidas!E158,"AAAAAD7X/z0=")</f>
        <v>#VALUE!</v>
      </c>
      <c r="BK75" t="e">
        <f>AND(medidas!F158,"AAAAAD7X/z4=")</f>
        <v>#VALUE!</v>
      </c>
      <c r="BL75" t="e">
        <f>AND(medidas!G158,"AAAAAD7X/z8=")</f>
        <v>#VALUE!</v>
      </c>
      <c r="BM75" t="e">
        <f>AND(medidas!H158,"AAAAAD7X/0A=")</f>
        <v>#VALUE!</v>
      </c>
      <c r="BN75" t="e">
        <f>AND(medidas!I158,"AAAAAD7X/0E=")</f>
        <v>#VALUE!</v>
      </c>
      <c r="BO75" t="e">
        <f>AND(medidas!J158,"AAAAAD7X/0I=")</f>
        <v>#VALUE!</v>
      </c>
      <c r="BP75" t="e">
        <f>AND(medidas!K158,"AAAAAD7X/0M=")</f>
        <v>#VALUE!</v>
      </c>
      <c r="BQ75" t="e">
        <f>AND(medidas!L158,"AAAAAD7X/0Q=")</f>
        <v>#VALUE!</v>
      </c>
      <c r="BR75" t="e">
        <f>AND(medidas!M158,"AAAAAD7X/0U=")</f>
        <v>#VALUE!</v>
      </c>
      <c r="BS75" t="e">
        <f>AND(medidas!N158,"AAAAAD7X/0Y=")</f>
        <v>#VALUE!</v>
      </c>
      <c r="BT75" t="e">
        <f>AND(medidas!O158,"AAAAAD7X/0c=")</f>
        <v>#VALUE!</v>
      </c>
      <c r="BU75" t="e">
        <f>AND(medidas!P158,"AAAAAD7X/0g=")</f>
        <v>#VALUE!</v>
      </c>
      <c r="BV75" t="e">
        <f>AND(medidas!Q158,"AAAAAD7X/0k=")</f>
        <v>#VALUE!</v>
      </c>
      <c r="BW75" t="e">
        <f>AND(medidas!R158,"AAAAAD7X/0o=")</f>
        <v>#VALUE!</v>
      </c>
      <c r="BX75" t="e">
        <f>AND(medidas!S158,"AAAAAD7X/0s=")</f>
        <v>#VALUE!</v>
      </c>
      <c r="BY75" t="e">
        <f>AND(medidas!T158,"AAAAAD7X/0w=")</f>
        <v>#VALUE!</v>
      </c>
      <c r="BZ75" t="e">
        <f>AND(medidas!U158,"AAAAAD7X/00=")</f>
        <v>#VALUE!</v>
      </c>
      <c r="CA75" t="e">
        <f>AND(medidas!V158,"AAAAAD7X/04=")</f>
        <v>#VALUE!</v>
      </c>
      <c r="CB75" t="e">
        <f>AND(medidas!W158,"AAAAAD7X/08=")</f>
        <v>#VALUE!</v>
      </c>
      <c r="CC75" t="e">
        <f>AND(medidas!X158,"AAAAAD7X/1A=")</f>
        <v>#VALUE!</v>
      </c>
      <c r="CD75" t="e">
        <f>AND(medidas!Y158,"AAAAAD7X/1E=")</f>
        <v>#VALUE!</v>
      </c>
      <c r="CE75" t="e">
        <f>AND(medidas!Z158,"AAAAAD7X/1I=")</f>
        <v>#VALUE!</v>
      </c>
      <c r="CF75" t="e">
        <f>AND(medidas!AA158,"AAAAAD7X/1M=")</f>
        <v>#VALUE!</v>
      </c>
      <c r="CG75" t="e">
        <f>AND(medidas!AB158,"AAAAAD7X/1Q=")</f>
        <v>#VALUE!</v>
      </c>
      <c r="CH75" t="e">
        <f>AND(medidas!AC158,"AAAAAD7X/1U=")</f>
        <v>#VALUE!</v>
      </c>
      <c r="CI75" t="e">
        <f>AND(medidas!AD158,"AAAAAD7X/1Y=")</f>
        <v>#VALUE!</v>
      </c>
      <c r="CJ75" t="e">
        <f>AND(medidas!AE158,"AAAAAD7X/1c=")</f>
        <v>#VALUE!</v>
      </c>
      <c r="CK75" t="e">
        <f>AND(medidas!AF158,"AAAAAD7X/1g=")</f>
        <v>#VALUE!</v>
      </c>
      <c r="CL75" t="e">
        <f>AND(medidas!AG158,"AAAAAD7X/1k=")</f>
        <v>#VALUE!</v>
      </c>
      <c r="CM75" t="e">
        <f>AND(medidas!AH158,"AAAAAD7X/1o=")</f>
        <v>#VALUE!</v>
      </c>
      <c r="CN75" t="e">
        <f>AND(medidas!AI158,"AAAAAD7X/1s=")</f>
        <v>#VALUE!</v>
      </c>
      <c r="CO75" t="e">
        <f>AND(medidas!AJ158,"AAAAAD7X/1w=")</f>
        <v>#VALUE!</v>
      </c>
      <c r="CP75" t="e">
        <f>AND(medidas!AK158,"AAAAAD7X/10=")</f>
        <v>#VALUE!</v>
      </c>
      <c r="CQ75" t="e">
        <f>AND(medidas!AL158,"AAAAAD7X/14=")</f>
        <v>#VALUE!</v>
      </c>
      <c r="CR75" t="e">
        <f>AND(medidas!AM158,"AAAAAD7X/18=")</f>
        <v>#VALUE!</v>
      </c>
      <c r="CS75" t="e">
        <f>AND(medidas!AN158,"AAAAAD7X/2A=")</f>
        <v>#VALUE!</v>
      </c>
      <c r="CT75" t="e">
        <f>AND(medidas!AO158,"AAAAAD7X/2E=")</f>
        <v>#VALUE!</v>
      </c>
      <c r="CU75" t="e">
        <f>AND(medidas!AP158,"AAAAAD7X/2I=")</f>
        <v>#VALUE!</v>
      </c>
      <c r="CV75" t="e">
        <f>AND(medidas!AQ158,"AAAAAD7X/2M=")</f>
        <v>#VALUE!</v>
      </c>
      <c r="CW75" t="e">
        <f>AND(medidas!AR158,"AAAAAD7X/2Q=")</f>
        <v>#VALUE!</v>
      </c>
      <c r="CX75" t="e">
        <f>AND(medidas!AS158,"AAAAAD7X/2U=")</f>
        <v>#VALUE!</v>
      </c>
      <c r="CY75" t="e">
        <f>AND(medidas!AT158,"AAAAAD7X/2Y=")</f>
        <v>#VALUE!</v>
      </c>
      <c r="CZ75" t="e">
        <f>AND(medidas!AU158,"AAAAAD7X/2c=")</f>
        <v>#VALUE!</v>
      </c>
      <c r="DA75" t="e">
        <f>AND(medidas!AV158,"AAAAAD7X/2g=")</f>
        <v>#VALUE!</v>
      </c>
      <c r="DB75" t="e">
        <f>AND(medidas!AW158,"AAAAAD7X/2k=")</f>
        <v>#VALUE!</v>
      </c>
      <c r="DC75" t="e">
        <f>AND(medidas!AX158,"AAAAAD7X/2o=")</f>
        <v>#VALUE!</v>
      </c>
      <c r="DD75" t="e">
        <f>AND(medidas!AY158,"AAAAAD7X/2s=")</f>
        <v>#VALUE!</v>
      </c>
      <c r="DE75" t="e">
        <f>AND(medidas!AZ158,"AAAAAD7X/2w=")</f>
        <v>#VALUE!</v>
      </c>
      <c r="DF75" t="e">
        <f>AND(medidas!BA158,"AAAAAD7X/20=")</f>
        <v>#VALUE!</v>
      </c>
      <c r="DG75" t="e">
        <f>AND(medidas!BB158,"AAAAAD7X/24=")</f>
        <v>#VALUE!</v>
      </c>
      <c r="DH75" t="e">
        <f>AND(medidas!BC158,"AAAAAD7X/28=")</f>
        <v>#VALUE!</v>
      </c>
      <c r="DI75" t="e">
        <f>AND(medidas!BD158,"AAAAAD7X/3A=")</f>
        <v>#VALUE!</v>
      </c>
      <c r="DJ75" t="e">
        <f>AND(medidas!BE158,"AAAAAD7X/3E=")</f>
        <v>#VALUE!</v>
      </c>
      <c r="DK75" t="e">
        <f>AND(medidas!BF158,"AAAAAD7X/3I=")</f>
        <v>#VALUE!</v>
      </c>
      <c r="DL75" t="e">
        <f>AND(medidas!BG158,"AAAAAD7X/3M=")</f>
        <v>#VALUE!</v>
      </c>
      <c r="DM75" t="e">
        <f>AND(medidas!BH158,"AAAAAD7X/3Q=")</f>
        <v>#VALUE!</v>
      </c>
      <c r="DN75" t="e">
        <f>AND(medidas!BI158,"AAAAAD7X/3U=")</f>
        <v>#VALUE!</v>
      </c>
      <c r="DO75" t="e">
        <f>AND(medidas!BJ158,"AAAAAD7X/3Y=")</f>
        <v>#VALUE!</v>
      </c>
      <c r="DP75" t="e">
        <f>AND(medidas!BK158,"AAAAAD7X/3c=")</f>
        <v>#VALUE!</v>
      </c>
      <c r="DQ75" t="e">
        <f>AND(medidas!BL158,"AAAAAD7X/3g=")</f>
        <v>#VALUE!</v>
      </c>
      <c r="DR75" t="e">
        <f>AND(medidas!BM158,"AAAAAD7X/3k=")</f>
        <v>#VALUE!</v>
      </c>
      <c r="DS75" t="e">
        <f>AND(medidas!BN158,"AAAAAD7X/3o=")</f>
        <v>#VALUE!</v>
      </c>
      <c r="DT75" t="e">
        <f>AND(medidas!BO158,"AAAAAD7X/3s=")</f>
        <v>#VALUE!</v>
      </c>
      <c r="DU75" t="e">
        <f>AND(medidas!BP158,"AAAAAD7X/3w=")</f>
        <v>#VALUE!</v>
      </c>
      <c r="DV75" t="e">
        <f>AND(medidas!BQ158,"AAAAAD7X/30=")</f>
        <v>#VALUE!</v>
      </c>
      <c r="DW75" t="e">
        <f>AND(medidas!BR158,"AAAAAD7X/34=")</f>
        <v>#VALUE!</v>
      </c>
      <c r="DX75" t="e">
        <f>AND(medidas!BS158,"AAAAAD7X/38=")</f>
        <v>#VALUE!</v>
      </c>
      <c r="DY75" t="e">
        <f>AND(medidas!BT158,"AAAAAD7X/4A=")</f>
        <v>#VALUE!</v>
      </c>
      <c r="DZ75" t="e">
        <f>AND(medidas!BU158,"AAAAAD7X/4E=")</f>
        <v>#VALUE!</v>
      </c>
      <c r="EA75" t="e">
        <f>AND(medidas!BV158,"AAAAAD7X/4I=")</f>
        <v>#VALUE!</v>
      </c>
      <c r="EB75" t="e">
        <f>AND(medidas!BW158,"AAAAAD7X/4M=")</f>
        <v>#VALUE!</v>
      </c>
      <c r="EC75" t="e">
        <f>AND(medidas!BX158,"AAAAAD7X/4Q=")</f>
        <v>#VALUE!</v>
      </c>
      <c r="ED75" t="e">
        <f>AND(medidas!BY158,"AAAAAD7X/4U=")</f>
        <v>#VALUE!</v>
      </c>
      <c r="EE75">
        <f>IF(medidas!159:159,"AAAAAD7X/4Y=",0)</f>
        <v>0</v>
      </c>
      <c r="EF75" t="e">
        <f>AND(medidas!B159,"AAAAAD7X/4c=")</f>
        <v>#VALUE!</v>
      </c>
      <c r="EG75" t="e">
        <f>AND(medidas!C159,"AAAAAD7X/4g=")</f>
        <v>#VALUE!</v>
      </c>
      <c r="EH75" t="e">
        <f>AND(medidas!D159,"AAAAAD7X/4k=")</f>
        <v>#VALUE!</v>
      </c>
      <c r="EI75" t="e">
        <f>AND(medidas!E159,"AAAAAD7X/4o=")</f>
        <v>#VALUE!</v>
      </c>
      <c r="EJ75" t="e">
        <f>AND(medidas!F159,"AAAAAD7X/4s=")</f>
        <v>#VALUE!</v>
      </c>
      <c r="EK75" t="e">
        <f>AND(medidas!G159,"AAAAAD7X/4w=")</f>
        <v>#VALUE!</v>
      </c>
      <c r="EL75" t="e">
        <f>AND(medidas!H159,"AAAAAD7X/40=")</f>
        <v>#VALUE!</v>
      </c>
      <c r="EM75" t="e">
        <f>AND(medidas!I159,"AAAAAD7X/44=")</f>
        <v>#VALUE!</v>
      </c>
      <c r="EN75" t="e">
        <f>AND(medidas!J159,"AAAAAD7X/48=")</f>
        <v>#VALUE!</v>
      </c>
      <c r="EO75" t="e">
        <f>AND(medidas!K159,"AAAAAD7X/5A=")</f>
        <v>#VALUE!</v>
      </c>
      <c r="EP75" t="e">
        <f>AND(medidas!L159,"AAAAAD7X/5E=")</f>
        <v>#VALUE!</v>
      </c>
      <c r="EQ75" t="e">
        <f>AND(medidas!M159,"AAAAAD7X/5I=")</f>
        <v>#VALUE!</v>
      </c>
      <c r="ER75" t="e">
        <f>AND(medidas!N159,"AAAAAD7X/5M=")</f>
        <v>#VALUE!</v>
      </c>
      <c r="ES75" t="e">
        <f>AND(medidas!O159,"AAAAAD7X/5Q=")</f>
        <v>#VALUE!</v>
      </c>
      <c r="ET75" t="e">
        <f>AND(medidas!P159,"AAAAAD7X/5U=")</f>
        <v>#VALUE!</v>
      </c>
      <c r="EU75" t="e">
        <f>AND(medidas!Q159,"AAAAAD7X/5Y=")</f>
        <v>#VALUE!</v>
      </c>
      <c r="EV75" t="e">
        <f>AND(medidas!R159,"AAAAAD7X/5c=")</f>
        <v>#VALUE!</v>
      </c>
      <c r="EW75" t="e">
        <f>AND(medidas!S159,"AAAAAD7X/5g=")</f>
        <v>#VALUE!</v>
      </c>
      <c r="EX75" t="e">
        <f>AND(medidas!T159,"AAAAAD7X/5k=")</f>
        <v>#VALUE!</v>
      </c>
      <c r="EY75" t="e">
        <f>AND(medidas!U159,"AAAAAD7X/5o=")</f>
        <v>#VALUE!</v>
      </c>
      <c r="EZ75" t="e">
        <f>AND(medidas!V159,"AAAAAD7X/5s=")</f>
        <v>#VALUE!</v>
      </c>
      <c r="FA75" t="e">
        <f>AND(medidas!W159,"AAAAAD7X/5w=")</f>
        <v>#VALUE!</v>
      </c>
      <c r="FB75" t="e">
        <f>AND(medidas!X159,"AAAAAD7X/50=")</f>
        <v>#VALUE!</v>
      </c>
      <c r="FC75" t="e">
        <f>AND(medidas!Y159,"AAAAAD7X/54=")</f>
        <v>#VALUE!</v>
      </c>
      <c r="FD75" t="e">
        <f>AND(medidas!Z159,"AAAAAD7X/58=")</f>
        <v>#VALUE!</v>
      </c>
      <c r="FE75" t="e">
        <f>AND(medidas!AA159,"AAAAAD7X/6A=")</f>
        <v>#VALUE!</v>
      </c>
      <c r="FF75" t="e">
        <f>AND(medidas!AB159,"AAAAAD7X/6E=")</f>
        <v>#VALUE!</v>
      </c>
      <c r="FG75" t="e">
        <f>AND(medidas!AC159,"AAAAAD7X/6I=")</f>
        <v>#VALUE!</v>
      </c>
      <c r="FH75" t="e">
        <f>AND(medidas!AD159,"AAAAAD7X/6M=")</f>
        <v>#VALUE!</v>
      </c>
      <c r="FI75" t="e">
        <f>AND(medidas!AE159,"AAAAAD7X/6Q=")</f>
        <v>#VALUE!</v>
      </c>
      <c r="FJ75" t="e">
        <f>AND(medidas!AF159,"AAAAAD7X/6U=")</f>
        <v>#VALUE!</v>
      </c>
      <c r="FK75" t="e">
        <f>AND(medidas!AG159,"AAAAAD7X/6Y=")</f>
        <v>#VALUE!</v>
      </c>
      <c r="FL75" t="e">
        <f>AND(medidas!AH159,"AAAAAD7X/6c=")</f>
        <v>#VALUE!</v>
      </c>
      <c r="FM75" t="e">
        <f>AND(medidas!AI159,"AAAAAD7X/6g=")</f>
        <v>#VALUE!</v>
      </c>
      <c r="FN75" t="e">
        <f>AND(medidas!AJ159,"AAAAAD7X/6k=")</f>
        <v>#VALUE!</v>
      </c>
      <c r="FO75" t="e">
        <f>AND(medidas!AK159,"AAAAAD7X/6o=")</f>
        <v>#VALUE!</v>
      </c>
      <c r="FP75" t="e">
        <f>AND(medidas!AL159,"AAAAAD7X/6s=")</f>
        <v>#VALUE!</v>
      </c>
      <c r="FQ75" t="e">
        <f>AND(medidas!AM159,"AAAAAD7X/6w=")</f>
        <v>#VALUE!</v>
      </c>
      <c r="FR75" t="e">
        <f>AND(medidas!AN159,"AAAAAD7X/60=")</f>
        <v>#VALUE!</v>
      </c>
      <c r="FS75" t="e">
        <f>AND(medidas!AO159,"AAAAAD7X/64=")</f>
        <v>#VALUE!</v>
      </c>
      <c r="FT75" t="e">
        <f>AND(medidas!AP159,"AAAAAD7X/68=")</f>
        <v>#VALUE!</v>
      </c>
      <c r="FU75" t="e">
        <f>AND(medidas!AQ159,"AAAAAD7X/7A=")</f>
        <v>#VALUE!</v>
      </c>
      <c r="FV75" t="e">
        <f>AND(medidas!AR159,"AAAAAD7X/7E=")</f>
        <v>#VALUE!</v>
      </c>
      <c r="FW75" t="e">
        <f>AND(medidas!AS159,"AAAAAD7X/7I=")</f>
        <v>#VALUE!</v>
      </c>
      <c r="FX75" t="e">
        <f>AND(medidas!AT159,"AAAAAD7X/7M=")</f>
        <v>#VALUE!</v>
      </c>
      <c r="FY75" t="e">
        <f>AND(medidas!AU159,"AAAAAD7X/7Q=")</f>
        <v>#VALUE!</v>
      </c>
      <c r="FZ75" t="e">
        <f>AND(medidas!AV159,"AAAAAD7X/7U=")</f>
        <v>#VALUE!</v>
      </c>
      <c r="GA75" t="e">
        <f>AND(medidas!AW159,"AAAAAD7X/7Y=")</f>
        <v>#VALUE!</v>
      </c>
      <c r="GB75" t="e">
        <f>AND(medidas!AX159,"AAAAAD7X/7c=")</f>
        <v>#VALUE!</v>
      </c>
      <c r="GC75" t="e">
        <f>AND(medidas!AY159,"AAAAAD7X/7g=")</f>
        <v>#VALUE!</v>
      </c>
      <c r="GD75" t="e">
        <f>AND(medidas!AZ159,"AAAAAD7X/7k=")</f>
        <v>#VALUE!</v>
      </c>
      <c r="GE75" t="e">
        <f>AND(medidas!BA159,"AAAAAD7X/7o=")</f>
        <v>#VALUE!</v>
      </c>
      <c r="GF75" t="e">
        <f>AND(medidas!BB159,"AAAAAD7X/7s=")</f>
        <v>#VALUE!</v>
      </c>
      <c r="GG75" t="e">
        <f>AND(medidas!BC159,"AAAAAD7X/7w=")</f>
        <v>#VALUE!</v>
      </c>
      <c r="GH75" t="e">
        <f>AND(medidas!BD159,"AAAAAD7X/70=")</f>
        <v>#VALUE!</v>
      </c>
      <c r="GI75" t="e">
        <f>AND(medidas!BE159,"AAAAAD7X/74=")</f>
        <v>#VALUE!</v>
      </c>
      <c r="GJ75" t="e">
        <f>AND(medidas!BF159,"AAAAAD7X/78=")</f>
        <v>#VALUE!</v>
      </c>
      <c r="GK75" t="e">
        <f>AND(medidas!BG159,"AAAAAD7X/8A=")</f>
        <v>#VALUE!</v>
      </c>
      <c r="GL75" t="e">
        <f>AND(medidas!BH159,"AAAAAD7X/8E=")</f>
        <v>#VALUE!</v>
      </c>
      <c r="GM75" t="e">
        <f>AND(medidas!BI159,"AAAAAD7X/8I=")</f>
        <v>#VALUE!</v>
      </c>
      <c r="GN75" t="e">
        <f>AND(medidas!BJ159,"AAAAAD7X/8M=")</f>
        <v>#VALUE!</v>
      </c>
      <c r="GO75" t="e">
        <f>AND(medidas!BK159,"AAAAAD7X/8Q=")</f>
        <v>#VALUE!</v>
      </c>
      <c r="GP75" t="e">
        <f>AND(medidas!BL159,"AAAAAD7X/8U=")</f>
        <v>#VALUE!</v>
      </c>
      <c r="GQ75" t="e">
        <f>AND(medidas!BM159,"AAAAAD7X/8Y=")</f>
        <v>#VALUE!</v>
      </c>
      <c r="GR75" t="e">
        <f>AND(medidas!BN159,"AAAAAD7X/8c=")</f>
        <v>#VALUE!</v>
      </c>
      <c r="GS75" t="e">
        <f>AND(medidas!BO159,"AAAAAD7X/8g=")</f>
        <v>#VALUE!</v>
      </c>
      <c r="GT75" t="e">
        <f>AND(medidas!BP159,"AAAAAD7X/8k=")</f>
        <v>#VALUE!</v>
      </c>
      <c r="GU75" t="e">
        <f>AND(medidas!BQ159,"AAAAAD7X/8o=")</f>
        <v>#VALUE!</v>
      </c>
      <c r="GV75" t="e">
        <f>AND(medidas!BR159,"AAAAAD7X/8s=")</f>
        <v>#VALUE!</v>
      </c>
      <c r="GW75" t="e">
        <f>AND(medidas!BS159,"AAAAAD7X/8w=")</f>
        <v>#VALUE!</v>
      </c>
      <c r="GX75" t="e">
        <f>AND(medidas!BT159,"AAAAAD7X/80=")</f>
        <v>#VALUE!</v>
      </c>
      <c r="GY75" t="e">
        <f>AND(medidas!BU159,"AAAAAD7X/84=")</f>
        <v>#VALUE!</v>
      </c>
      <c r="GZ75" t="e">
        <f>AND(medidas!BV159,"AAAAAD7X/88=")</f>
        <v>#VALUE!</v>
      </c>
      <c r="HA75" t="e">
        <f>AND(medidas!BW159,"AAAAAD7X/9A=")</f>
        <v>#VALUE!</v>
      </c>
      <c r="HB75" t="e">
        <f>AND(medidas!BX159,"AAAAAD7X/9E=")</f>
        <v>#VALUE!</v>
      </c>
      <c r="HC75" t="e">
        <f>AND(medidas!BY159,"AAAAAD7X/9I=")</f>
        <v>#VALUE!</v>
      </c>
      <c r="HD75">
        <f>IF(medidas!160:160,"AAAAAD7X/9M=",0)</f>
        <v>0</v>
      </c>
      <c r="HE75" t="e">
        <f>AND(medidas!B160,"AAAAAD7X/9Q=")</f>
        <v>#VALUE!</v>
      </c>
      <c r="HF75" t="e">
        <f>AND(medidas!C160,"AAAAAD7X/9U=")</f>
        <v>#VALUE!</v>
      </c>
      <c r="HG75" t="e">
        <f>AND(medidas!D160,"AAAAAD7X/9Y=")</f>
        <v>#VALUE!</v>
      </c>
      <c r="HH75" t="e">
        <f>AND(medidas!E160,"AAAAAD7X/9c=")</f>
        <v>#VALUE!</v>
      </c>
      <c r="HI75" t="e">
        <f>AND(medidas!F160,"AAAAAD7X/9g=")</f>
        <v>#VALUE!</v>
      </c>
      <c r="HJ75" t="e">
        <f>AND(medidas!G160,"AAAAAD7X/9k=")</f>
        <v>#VALUE!</v>
      </c>
      <c r="HK75" t="e">
        <f>AND(medidas!H160,"AAAAAD7X/9o=")</f>
        <v>#VALUE!</v>
      </c>
      <c r="HL75" t="e">
        <f>AND(medidas!I160,"AAAAAD7X/9s=")</f>
        <v>#VALUE!</v>
      </c>
      <c r="HM75" t="e">
        <f>AND(medidas!J160,"AAAAAD7X/9w=")</f>
        <v>#VALUE!</v>
      </c>
      <c r="HN75" t="e">
        <f>AND(medidas!K160,"AAAAAD7X/90=")</f>
        <v>#VALUE!</v>
      </c>
      <c r="HO75" t="e">
        <f>AND(medidas!L160,"AAAAAD7X/94=")</f>
        <v>#VALUE!</v>
      </c>
      <c r="HP75" t="e">
        <f>AND(medidas!M160,"AAAAAD7X/98=")</f>
        <v>#VALUE!</v>
      </c>
      <c r="HQ75" t="e">
        <f>AND(medidas!N160,"AAAAAD7X/+A=")</f>
        <v>#VALUE!</v>
      </c>
      <c r="HR75" t="e">
        <f>AND(medidas!O160,"AAAAAD7X/+E=")</f>
        <v>#VALUE!</v>
      </c>
      <c r="HS75" t="e">
        <f>AND(medidas!P160,"AAAAAD7X/+I=")</f>
        <v>#VALUE!</v>
      </c>
      <c r="HT75" t="e">
        <f>AND(medidas!Q160,"AAAAAD7X/+M=")</f>
        <v>#VALUE!</v>
      </c>
      <c r="HU75" t="e">
        <f>AND(medidas!R160,"AAAAAD7X/+Q=")</f>
        <v>#VALUE!</v>
      </c>
      <c r="HV75" t="e">
        <f>AND(medidas!S160,"AAAAAD7X/+U=")</f>
        <v>#VALUE!</v>
      </c>
      <c r="HW75" t="e">
        <f>AND(medidas!T160,"AAAAAD7X/+Y=")</f>
        <v>#VALUE!</v>
      </c>
      <c r="HX75" t="e">
        <f>AND(medidas!U160,"AAAAAD7X/+c=")</f>
        <v>#VALUE!</v>
      </c>
      <c r="HY75" t="e">
        <f>AND(medidas!V160,"AAAAAD7X/+g=")</f>
        <v>#VALUE!</v>
      </c>
      <c r="HZ75" t="e">
        <f>AND(medidas!W160,"AAAAAD7X/+k=")</f>
        <v>#VALUE!</v>
      </c>
      <c r="IA75" t="e">
        <f>AND(medidas!X160,"AAAAAD7X/+o=")</f>
        <v>#VALUE!</v>
      </c>
      <c r="IB75" t="e">
        <f>AND(medidas!Y160,"AAAAAD7X/+s=")</f>
        <v>#VALUE!</v>
      </c>
      <c r="IC75" t="e">
        <f>AND(medidas!Z160,"AAAAAD7X/+w=")</f>
        <v>#VALUE!</v>
      </c>
      <c r="ID75" t="e">
        <f>AND(medidas!AA160,"AAAAAD7X/+0=")</f>
        <v>#VALUE!</v>
      </c>
      <c r="IE75" t="e">
        <f>AND(medidas!AB160,"AAAAAD7X/+4=")</f>
        <v>#VALUE!</v>
      </c>
      <c r="IF75" t="e">
        <f>AND(medidas!AC160,"AAAAAD7X/+8=")</f>
        <v>#VALUE!</v>
      </c>
      <c r="IG75" t="e">
        <f>AND(medidas!AD160,"AAAAAD7X//A=")</f>
        <v>#VALUE!</v>
      </c>
      <c r="IH75" t="e">
        <f>AND(medidas!AE160,"AAAAAD7X//E=")</f>
        <v>#VALUE!</v>
      </c>
      <c r="II75" t="e">
        <f>AND(medidas!AF160,"AAAAAD7X//I=")</f>
        <v>#VALUE!</v>
      </c>
      <c r="IJ75" t="e">
        <f>AND(medidas!AG160,"AAAAAD7X//M=")</f>
        <v>#VALUE!</v>
      </c>
      <c r="IK75" t="e">
        <f>AND(medidas!AH160,"AAAAAD7X//Q=")</f>
        <v>#VALUE!</v>
      </c>
      <c r="IL75" t="e">
        <f>AND(medidas!AI160,"AAAAAD7X//U=")</f>
        <v>#VALUE!</v>
      </c>
      <c r="IM75" t="e">
        <f>AND(medidas!AJ160,"AAAAAD7X//Y=")</f>
        <v>#VALUE!</v>
      </c>
      <c r="IN75" t="e">
        <f>AND(medidas!AK160,"AAAAAD7X//c=")</f>
        <v>#VALUE!</v>
      </c>
      <c r="IO75" t="e">
        <f>AND(medidas!AL160,"AAAAAD7X//g=")</f>
        <v>#VALUE!</v>
      </c>
      <c r="IP75" t="e">
        <f>AND(medidas!AM160,"AAAAAD7X//k=")</f>
        <v>#VALUE!</v>
      </c>
      <c r="IQ75" t="e">
        <f>AND(medidas!AN160,"AAAAAD7X//o=")</f>
        <v>#VALUE!</v>
      </c>
      <c r="IR75" t="e">
        <f>AND(medidas!AO160,"AAAAAD7X//s=")</f>
        <v>#VALUE!</v>
      </c>
      <c r="IS75" t="e">
        <f>AND(medidas!AP160,"AAAAAD7X//w=")</f>
        <v>#VALUE!</v>
      </c>
      <c r="IT75" t="e">
        <f>AND(medidas!AQ160,"AAAAAD7X//0=")</f>
        <v>#VALUE!</v>
      </c>
      <c r="IU75" t="e">
        <f>AND(medidas!AR160,"AAAAAD7X//4=")</f>
        <v>#VALUE!</v>
      </c>
      <c r="IV75" t="e">
        <f>AND(medidas!AS160,"AAAAAD7X//8=")</f>
        <v>#VALUE!</v>
      </c>
    </row>
    <row r="76" spans="1:256" x14ac:dyDescent="0.2">
      <c r="A76" t="e">
        <f>AND(medidas!AT160,"AAAAAH7PtwA=")</f>
        <v>#VALUE!</v>
      </c>
      <c r="B76" t="e">
        <f>AND(medidas!AU160,"AAAAAH7PtwE=")</f>
        <v>#VALUE!</v>
      </c>
      <c r="C76" t="e">
        <f>AND(medidas!AV160,"AAAAAH7PtwI=")</f>
        <v>#VALUE!</v>
      </c>
      <c r="D76" t="e">
        <f>AND(medidas!AW160,"AAAAAH7PtwM=")</f>
        <v>#VALUE!</v>
      </c>
      <c r="E76" t="e">
        <f>AND(medidas!AX160,"AAAAAH7PtwQ=")</f>
        <v>#VALUE!</v>
      </c>
      <c r="F76" t="e">
        <f>AND(medidas!AY160,"AAAAAH7PtwU=")</f>
        <v>#VALUE!</v>
      </c>
      <c r="G76" t="e">
        <f>AND(medidas!AZ160,"AAAAAH7PtwY=")</f>
        <v>#VALUE!</v>
      </c>
      <c r="H76" t="e">
        <f>AND(medidas!BA160,"AAAAAH7Ptwc=")</f>
        <v>#VALUE!</v>
      </c>
      <c r="I76" t="e">
        <f>AND(medidas!BB160,"AAAAAH7Ptwg=")</f>
        <v>#VALUE!</v>
      </c>
      <c r="J76" t="e">
        <f>AND(medidas!BC160,"AAAAAH7Ptwk=")</f>
        <v>#VALUE!</v>
      </c>
      <c r="K76" t="e">
        <f>AND(medidas!BD160,"AAAAAH7Ptwo=")</f>
        <v>#VALUE!</v>
      </c>
      <c r="L76" t="e">
        <f>AND(medidas!BE160,"AAAAAH7Ptws=")</f>
        <v>#VALUE!</v>
      </c>
      <c r="M76" t="e">
        <f>AND(medidas!BF160,"AAAAAH7Ptww=")</f>
        <v>#VALUE!</v>
      </c>
      <c r="N76" t="e">
        <f>AND(medidas!BG160,"AAAAAH7Ptw0=")</f>
        <v>#VALUE!</v>
      </c>
      <c r="O76" t="e">
        <f>AND(medidas!BH160,"AAAAAH7Ptw4=")</f>
        <v>#VALUE!</v>
      </c>
      <c r="P76" t="e">
        <f>AND(medidas!BI160,"AAAAAH7Ptw8=")</f>
        <v>#VALUE!</v>
      </c>
      <c r="Q76" t="e">
        <f>AND(medidas!BJ160,"AAAAAH7PtxA=")</f>
        <v>#VALUE!</v>
      </c>
      <c r="R76" t="e">
        <f>AND(medidas!BK160,"AAAAAH7PtxE=")</f>
        <v>#VALUE!</v>
      </c>
      <c r="S76" t="e">
        <f>AND(medidas!BL160,"AAAAAH7PtxI=")</f>
        <v>#VALUE!</v>
      </c>
      <c r="T76" t="e">
        <f>AND(medidas!BM160,"AAAAAH7PtxM=")</f>
        <v>#VALUE!</v>
      </c>
      <c r="U76" t="e">
        <f>AND(medidas!BN160,"AAAAAH7PtxQ=")</f>
        <v>#VALUE!</v>
      </c>
      <c r="V76" t="e">
        <f>AND(medidas!BO160,"AAAAAH7PtxU=")</f>
        <v>#VALUE!</v>
      </c>
      <c r="W76" t="e">
        <f>AND(medidas!BP160,"AAAAAH7PtxY=")</f>
        <v>#VALUE!</v>
      </c>
      <c r="X76" t="e">
        <f>AND(medidas!BQ160,"AAAAAH7Ptxc=")</f>
        <v>#VALUE!</v>
      </c>
      <c r="Y76" t="e">
        <f>AND(medidas!BR160,"AAAAAH7Ptxg=")</f>
        <v>#VALUE!</v>
      </c>
      <c r="Z76" t="e">
        <f>AND(medidas!BS160,"AAAAAH7Ptxk=")</f>
        <v>#VALUE!</v>
      </c>
      <c r="AA76" t="e">
        <f>AND(medidas!BT160,"AAAAAH7Ptxo=")</f>
        <v>#VALUE!</v>
      </c>
      <c r="AB76" t="e">
        <f>AND(medidas!BU160,"AAAAAH7Ptxs=")</f>
        <v>#VALUE!</v>
      </c>
      <c r="AC76" t="e">
        <f>AND(medidas!BV160,"AAAAAH7Ptxw=")</f>
        <v>#VALUE!</v>
      </c>
      <c r="AD76" t="e">
        <f>AND(medidas!BW160,"AAAAAH7Ptx0=")</f>
        <v>#VALUE!</v>
      </c>
      <c r="AE76" t="e">
        <f>AND(medidas!BX160,"AAAAAH7Ptx4=")</f>
        <v>#VALUE!</v>
      </c>
      <c r="AF76" t="e">
        <f>AND(medidas!BY160,"AAAAAH7Ptx8=")</f>
        <v>#VALUE!</v>
      </c>
      <c r="AG76">
        <f>IF(medidas!161:161,"AAAAAH7PtyA=",0)</f>
        <v>0</v>
      </c>
      <c r="AH76" t="e">
        <f>AND(medidas!B161,"AAAAAH7PtyE=")</f>
        <v>#VALUE!</v>
      </c>
      <c r="AI76" t="e">
        <f>AND(medidas!C161,"AAAAAH7PtyI=")</f>
        <v>#VALUE!</v>
      </c>
      <c r="AJ76" t="e">
        <f>AND(medidas!D161,"AAAAAH7PtyM=")</f>
        <v>#VALUE!</v>
      </c>
      <c r="AK76" t="e">
        <f>AND(medidas!E161,"AAAAAH7PtyQ=")</f>
        <v>#VALUE!</v>
      </c>
      <c r="AL76" t="e">
        <f>AND(medidas!F161,"AAAAAH7PtyU=")</f>
        <v>#VALUE!</v>
      </c>
      <c r="AM76" t="e">
        <f>AND(medidas!G161,"AAAAAH7PtyY=")</f>
        <v>#VALUE!</v>
      </c>
      <c r="AN76" t="e">
        <f>AND(medidas!H161,"AAAAAH7Ptyc=")</f>
        <v>#VALUE!</v>
      </c>
      <c r="AO76" t="e">
        <f>AND(medidas!I161,"AAAAAH7Ptyg=")</f>
        <v>#VALUE!</v>
      </c>
      <c r="AP76" t="e">
        <f>AND(medidas!J161,"AAAAAH7Ptyk=")</f>
        <v>#VALUE!</v>
      </c>
      <c r="AQ76" t="e">
        <f>AND(medidas!K161,"AAAAAH7Ptyo=")</f>
        <v>#VALUE!</v>
      </c>
      <c r="AR76" t="e">
        <f>AND(medidas!L161,"AAAAAH7Ptys=")</f>
        <v>#VALUE!</v>
      </c>
      <c r="AS76" t="e">
        <f>AND(medidas!M161,"AAAAAH7Ptyw=")</f>
        <v>#VALUE!</v>
      </c>
      <c r="AT76" t="e">
        <f>AND(medidas!N161,"AAAAAH7Pty0=")</f>
        <v>#VALUE!</v>
      </c>
      <c r="AU76" t="e">
        <f>AND(medidas!O161,"AAAAAH7Pty4=")</f>
        <v>#VALUE!</v>
      </c>
      <c r="AV76" t="e">
        <f>AND(medidas!P161,"AAAAAH7Pty8=")</f>
        <v>#VALUE!</v>
      </c>
      <c r="AW76" t="e">
        <f>AND(medidas!Q161,"AAAAAH7PtzA=")</f>
        <v>#VALUE!</v>
      </c>
      <c r="AX76" t="e">
        <f>AND(medidas!R161,"AAAAAH7PtzE=")</f>
        <v>#VALUE!</v>
      </c>
      <c r="AY76" t="e">
        <f>AND(medidas!S161,"AAAAAH7PtzI=")</f>
        <v>#VALUE!</v>
      </c>
      <c r="AZ76" t="e">
        <f>AND(medidas!T161,"AAAAAH7PtzM=")</f>
        <v>#VALUE!</v>
      </c>
      <c r="BA76" t="e">
        <f>AND(medidas!U161,"AAAAAH7PtzQ=")</f>
        <v>#VALUE!</v>
      </c>
      <c r="BB76" t="e">
        <f>AND(medidas!V161,"AAAAAH7PtzU=")</f>
        <v>#VALUE!</v>
      </c>
      <c r="BC76" t="e">
        <f>AND(medidas!W161,"AAAAAH7PtzY=")</f>
        <v>#VALUE!</v>
      </c>
      <c r="BD76" t="e">
        <f>AND(medidas!X161,"AAAAAH7Ptzc=")</f>
        <v>#VALUE!</v>
      </c>
      <c r="BE76" t="e">
        <f>AND(medidas!Y161,"AAAAAH7Ptzg=")</f>
        <v>#VALUE!</v>
      </c>
      <c r="BF76" t="e">
        <f>AND(medidas!Z161,"AAAAAH7Ptzk=")</f>
        <v>#VALUE!</v>
      </c>
      <c r="BG76" t="e">
        <f>AND(medidas!AA161,"AAAAAH7Ptzo=")</f>
        <v>#VALUE!</v>
      </c>
      <c r="BH76" t="e">
        <f>AND(medidas!AB161,"AAAAAH7Ptzs=")</f>
        <v>#VALUE!</v>
      </c>
      <c r="BI76" t="e">
        <f>AND(medidas!AC161,"AAAAAH7Ptzw=")</f>
        <v>#VALUE!</v>
      </c>
      <c r="BJ76" t="e">
        <f>AND(medidas!AD161,"AAAAAH7Ptz0=")</f>
        <v>#VALUE!</v>
      </c>
      <c r="BK76" t="e">
        <f>AND(medidas!AE161,"AAAAAH7Ptz4=")</f>
        <v>#VALUE!</v>
      </c>
      <c r="BL76" t="e">
        <f>AND(medidas!AF161,"AAAAAH7Ptz8=")</f>
        <v>#VALUE!</v>
      </c>
      <c r="BM76" t="e">
        <f>AND(medidas!AG161,"AAAAAH7Pt0A=")</f>
        <v>#VALUE!</v>
      </c>
      <c r="BN76" t="e">
        <f>AND(medidas!AH161,"AAAAAH7Pt0E=")</f>
        <v>#VALUE!</v>
      </c>
      <c r="BO76" t="e">
        <f>AND(medidas!AI161,"AAAAAH7Pt0I=")</f>
        <v>#VALUE!</v>
      </c>
      <c r="BP76" t="e">
        <f>AND(medidas!AJ161,"AAAAAH7Pt0M=")</f>
        <v>#VALUE!</v>
      </c>
      <c r="BQ76" t="e">
        <f>AND(medidas!AK161,"AAAAAH7Pt0Q=")</f>
        <v>#VALUE!</v>
      </c>
      <c r="BR76" t="e">
        <f>AND(medidas!AL161,"AAAAAH7Pt0U=")</f>
        <v>#VALUE!</v>
      </c>
      <c r="BS76" t="e">
        <f>AND(medidas!AM161,"AAAAAH7Pt0Y=")</f>
        <v>#VALUE!</v>
      </c>
      <c r="BT76" t="e">
        <f>AND(medidas!AN161,"AAAAAH7Pt0c=")</f>
        <v>#VALUE!</v>
      </c>
      <c r="BU76" t="e">
        <f>AND(medidas!AO161,"AAAAAH7Pt0g=")</f>
        <v>#VALUE!</v>
      </c>
      <c r="BV76" t="e">
        <f>AND(medidas!AP161,"AAAAAH7Pt0k=")</f>
        <v>#VALUE!</v>
      </c>
      <c r="BW76" t="e">
        <f>AND(medidas!AQ161,"AAAAAH7Pt0o=")</f>
        <v>#VALUE!</v>
      </c>
      <c r="BX76" t="e">
        <f>AND(medidas!AR161,"AAAAAH7Pt0s=")</f>
        <v>#VALUE!</v>
      </c>
      <c r="BY76" t="e">
        <f>AND(medidas!AS161,"AAAAAH7Pt0w=")</f>
        <v>#VALUE!</v>
      </c>
      <c r="BZ76" t="e">
        <f>AND(medidas!AT161,"AAAAAH7Pt00=")</f>
        <v>#VALUE!</v>
      </c>
      <c r="CA76" t="e">
        <f>AND(medidas!AU161,"AAAAAH7Pt04=")</f>
        <v>#VALUE!</v>
      </c>
      <c r="CB76" t="e">
        <f>AND(medidas!AV161,"AAAAAH7Pt08=")</f>
        <v>#VALUE!</v>
      </c>
      <c r="CC76" t="e">
        <f>AND(medidas!AW161,"AAAAAH7Pt1A=")</f>
        <v>#VALUE!</v>
      </c>
      <c r="CD76" t="e">
        <f>AND(medidas!AX161,"AAAAAH7Pt1E=")</f>
        <v>#VALUE!</v>
      </c>
      <c r="CE76" t="e">
        <f>AND(medidas!AY161,"AAAAAH7Pt1I=")</f>
        <v>#VALUE!</v>
      </c>
      <c r="CF76" t="e">
        <f>AND(medidas!AZ161,"AAAAAH7Pt1M=")</f>
        <v>#VALUE!</v>
      </c>
      <c r="CG76" t="e">
        <f>AND(medidas!BA161,"AAAAAH7Pt1Q=")</f>
        <v>#VALUE!</v>
      </c>
      <c r="CH76" t="e">
        <f>AND(medidas!BB161,"AAAAAH7Pt1U=")</f>
        <v>#VALUE!</v>
      </c>
      <c r="CI76" t="e">
        <f>AND(medidas!BC161,"AAAAAH7Pt1Y=")</f>
        <v>#VALUE!</v>
      </c>
      <c r="CJ76" t="e">
        <f>AND(medidas!BD161,"AAAAAH7Pt1c=")</f>
        <v>#VALUE!</v>
      </c>
      <c r="CK76" t="e">
        <f>AND(medidas!BE161,"AAAAAH7Pt1g=")</f>
        <v>#VALUE!</v>
      </c>
      <c r="CL76" t="e">
        <f>AND(medidas!BF161,"AAAAAH7Pt1k=")</f>
        <v>#VALUE!</v>
      </c>
      <c r="CM76" t="e">
        <f>AND(medidas!BG161,"AAAAAH7Pt1o=")</f>
        <v>#VALUE!</v>
      </c>
      <c r="CN76" t="e">
        <f>AND(medidas!BH161,"AAAAAH7Pt1s=")</f>
        <v>#VALUE!</v>
      </c>
      <c r="CO76" t="e">
        <f>AND(medidas!BI161,"AAAAAH7Pt1w=")</f>
        <v>#VALUE!</v>
      </c>
      <c r="CP76" t="e">
        <f>AND(medidas!BJ161,"AAAAAH7Pt10=")</f>
        <v>#VALUE!</v>
      </c>
      <c r="CQ76" t="e">
        <f>AND(medidas!BK161,"AAAAAH7Pt14=")</f>
        <v>#VALUE!</v>
      </c>
      <c r="CR76" t="e">
        <f>AND(medidas!BL161,"AAAAAH7Pt18=")</f>
        <v>#VALUE!</v>
      </c>
      <c r="CS76" t="e">
        <f>AND(medidas!BM161,"AAAAAH7Pt2A=")</f>
        <v>#VALUE!</v>
      </c>
      <c r="CT76" t="e">
        <f>AND(medidas!BN161,"AAAAAH7Pt2E=")</f>
        <v>#VALUE!</v>
      </c>
      <c r="CU76" t="e">
        <f>AND(medidas!BO161,"AAAAAH7Pt2I=")</f>
        <v>#VALUE!</v>
      </c>
      <c r="CV76" t="e">
        <f>AND(medidas!BP161,"AAAAAH7Pt2M=")</f>
        <v>#VALUE!</v>
      </c>
      <c r="CW76" t="e">
        <f>AND(medidas!BQ161,"AAAAAH7Pt2Q=")</f>
        <v>#VALUE!</v>
      </c>
      <c r="CX76" t="e">
        <f>AND(medidas!BR161,"AAAAAH7Pt2U=")</f>
        <v>#VALUE!</v>
      </c>
      <c r="CY76" t="e">
        <f>AND(medidas!BS161,"AAAAAH7Pt2Y=")</f>
        <v>#VALUE!</v>
      </c>
      <c r="CZ76" t="e">
        <f>AND(medidas!BT161,"AAAAAH7Pt2c=")</f>
        <v>#VALUE!</v>
      </c>
      <c r="DA76" t="e">
        <f>AND(medidas!BU161,"AAAAAH7Pt2g=")</f>
        <v>#VALUE!</v>
      </c>
      <c r="DB76" t="e">
        <f>AND(medidas!BV161,"AAAAAH7Pt2k=")</f>
        <v>#VALUE!</v>
      </c>
      <c r="DC76" t="e">
        <f>AND(medidas!BW161,"AAAAAH7Pt2o=")</f>
        <v>#VALUE!</v>
      </c>
      <c r="DD76" t="e">
        <f>AND(medidas!BX161,"AAAAAH7Pt2s=")</f>
        <v>#VALUE!</v>
      </c>
      <c r="DE76" t="e">
        <f>AND(medidas!BY161,"AAAAAH7Pt2w=")</f>
        <v>#VALUE!</v>
      </c>
      <c r="DF76">
        <f>IF(medidas!162:162,"AAAAAH7Pt20=",0)</f>
        <v>0</v>
      </c>
      <c r="DG76" t="e">
        <f>AND(medidas!B162,"AAAAAH7Pt24=")</f>
        <v>#VALUE!</v>
      </c>
      <c r="DH76" t="e">
        <f>AND(medidas!C162,"AAAAAH7Pt28=")</f>
        <v>#VALUE!</v>
      </c>
      <c r="DI76" t="e">
        <f>AND(medidas!D162,"AAAAAH7Pt3A=")</f>
        <v>#VALUE!</v>
      </c>
      <c r="DJ76" t="e">
        <f>AND(medidas!E162,"AAAAAH7Pt3E=")</f>
        <v>#VALUE!</v>
      </c>
      <c r="DK76" t="e">
        <f>AND(medidas!F162,"AAAAAH7Pt3I=")</f>
        <v>#VALUE!</v>
      </c>
      <c r="DL76" t="e">
        <f>AND(medidas!G162,"AAAAAH7Pt3M=")</f>
        <v>#VALUE!</v>
      </c>
      <c r="DM76" t="e">
        <f>AND(medidas!H162,"AAAAAH7Pt3Q=")</f>
        <v>#VALUE!</v>
      </c>
      <c r="DN76" t="e">
        <f>AND(medidas!I162,"AAAAAH7Pt3U=")</f>
        <v>#VALUE!</v>
      </c>
      <c r="DO76" t="e">
        <f>AND(medidas!J162,"AAAAAH7Pt3Y=")</f>
        <v>#VALUE!</v>
      </c>
      <c r="DP76" t="e">
        <f>AND(medidas!K162,"AAAAAH7Pt3c=")</f>
        <v>#VALUE!</v>
      </c>
      <c r="DQ76" t="e">
        <f>AND(medidas!L162,"AAAAAH7Pt3g=")</f>
        <v>#VALUE!</v>
      </c>
      <c r="DR76" t="e">
        <f>AND(medidas!M162,"AAAAAH7Pt3k=")</f>
        <v>#VALUE!</v>
      </c>
      <c r="DS76" t="e">
        <f>AND(medidas!N162,"AAAAAH7Pt3o=")</f>
        <v>#VALUE!</v>
      </c>
      <c r="DT76" t="e">
        <f>AND(medidas!O162,"AAAAAH7Pt3s=")</f>
        <v>#VALUE!</v>
      </c>
      <c r="DU76" t="e">
        <f>AND(medidas!P162,"AAAAAH7Pt3w=")</f>
        <v>#VALUE!</v>
      </c>
      <c r="DV76" t="e">
        <f>AND(medidas!Q162,"AAAAAH7Pt30=")</f>
        <v>#VALUE!</v>
      </c>
      <c r="DW76" t="e">
        <f>AND(medidas!R162,"AAAAAH7Pt34=")</f>
        <v>#VALUE!</v>
      </c>
      <c r="DX76" t="e">
        <f>AND(medidas!S162,"AAAAAH7Pt38=")</f>
        <v>#VALUE!</v>
      </c>
      <c r="DY76" t="e">
        <f>AND(medidas!T162,"AAAAAH7Pt4A=")</f>
        <v>#VALUE!</v>
      </c>
      <c r="DZ76" t="e">
        <f>AND(medidas!U162,"AAAAAH7Pt4E=")</f>
        <v>#VALUE!</v>
      </c>
      <c r="EA76" t="e">
        <f>AND(medidas!V162,"AAAAAH7Pt4I=")</f>
        <v>#VALUE!</v>
      </c>
      <c r="EB76" t="e">
        <f>AND(medidas!W162,"AAAAAH7Pt4M=")</f>
        <v>#VALUE!</v>
      </c>
      <c r="EC76" t="e">
        <f>AND(medidas!X162,"AAAAAH7Pt4Q=")</f>
        <v>#VALUE!</v>
      </c>
      <c r="ED76" t="e">
        <f>AND(medidas!Y162,"AAAAAH7Pt4U=")</f>
        <v>#VALUE!</v>
      </c>
      <c r="EE76" t="e">
        <f>AND(medidas!Z162,"AAAAAH7Pt4Y=")</f>
        <v>#VALUE!</v>
      </c>
      <c r="EF76" t="e">
        <f>AND(medidas!AA162,"AAAAAH7Pt4c=")</f>
        <v>#VALUE!</v>
      </c>
      <c r="EG76" t="e">
        <f>AND(medidas!AB162,"AAAAAH7Pt4g=")</f>
        <v>#VALUE!</v>
      </c>
      <c r="EH76" t="e">
        <f>AND(medidas!AC162,"AAAAAH7Pt4k=")</f>
        <v>#VALUE!</v>
      </c>
      <c r="EI76" t="e">
        <f>AND(medidas!AD162,"AAAAAH7Pt4o=")</f>
        <v>#VALUE!</v>
      </c>
      <c r="EJ76" t="e">
        <f>AND(medidas!AE162,"AAAAAH7Pt4s=")</f>
        <v>#VALUE!</v>
      </c>
      <c r="EK76" t="e">
        <f>AND(medidas!AF162,"AAAAAH7Pt4w=")</f>
        <v>#VALUE!</v>
      </c>
      <c r="EL76" t="e">
        <f>AND(medidas!AG162,"AAAAAH7Pt40=")</f>
        <v>#VALUE!</v>
      </c>
      <c r="EM76" t="e">
        <f>AND(medidas!AH162,"AAAAAH7Pt44=")</f>
        <v>#VALUE!</v>
      </c>
      <c r="EN76" t="e">
        <f>AND(medidas!AI162,"AAAAAH7Pt48=")</f>
        <v>#VALUE!</v>
      </c>
      <c r="EO76" t="e">
        <f>AND(medidas!AJ162,"AAAAAH7Pt5A=")</f>
        <v>#VALUE!</v>
      </c>
      <c r="EP76" t="e">
        <f>AND(medidas!AK162,"AAAAAH7Pt5E=")</f>
        <v>#VALUE!</v>
      </c>
      <c r="EQ76" t="e">
        <f>AND(medidas!AL162,"AAAAAH7Pt5I=")</f>
        <v>#VALUE!</v>
      </c>
      <c r="ER76" t="e">
        <f>AND(medidas!AM162,"AAAAAH7Pt5M=")</f>
        <v>#VALUE!</v>
      </c>
      <c r="ES76" t="e">
        <f>AND(medidas!AN162,"AAAAAH7Pt5Q=")</f>
        <v>#VALUE!</v>
      </c>
      <c r="ET76" t="e">
        <f>AND(medidas!AO162,"AAAAAH7Pt5U=")</f>
        <v>#VALUE!</v>
      </c>
      <c r="EU76" t="e">
        <f>AND(medidas!AP162,"AAAAAH7Pt5Y=")</f>
        <v>#VALUE!</v>
      </c>
      <c r="EV76" t="e">
        <f>AND(medidas!AQ162,"AAAAAH7Pt5c=")</f>
        <v>#VALUE!</v>
      </c>
      <c r="EW76" t="e">
        <f>AND(medidas!AR162,"AAAAAH7Pt5g=")</f>
        <v>#VALUE!</v>
      </c>
      <c r="EX76" t="e">
        <f>AND(medidas!AS162,"AAAAAH7Pt5k=")</f>
        <v>#VALUE!</v>
      </c>
      <c r="EY76" t="e">
        <f>AND(medidas!AT162,"AAAAAH7Pt5o=")</f>
        <v>#VALUE!</v>
      </c>
      <c r="EZ76" t="e">
        <f>AND(medidas!AU162,"AAAAAH7Pt5s=")</f>
        <v>#VALUE!</v>
      </c>
      <c r="FA76" t="e">
        <f>AND(medidas!AV162,"AAAAAH7Pt5w=")</f>
        <v>#VALUE!</v>
      </c>
      <c r="FB76" t="e">
        <f>AND(medidas!AW162,"AAAAAH7Pt50=")</f>
        <v>#VALUE!</v>
      </c>
      <c r="FC76" t="e">
        <f>AND(medidas!AX162,"AAAAAH7Pt54=")</f>
        <v>#VALUE!</v>
      </c>
      <c r="FD76" t="e">
        <f>AND(medidas!AY162,"AAAAAH7Pt58=")</f>
        <v>#VALUE!</v>
      </c>
      <c r="FE76" t="e">
        <f>AND(medidas!AZ162,"AAAAAH7Pt6A=")</f>
        <v>#VALUE!</v>
      </c>
      <c r="FF76" t="e">
        <f>AND(medidas!BA162,"AAAAAH7Pt6E=")</f>
        <v>#VALUE!</v>
      </c>
      <c r="FG76" t="e">
        <f>AND(medidas!BB162,"AAAAAH7Pt6I=")</f>
        <v>#VALUE!</v>
      </c>
      <c r="FH76" t="e">
        <f>AND(medidas!BC162,"AAAAAH7Pt6M=")</f>
        <v>#VALUE!</v>
      </c>
      <c r="FI76" t="e">
        <f>AND(medidas!BD162,"AAAAAH7Pt6Q=")</f>
        <v>#VALUE!</v>
      </c>
      <c r="FJ76" t="e">
        <f>AND(medidas!BE162,"AAAAAH7Pt6U=")</f>
        <v>#VALUE!</v>
      </c>
      <c r="FK76" t="e">
        <f>AND(medidas!BF162,"AAAAAH7Pt6Y=")</f>
        <v>#VALUE!</v>
      </c>
      <c r="FL76" t="e">
        <f>AND(medidas!BG162,"AAAAAH7Pt6c=")</f>
        <v>#VALUE!</v>
      </c>
      <c r="FM76" t="e">
        <f>AND(medidas!BH162,"AAAAAH7Pt6g=")</f>
        <v>#VALUE!</v>
      </c>
      <c r="FN76" t="e">
        <f>AND(medidas!BI162,"AAAAAH7Pt6k=")</f>
        <v>#VALUE!</v>
      </c>
      <c r="FO76" t="e">
        <f>AND(medidas!BJ162,"AAAAAH7Pt6o=")</f>
        <v>#VALUE!</v>
      </c>
      <c r="FP76" t="e">
        <f>AND(medidas!BK162,"AAAAAH7Pt6s=")</f>
        <v>#VALUE!</v>
      </c>
      <c r="FQ76" t="e">
        <f>AND(medidas!BL162,"AAAAAH7Pt6w=")</f>
        <v>#VALUE!</v>
      </c>
      <c r="FR76" t="e">
        <f>AND(medidas!BM162,"AAAAAH7Pt60=")</f>
        <v>#VALUE!</v>
      </c>
      <c r="FS76" t="e">
        <f>AND(medidas!BN162,"AAAAAH7Pt64=")</f>
        <v>#VALUE!</v>
      </c>
      <c r="FT76" t="e">
        <f>AND(medidas!BO162,"AAAAAH7Pt68=")</f>
        <v>#VALUE!</v>
      </c>
      <c r="FU76" t="e">
        <f>AND(medidas!BP162,"AAAAAH7Pt7A=")</f>
        <v>#VALUE!</v>
      </c>
      <c r="FV76" t="e">
        <f>AND(medidas!BQ162,"AAAAAH7Pt7E=")</f>
        <v>#VALUE!</v>
      </c>
      <c r="FW76" t="e">
        <f>AND(medidas!BR162,"AAAAAH7Pt7I=")</f>
        <v>#VALUE!</v>
      </c>
      <c r="FX76" t="e">
        <f>AND(medidas!BS162,"AAAAAH7Pt7M=")</f>
        <v>#VALUE!</v>
      </c>
      <c r="FY76" t="e">
        <f>AND(medidas!BT162,"AAAAAH7Pt7Q=")</f>
        <v>#VALUE!</v>
      </c>
      <c r="FZ76" t="e">
        <f>AND(medidas!BU162,"AAAAAH7Pt7U=")</f>
        <v>#VALUE!</v>
      </c>
      <c r="GA76" t="e">
        <f>AND(medidas!BV162,"AAAAAH7Pt7Y=")</f>
        <v>#VALUE!</v>
      </c>
      <c r="GB76" t="e">
        <f>AND(medidas!BW162,"AAAAAH7Pt7c=")</f>
        <v>#VALUE!</v>
      </c>
      <c r="GC76" t="e">
        <f>AND(medidas!BX162,"AAAAAH7Pt7g=")</f>
        <v>#VALUE!</v>
      </c>
      <c r="GD76" t="e">
        <f>AND(medidas!BY162,"AAAAAH7Pt7k=")</f>
        <v>#VALUE!</v>
      </c>
      <c r="GE76">
        <f>IF(medidas!163:163,"AAAAAH7Pt7o=",0)</f>
        <v>0</v>
      </c>
      <c r="GF76" t="e">
        <f>AND(medidas!B163,"AAAAAH7Pt7s=")</f>
        <v>#VALUE!</v>
      </c>
      <c r="GG76" t="e">
        <f>AND(medidas!C163,"AAAAAH7Pt7w=")</f>
        <v>#VALUE!</v>
      </c>
      <c r="GH76" t="e">
        <f>AND(medidas!D163,"AAAAAH7Pt70=")</f>
        <v>#VALUE!</v>
      </c>
      <c r="GI76" t="e">
        <f>AND(medidas!E163,"AAAAAH7Pt74=")</f>
        <v>#VALUE!</v>
      </c>
      <c r="GJ76" t="e">
        <f>AND(medidas!F163,"AAAAAH7Pt78=")</f>
        <v>#VALUE!</v>
      </c>
      <c r="GK76" t="e">
        <f>AND(medidas!G163,"AAAAAH7Pt8A=")</f>
        <v>#VALUE!</v>
      </c>
      <c r="GL76" t="e">
        <f>AND(medidas!H163,"AAAAAH7Pt8E=")</f>
        <v>#VALUE!</v>
      </c>
      <c r="GM76" t="e">
        <f>AND(medidas!I163,"AAAAAH7Pt8I=")</f>
        <v>#VALUE!</v>
      </c>
      <c r="GN76" t="e">
        <f>AND(medidas!J163,"AAAAAH7Pt8M=")</f>
        <v>#VALUE!</v>
      </c>
      <c r="GO76" t="e">
        <f>AND(medidas!K163,"AAAAAH7Pt8Q=")</f>
        <v>#VALUE!</v>
      </c>
      <c r="GP76" t="e">
        <f>AND(medidas!L163,"AAAAAH7Pt8U=")</f>
        <v>#VALUE!</v>
      </c>
      <c r="GQ76" t="e">
        <f>AND(medidas!M163,"AAAAAH7Pt8Y=")</f>
        <v>#VALUE!</v>
      </c>
      <c r="GR76" t="e">
        <f>AND(medidas!N163,"AAAAAH7Pt8c=")</f>
        <v>#VALUE!</v>
      </c>
      <c r="GS76" t="e">
        <f>AND(medidas!O163,"AAAAAH7Pt8g=")</f>
        <v>#VALUE!</v>
      </c>
      <c r="GT76" t="e">
        <f>AND(medidas!P163,"AAAAAH7Pt8k=")</f>
        <v>#VALUE!</v>
      </c>
      <c r="GU76" t="e">
        <f>AND(medidas!Q163,"AAAAAH7Pt8o=")</f>
        <v>#VALUE!</v>
      </c>
      <c r="GV76" t="e">
        <f>AND(medidas!R163,"AAAAAH7Pt8s=")</f>
        <v>#VALUE!</v>
      </c>
      <c r="GW76" t="e">
        <f>AND(medidas!S163,"AAAAAH7Pt8w=")</f>
        <v>#VALUE!</v>
      </c>
      <c r="GX76" t="e">
        <f>AND(medidas!T163,"AAAAAH7Pt80=")</f>
        <v>#VALUE!</v>
      </c>
      <c r="GY76" t="e">
        <f>AND(medidas!U163,"AAAAAH7Pt84=")</f>
        <v>#VALUE!</v>
      </c>
      <c r="GZ76" t="e">
        <f>AND(medidas!V163,"AAAAAH7Pt88=")</f>
        <v>#VALUE!</v>
      </c>
      <c r="HA76" t="e">
        <f>AND(medidas!W163,"AAAAAH7Pt9A=")</f>
        <v>#VALUE!</v>
      </c>
      <c r="HB76" t="e">
        <f>AND(medidas!X163,"AAAAAH7Pt9E=")</f>
        <v>#VALUE!</v>
      </c>
      <c r="HC76" t="e">
        <f>AND(medidas!Y163,"AAAAAH7Pt9I=")</f>
        <v>#VALUE!</v>
      </c>
      <c r="HD76" t="e">
        <f>AND(medidas!Z163,"AAAAAH7Pt9M=")</f>
        <v>#VALUE!</v>
      </c>
      <c r="HE76" t="e">
        <f>AND(medidas!AA163,"AAAAAH7Pt9Q=")</f>
        <v>#VALUE!</v>
      </c>
      <c r="HF76" t="e">
        <f>AND(medidas!AB163,"AAAAAH7Pt9U=")</f>
        <v>#VALUE!</v>
      </c>
      <c r="HG76" t="e">
        <f>AND(medidas!AC163,"AAAAAH7Pt9Y=")</f>
        <v>#VALUE!</v>
      </c>
      <c r="HH76" t="e">
        <f>AND(medidas!AD163,"AAAAAH7Pt9c=")</f>
        <v>#VALUE!</v>
      </c>
      <c r="HI76" t="e">
        <f>AND(medidas!AE163,"AAAAAH7Pt9g=")</f>
        <v>#VALUE!</v>
      </c>
      <c r="HJ76" t="e">
        <f>AND(medidas!AF163,"AAAAAH7Pt9k=")</f>
        <v>#VALUE!</v>
      </c>
      <c r="HK76" t="e">
        <f>AND(medidas!AG163,"AAAAAH7Pt9o=")</f>
        <v>#VALUE!</v>
      </c>
      <c r="HL76" t="e">
        <f>AND(medidas!AH163,"AAAAAH7Pt9s=")</f>
        <v>#VALUE!</v>
      </c>
      <c r="HM76" t="e">
        <f>AND(medidas!AI163,"AAAAAH7Pt9w=")</f>
        <v>#VALUE!</v>
      </c>
      <c r="HN76" t="e">
        <f>AND(medidas!AJ163,"AAAAAH7Pt90=")</f>
        <v>#VALUE!</v>
      </c>
      <c r="HO76" t="e">
        <f>AND(medidas!AK163,"AAAAAH7Pt94=")</f>
        <v>#VALUE!</v>
      </c>
      <c r="HP76" t="e">
        <f>AND(medidas!AL163,"AAAAAH7Pt98=")</f>
        <v>#VALUE!</v>
      </c>
      <c r="HQ76" t="e">
        <f>AND(medidas!AM163,"AAAAAH7Pt+A=")</f>
        <v>#VALUE!</v>
      </c>
      <c r="HR76" t="e">
        <f>AND(medidas!AN163,"AAAAAH7Pt+E=")</f>
        <v>#VALUE!</v>
      </c>
      <c r="HS76" t="e">
        <f>AND(medidas!AO163,"AAAAAH7Pt+I=")</f>
        <v>#VALUE!</v>
      </c>
      <c r="HT76" t="e">
        <f>AND(medidas!AP163,"AAAAAH7Pt+M=")</f>
        <v>#VALUE!</v>
      </c>
      <c r="HU76" t="e">
        <f>AND(medidas!AQ163,"AAAAAH7Pt+Q=")</f>
        <v>#VALUE!</v>
      </c>
      <c r="HV76" t="e">
        <f>AND(medidas!AR163,"AAAAAH7Pt+U=")</f>
        <v>#VALUE!</v>
      </c>
      <c r="HW76" t="e">
        <f>AND(medidas!AS163,"AAAAAH7Pt+Y=")</f>
        <v>#VALUE!</v>
      </c>
      <c r="HX76" t="e">
        <f>AND(medidas!AT163,"AAAAAH7Pt+c=")</f>
        <v>#VALUE!</v>
      </c>
      <c r="HY76" t="e">
        <f>AND(medidas!AU163,"AAAAAH7Pt+g=")</f>
        <v>#VALUE!</v>
      </c>
      <c r="HZ76" t="e">
        <f>AND(medidas!AV163,"AAAAAH7Pt+k=")</f>
        <v>#VALUE!</v>
      </c>
      <c r="IA76" t="e">
        <f>AND(medidas!AW163,"AAAAAH7Pt+o=")</f>
        <v>#VALUE!</v>
      </c>
      <c r="IB76" t="e">
        <f>AND(medidas!AX163,"AAAAAH7Pt+s=")</f>
        <v>#VALUE!</v>
      </c>
      <c r="IC76" t="e">
        <f>AND(medidas!AY163,"AAAAAH7Pt+w=")</f>
        <v>#VALUE!</v>
      </c>
      <c r="ID76" t="e">
        <f>AND(medidas!AZ163,"AAAAAH7Pt+0=")</f>
        <v>#VALUE!</v>
      </c>
      <c r="IE76" t="e">
        <f>AND(medidas!BA163,"AAAAAH7Pt+4=")</f>
        <v>#VALUE!</v>
      </c>
      <c r="IF76" t="e">
        <f>AND(medidas!BB163,"AAAAAH7Pt+8=")</f>
        <v>#VALUE!</v>
      </c>
      <c r="IG76" t="e">
        <f>AND(medidas!BC163,"AAAAAH7Pt/A=")</f>
        <v>#VALUE!</v>
      </c>
      <c r="IH76" t="e">
        <f>AND(medidas!BD163,"AAAAAH7Pt/E=")</f>
        <v>#VALUE!</v>
      </c>
      <c r="II76" t="e">
        <f>AND(medidas!BE163,"AAAAAH7Pt/I=")</f>
        <v>#VALUE!</v>
      </c>
      <c r="IJ76" t="e">
        <f>AND(medidas!BF163,"AAAAAH7Pt/M=")</f>
        <v>#VALUE!</v>
      </c>
      <c r="IK76" t="e">
        <f>AND(medidas!BG163,"AAAAAH7Pt/Q=")</f>
        <v>#VALUE!</v>
      </c>
      <c r="IL76" t="e">
        <f>AND(medidas!BH163,"AAAAAH7Pt/U=")</f>
        <v>#VALUE!</v>
      </c>
      <c r="IM76" t="e">
        <f>AND(medidas!BI163,"AAAAAH7Pt/Y=")</f>
        <v>#VALUE!</v>
      </c>
      <c r="IN76" t="e">
        <f>AND(medidas!BJ163,"AAAAAH7Pt/c=")</f>
        <v>#VALUE!</v>
      </c>
      <c r="IO76" t="e">
        <f>AND(medidas!BK163,"AAAAAH7Pt/g=")</f>
        <v>#VALUE!</v>
      </c>
      <c r="IP76" t="e">
        <f>AND(medidas!BL163,"AAAAAH7Pt/k=")</f>
        <v>#VALUE!</v>
      </c>
      <c r="IQ76" t="e">
        <f>AND(medidas!BM163,"AAAAAH7Pt/o=")</f>
        <v>#VALUE!</v>
      </c>
      <c r="IR76" t="e">
        <f>AND(medidas!BN163,"AAAAAH7Pt/s=")</f>
        <v>#VALUE!</v>
      </c>
      <c r="IS76" t="e">
        <f>AND(medidas!BO163,"AAAAAH7Pt/w=")</f>
        <v>#VALUE!</v>
      </c>
      <c r="IT76" t="e">
        <f>AND(medidas!BP163,"AAAAAH7Pt/0=")</f>
        <v>#VALUE!</v>
      </c>
      <c r="IU76" t="e">
        <f>AND(medidas!BQ163,"AAAAAH7Pt/4=")</f>
        <v>#VALUE!</v>
      </c>
      <c r="IV76" t="e">
        <f>AND(medidas!BR163,"AAAAAH7Pt/8=")</f>
        <v>#VALUE!</v>
      </c>
    </row>
    <row r="77" spans="1:256" x14ac:dyDescent="0.2">
      <c r="A77" t="e">
        <f>AND(medidas!BS163,"AAAAADr3+wA=")</f>
        <v>#VALUE!</v>
      </c>
      <c r="B77" t="e">
        <f>AND(medidas!BT163,"AAAAADr3+wE=")</f>
        <v>#VALUE!</v>
      </c>
      <c r="C77" t="e">
        <f>AND(medidas!BU163,"AAAAADr3+wI=")</f>
        <v>#VALUE!</v>
      </c>
      <c r="D77" t="e">
        <f>AND(medidas!BV163,"AAAAADr3+wM=")</f>
        <v>#VALUE!</v>
      </c>
      <c r="E77" t="e">
        <f>AND(medidas!BW163,"AAAAADr3+wQ=")</f>
        <v>#VALUE!</v>
      </c>
      <c r="F77" t="e">
        <f>AND(medidas!BX163,"AAAAADr3+wU=")</f>
        <v>#VALUE!</v>
      </c>
      <c r="G77" t="e">
        <f>AND(medidas!BY163,"AAAAADr3+wY=")</f>
        <v>#VALUE!</v>
      </c>
      <c r="H77">
        <f>IF(medidas!164:164,"AAAAADr3+wc=",0)</f>
        <v>0</v>
      </c>
      <c r="I77" t="e">
        <f>AND(medidas!B164,"AAAAADr3+wg=")</f>
        <v>#VALUE!</v>
      </c>
      <c r="J77" t="e">
        <f>AND(medidas!C164,"AAAAADr3+wk=")</f>
        <v>#VALUE!</v>
      </c>
      <c r="K77" t="e">
        <f>AND(medidas!D164,"AAAAADr3+wo=")</f>
        <v>#VALUE!</v>
      </c>
      <c r="L77" t="e">
        <f>AND(medidas!E164,"AAAAADr3+ws=")</f>
        <v>#VALUE!</v>
      </c>
      <c r="M77" t="e">
        <f>AND(medidas!F164,"AAAAADr3+ww=")</f>
        <v>#VALUE!</v>
      </c>
      <c r="N77" t="e">
        <f>AND(medidas!G164,"AAAAADr3+w0=")</f>
        <v>#VALUE!</v>
      </c>
      <c r="O77" t="e">
        <f>AND(medidas!H164,"AAAAADr3+w4=")</f>
        <v>#VALUE!</v>
      </c>
      <c r="P77" t="e">
        <f>AND(medidas!I164,"AAAAADr3+w8=")</f>
        <v>#VALUE!</v>
      </c>
      <c r="Q77" t="e">
        <f>AND(medidas!J164,"AAAAADr3+xA=")</f>
        <v>#VALUE!</v>
      </c>
      <c r="R77" t="e">
        <f>AND(medidas!K164,"AAAAADr3+xE=")</f>
        <v>#VALUE!</v>
      </c>
      <c r="S77" t="e">
        <f>AND(medidas!L164,"AAAAADr3+xI=")</f>
        <v>#VALUE!</v>
      </c>
      <c r="T77" t="e">
        <f>AND(medidas!M164,"AAAAADr3+xM=")</f>
        <v>#VALUE!</v>
      </c>
      <c r="U77" t="e">
        <f>AND(medidas!N164,"AAAAADr3+xQ=")</f>
        <v>#VALUE!</v>
      </c>
      <c r="V77" t="e">
        <f>AND(medidas!O164,"AAAAADr3+xU=")</f>
        <v>#VALUE!</v>
      </c>
      <c r="W77" t="e">
        <f>AND(medidas!P164,"AAAAADr3+xY=")</f>
        <v>#VALUE!</v>
      </c>
      <c r="X77" t="e">
        <f>AND(medidas!Q164,"AAAAADr3+xc=")</f>
        <v>#VALUE!</v>
      </c>
      <c r="Y77" t="e">
        <f>AND(medidas!R164,"AAAAADr3+xg=")</f>
        <v>#VALUE!</v>
      </c>
      <c r="Z77" t="e">
        <f>AND(medidas!S164,"AAAAADr3+xk=")</f>
        <v>#VALUE!</v>
      </c>
      <c r="AA77" t="e">
        <f>AND(medidas!T164,"AAAAADr3+xo=")</f>
        <v>#VALUE!</v>
      </c>
      <c r="AB77" t="e">
        <f>AND(medidas!U164,"AAAAADr3+xs=")</f>
        <v>#VALUE!</v>
      </c>
      <c r="AC77" t="e">
        <f>AND(medidas!V164,"AAAAADr3+xw=")</f>
        <v>#VALUE!</v>
      </c>
      <c r="AD77" t="e">
        <f>AND(medidas!W164,"AAAAADr3+x0=")</f>
        <v>#VALUE!</v>
      </c>
      <c r="AE77" t="e">
        <f>AND(medidas!X164,"AAAAADr3+x4=")</f>
        <v>#VALUE!</v>
      </c>
      <c r="AF77" t="e">
        <f>AND(medidas!Y164,"AAAAADr3+x8=")</f>
        <v>#VALUE!</v>
      </c>
      <c r="AG77" t="e">
        <f>AND(medidas!Z164,"AAAAADr3+yA=")</f>
        <v>#VALUE!</v>
      </c>
      <c r="AH77" t="e">
        <f>AND(medidas!AA164,"AAAAADr3+yE=")</f>
        <v>#VALUE!</v>
      </c>
      <c r="AI77" t="e">
        <f>AND(medidas!AB164,"AAAAADr3+yI=")</f>
        <v>#VALUE!</v>
      </c>
      <c r="AJ77" t="e">
        <f>AND(medidas!AC164,"AAAAADr3+yM=")</f>
        <v>#VALUE!</v>
      </c>
      <c r="AK77" t="e">
        <f>AND(medidas!AD164,"AAAAADr3+yQ=")</f>
        <v>#VALUE!</v>
      </c>
      <c r="AL77" t="e">
        <f>AND(medidas!AE164,"AAAAADr3+yU=")</f>
        <v>#VALUE!</v>
      </c>
      <c r="AM77" t="e">
        <f>AND(medidas!AF164,"AAAAADr3+yY=")</f>
        <v>#VALUE!</v>
      </c>
      <c r="AN77" t="e">
        <f>AND(medidas!AG164,"AAAAADr3+yc=")</f>
        <v>#VALUE!</v>
      </c>
      <c r="AO77" t="e">
        <f>AND(medidas!AH164,"AAAAADr3+yg=")</f>
        <v>#VALUE!</v>
      </c>
      <c r="AP77" t="e">
        <f>AND(medidas!AI164,"AAAAADr3+yk=")</f>
        <v>#VALUE!</v>
      </c>
      <c r="AQ77" t="e">
        <f>AND(medidas!AJ164,"AAAAADr3+yo=")</f>
        <v>#VALUE!</v>
      </c>
      <c r="AR77" t="e">
        <f>AND(medidas!AK164,"AAAAADr3+ys=")</f>
        <v>#VALUE!</v>
      </c>
      <c r="AS77" t="e">
        <f>AND(medidas!AL164,"AAAAADr3+yw=")</f>
        <v>#VALUE!</v>
      </c>
      <c r="AT77" t="e">
        <f>AND(medidas!AM164,"AAAAADr3+y0=")</f>
        <v>#VALUE!</v>
      </c>
      <c r="AU77" t="e">
        <f>AND(medidas!AN164,"AAAAADr3+y4=")</f>
        <v>#VALUE!</v>
      </c>
      <c r="AV77" t="e">
        <f>AND(medidas!AO164,"AAAAADr3+y8=")</f>
        <v>#VALUE!</v>
      </c>
      <c r="AW77" t="e">
        <f>AND(medidas!AP164,"AAAAADr3+zA=")</f>
        <v>#VALUE!</v>
      </c>
      <c r="AX77" t="e">
        <f>AND(medidas!AQ164,"AAAAADr3+zE=")</f>
        <v>#VALUE!</v>
      </c>
      <c r="AY77" t="e">
        <f>AND(medidas!AR164,"AAAAADr3+zI=")</f>
        <v>#VALUE!</v>
      </c>
      <c r="AZ77" t="e">
        <f>AND(medidas!AS164,"AAAAADr3+zM=")</f>
        <v>#VALUE!</v>
      </c>
      <c r="BA77" t="e">
        <f>AND(medidas!AT164,"AAAAADr3+zQ=")</f>
        <v>#VALUE!</v>
      </c>
      <c r="BB77" t="e">
        <f>AND(medidas!AU164,"AAAAADr3+zU=")</f>
        <v>#VALUE!</v>
      </c>
      <c r="BC77" t="e">
        <f>AND(medidas!AV164,"AAAAADr3+zY=")</f>
        <v>#VALUE!</v>
      </c>
      <c r="BD77" t="e">
        <f>AND(medidas!AW164,"AAAAADr3+zc=")</f>
        <v>#VALUE!</v>
      </c>
      <c r="BE77" t="e">
        <f>AND(medidas!AX164,"AAAAADr3+zg=")</f>
        <v>#VALUE!</v>
      </c>
      <c r="BF77" t="e">
        <f>AND(medidas!AY164,"AAAAADr3+zk=")</f>
        <v>#VALUE!</v>
      </c>
      <c r="BG77" t="e">
        <f>AND(medidas!AZ164,"AAAAADr3+zo=")</f>
        <v>#VALUE!</v>
      </c>
      <c r="BH77" t="e">
        <f>AND(medidas!BA164,"AAAAADr3+zs=")</f>
        <v>#VALUE!</v>
      </c>
      <c r="BI77" t="e">
        <f>AND(medidas!BB164,"AAAAADr3+zw=")</f>
        <v>#VALUE!</v>
      </c>
      <c r="BJ77" t="e">
        <f>AND(medidas!BC164,"AAAAADr3+z0=")</f>
        <v>#VALUE!</v>
      </c>
      <c r="BK77" t="e">
        <f>AND(medidas!BD164,"AAAAADr3+z4=")</f>
        <v>#VALUE!</v>
      </c>
      <c r="BL77" t="e">
        <f>AND(medidas!BE164,"AAAAADr3+z8=")</f>
        <v>#VALUE!</v>
      </c>
      <c r="BM77" t="e">
        <f>AND(medidas!BF164,"AAAAADr3+0A=")</f>
        <v>#VALUE!</v>
      </c>
      <c r="BN77" t="e">
        <f>AND(medidas!BG164,"AAAAADr3+0E=")</f>
        <v>#VALUE!</v>
      </c>
      <c r="BO77" t="e">
        <f>AND(medidas!BH164,"AAAAADr3+0I=")</f>
        <v>#VALUE!</v>
      </c>
      <c r="BP77" t="e">
        <f>AND(medidas!BI164,"AAAAADr3+0M=")</f>
        <v>#VALUE!</v>
      </c>
      <c r="BQ77" t="e">
        <f>AND(medidas!BJ164,"AAAAADr3+0Q=")</f>
        <v>#VALUE!</v>
      </c>
      <c r="BR77" t="e">
        <f>AND(medidas!BK164,"AAAAADr3+0U=")</f>
        <v>#VALUE!</v>
      </c>
      <c r="BS77" t="e">
        <f>AND(medidas!BL164,"AAAAADr3+0Y=")</f>
        <v>#VALUE!</v>
      </c>
      <c r="BT77" t="e">
        <f>AND(medidas!BM164,"AAAAADr3+0c=")</f>
        <v>#VALUE!</v>
      </c>
      <c r="BU77" t="e">
        <f>AND(medidas!BN164,"AAAAADr3+0g=")</f>
        <v>#VALUE!</v>
      </c>
      <c r="BV77" t="e">
        <f>AND(medidas!BO164,"AAAAADr3+0k=")</f>
        <v>#VALUE!</v>
      </c>
      <c r="BW77" t="e">
        <f>AND(medidas!BP164,"AAAAADr3+0o=")</f>
        <v>#VALUE!</v>
      </c>
      <c r="BX77" t="e">
        <f>AND(medidas!BQ164,"AAAAADr3+0s=")</f>
        <v>#VALUE!</v>
      </c>
      <c r="BY77" t="e">
        <f>AND(medidas!BR164,"AAAAADr3+0w=")</f>
        <v>#VALUE!</v>
      </c>
      <c r="BZ77" t="e">
        <f>AND(medidas!BS164,"AAAAADr3+00=")</f>
        <v>#VALUE!</v>
      </c>
      <c r="CA77" t="e">
        <f>AND(medidas!BT164,"AAAAADr3+04=")</f>
        <v>#VALUE!</v>
      </c>
      <c r="CB77" t="e">
        <f>AND(medidas!BU164,"AAAAADr3+08=")</f>
        <v>#VALUE!</v>
      </c>
      <c r="CC77" t="e">
        <f>AND(medidas!BV164,"AAAAADr3+1A=")</f>
        <v>#VALUE!</v>
      </c>
      <c r="CD77" t="e">
        <f>AND(medidas!BW164,"AAAAADr3+1E=")</f>
        <v>#VALUE!</v>
      </c>
      <c r="CE77" t="e">
        <f>AND(medidas!BX164,"AAAAADr3+1I=")</f>
        <v>#VALUE!</v>
      </c>
      <c r="CF77" t="e">
        <f>AND(medidas!BY164,"AAAAADr3+1M=")</f>
        <v>#VALUE!</v>
      </c>
      <c r="CG77">
        <f>IF(medidas!165:165,"AAAAADr3+1Q=",0)</f>
        <v>0</v>
      </c>
      <c r="CH77" t="e">
        <f>AND(medidas!B165,"AAAAADr3+1U=")</f>
        <v>#VALUE!</v>
      </c>
      <c r="CI77" t="e">
        <f>AND(medidas!C165,"AAAAADr3+1Y=")</f>
        <v>#VALUE!</v>
      </c>
      <c r="CJ77" t="e">
        <f>AND(medidas!D165,"AAAAADr3+1c=")</f>
        <v>#VALUE!</v>
      </c>
      <c r="CK77" t="e">
        <f>AND(medidas!E165,"AAAAADr3+1g=")</f>
        <v>#VALUE!</v>
      </c>
      <c r="CL77" t="e">
        <f>AND(medidas!F165,"AAAAADr3+1k=")</f>
        <v>#VALUE!</v>
      </c>
      <c r="CM77" t="e">
        <f>AND(medidas!G165,"AAAAADr3+1o=")</f>
        <v>#VALUE!</v>
      </c>
      <c r="CN77" t="e">
        <f>AND(medidas!H165,"AAAAADr3+1s=")</f>
        <v>#VALUE!</v>
      </c>
      <c r="CO77" t="e">
        <f>AND(medidas!I165,"AAAAADr3+1w=")</f>
        <v>#VALUE!</v>
      </c>
      <c r="CP77" t="e">
        <f>AND(medidas!J165,"AAAAADr3+10=")</f>
        <v>#VALUE!</v>
      </c>
      <c r="CQ77" t="e">
        <f>AND(medidas!K165,"AAAAADr3+14=")</f>
        <v>#VALUE!</v>
      </c>
      <c r="CR77" t="e">
        <f>AND(medidas!L165,"AAAAADr3+18=")</f>
        <v>#VALUE!</v>
      </c>
      <c r="CS77" t="e">
        <f>AND(medidas!M165,"AAAAADr3+2A=")</f>
        <v>#VALUE!</v>
      </c>
      <c r="CT77" t="e">
        <f>AND(medidas!N165,"AAAAADr3+2E=")</f>
        <v>#VALUE!</v>
      </c>
      <c r="CU77" t="e">
        <f>AND(medidas!O165,"AAAAADr3+2I=")</f>
        <v>#VALUE!</v>
      </c>
      <c r="CV77" t="e">
        <f>AND(medidas!P165,"AAAAADr3+2M=")</f>
        <v>#VALUE!</v>
      </c>
      <c r="CW77" t="e">
        <f>AND(medidas!Q165,"AAAAADr3+2Q=")</f>
        <v>#VALUE!</v>
      </c>
      <c r="CX77" t="e">
        <f>AND(medidas!R165,"AAAAADr3+2U=")</f>
        <v>#VALUE!</v>
      </c>
      <c r="CY77" t="e">
        <f>AND(medidas!S165,"AAAAADr3+2Y=")</f>
        <v>#VALUE!</v>
      </c>
      <c r="CZ77" t="e">
        <f>AND(medidas!T165,"AAAAADr3+2c=")</f>
        <v>#VALUE!</v>
      </c>
      <c r="DA77" t="e">
        <f>AND(medidas!U165,"AAAAADr3+2g=")</f>
        <v>#VALUE!</v>
      </c>
      <c r="DB77" t="e">
        <f>AND(medidas!V165,"AAAAADr3+2k=")</f>
        <v>#VALUE!</v>
      </c>
      <c r="DC77" t="e">
        <f>AND(medidas!W165,"AAAAADr3+2o=")</f>
        <v>#VALUE!</v>
      </c>
      <c r="DD77" t="e">
        <f>AND(medidas!X165,"AAAAADr3+2s=")</f>
        <v>#VALUE!</v>
      </c>
      <c r="DE77" t="e">
        <f>AND(medidas!Y165,"AAAAADr3+2w=")</f>
        <v>#VALUE!</v>
      </c>
      <c r="DF77" t="e">
        <f>AND(medidas!Z165,"AAAAADr3+20=")</f>
        <v>#VALUE!</v>
      </c>
      <c r="DG77" t="e">
        <f>AND(medidas!AA165,"AAAAADr3+24=")</f>
        <v>#VALUE!</v>
      </c>
      <c r="DH77" t="e">
        <f>AND(medidas!AB165,"AAAAADr3+28=")</f>
        <v>#VALUE!</v>
      </c>
      <c r="DI77" t="e">
        <f>AND(medidas!AC165,"AAAAADr3+3A=")</f>
        <v>#VALUE!</v>
      </c>
      <c r="DJ77" t="e">
        <f>AND(medidas!AD165,"AAAAADr3+3E=")</f>
        <v>#VALUE!</v>
      </c>
      <c r="DK77" t="e">
        <f>AND(medidas!AE165,"AAAAADr3+3I=")</f>
        <v>#VALUE!</v>
      </c>
      <c r="DL77" t="e">
        <f>AND(medidas!AF165,"AAAAADr3+3M=")</f>
        <v>#VALUE!</v>
      </c>
      <c r="DM77" t="e">
        <f>AND(medidas!AG165,"AAAAADr3+3Q=")</f>
        <v>#VALUE!</v>
      </c>
      <c r="DN77" t="e">
        <f>AND(medidas!AH165,"AAAAADr3+3U=")</f>
        <v>#VALUE!</v>
      </c>
      <c r="DO77" t="e">
        <f>AND(medidas!AI165,"AAAAADr3+3Y=")</f>
        <v>#VALUE!</v>
      </c>
      <c r="DP77" t="e">
        <f>AND(medidas!AJ165,"AAAAADr3+3c=")</f>
        <v>#VALUE!</v>
      </c>
      <c r="DQ77" t="e">
        <f>AND(medidas!AK165,"AAAAADr3+3g=")</f>
        <v>#VALUE!</v>
      </c>
      <c r="DR77" t="e">
        <f>AND(medidas!AL165,"AAAAADr3+3k=")</f>
        <v>#VALUE!</v>
      </c>
      <c r="DS77" t="e">
        <f>AND(medidas!AM165,"AAAAADr3+3o=")</f>
        <v>#VALUE!</v>
      </c>
      <c r="DT77" t="e">
        <f>AND(medidas!AN165,"AAAAADr3+3s=")</f>
        <v>#VALUE!</v>
      </c>
      <c r="DU77" t="e">
        <f>AND(medidas!AO165,"AAAAADr3+3w=")</f>
        <v>#VALUE!</v>
      </c>
      <c r="DV77" t="e">
        <f>AND(medidas!AP165,"AAAAADr3+30=")</f>
        <v>#VALUE!</v>
      </c>
      <c r="DW77" t="e">
        <f>AND(medidas!AQ165,"AAAAADr3+34=")</f>
        <v>#VALUE!</v>
      </c>
      <c r="DX77" t="e">
        <f>AND(medidas!AR165,"AAAAADr3+38=")</f>
        <v>#VALUE!</v>
      </c>
      <c r="DY77" t="e">
        <f>AND(medidas!AS165,"AAAAADr3+4A=")</f>
        <v>#VALUE!</v>
      </c>
      <c r="DZ77" t="e">
        <f>AND(medidas!AT165,"AAAAADr3+4E=")</f>
        <v>#VALUE!</v>
      </c>
      <c r="EA77" t="e">
        <f>AND(medidas!AU165,"AAAAADr3+4I=")</f>
        <v>#VALUE!</v>
      </c>
      <c r="EB77" t="e">
        <f>AND(medidas!AV165,"AAAAADr3+4M=")</f>
        <v>#VALUE!</v>
      </c>
      <c r="EC77" t="e">
        <f>AND(medidas!AW165,"AAAAADr3+4Q=")</f>
        <v>#VALUE!</v>
      </c>
      <c r="ED77" t="e">
        <f>AND(medidas!AX165,"AAAAADr3+4U=")</f>
        <v>#VALUE!</v>
      </c>
      <c r="EE77" t="e">
        <f>AND(medidas!AY165,"AAAAADr3+4Y=")</f>
        <v>#VALUE!</v>
      </c>
      <c r="EF77" t="e">
        <f>AND(medidas!AZ165,"AAAAADr3+4c=")</f>
        <v>#VALUE!</v>
      </c>
      <c r="EG77" t="e">
        <f>AND(medidas!BA165,"AAAAADr3+4g=")</f>
        <v>#VALUE!</v>
      </c>
      <c r="EH77" t="e">
        <f>AND(medidas!BB165,"AAAAADr3+4k=")</f>
        <v>#VALUE!</v>
      </c>
      <c r="EI77" t="e">
        <f>AND(medidas!BC165,"AAAAADr3+4o=")</f>
        <v>#VALUE!</v>
      </c>
      <c r="EJ77" t="e">
        <f>AND(medidas!BD165,"AAAAADr3+4s=")</f>
        <v>#VALUE!</v>
      </c>
      <c r="EK77" t="e">
        <f>AND(medidas!BE165,"AAAAADr3+4w=")</f>
        <v>#VALUE!</v>
      </c>
      <c r="EL77" t="e">
        <f>AND(medidas!BF165,"AAAAADr3+40=")</f>
        <v>#VALUE!</v>
      </c>
      <c r="EM77" t="e">
        <f>AND(medidas!BG165,"AAAAADr3+44=")</f>
        <v>#VALUE!</v>
      </c>
      <c r="EN77" t="e">
        <f>AND(medidas!BH165,"AAAAADr3+48=")</f>
        <v>#VALUE!</v>
      </c>
      <c r="EO77" t="e">
        <f>AND(medidas!BI165,"AAAAADr3+5A=")</f>
        <v>#VALUE!</v>
      </c>
      <c r="EP77" t="e">
        <f>AND(medidas!BJ165,"AAAAADr3+5E=")</f>
        <v>#VALUE!</v>
      </c>
      <c r="EQ77" t="e">
        <f>AND(medidas!BK165,"AAAAADr3+5I=")</f>
        <v>#VALUE!</v>
      </c>
      <c r="ER77" t="e">
        <f>AND(medidas!BL165,"AAAAADr3+5M=")</f>
        <v>#VALUE!</v>
      </c>
      <c r="ES77" t="e">
        <f>AND(medidas!BM165,"AAAAADr3+5Q=")</f>
        <v>#VALUE!</v>
      </c>
      <c r="ET77" t="e">
        <f>AND(medidas!BN165,"AAAAADr3+5U=")</f>
        <v>#VALUE!</v>
      </c>
      <c r="EU77" t="e">
        <f>AND(medidas!BO165,"AAAAADr3+5Y=")</f>
        <v>#VALUE!</v>
      </c>
      <c r="EV77" t="e">
        <f>AND(medidas!BP165,"AAAAADr3+5c=")</f>
        <v>#VALUE!</v>
      </c>
      <c r="EW77" t="e">
        <f>AND(medidas!BQ165,"AAAAADr3+5g=")</f>
        <v>#VALUE!</v>
      </c>
      <c r="EX77" t="e">
        <f>AND(medidas!BR165,"AAAAADr3+5k=")</f>
        <v>#VALUE!</v>
      </c>
      <c r="EY77" t="e">
        <f>AND(medidas!BS165,"AAAAADr3+5o=")</f>
        <v>#VALUE!</v>
      </c>
      <c r="EZ77" t="e">
        <f>AND(medidas!BT165,"AAAAADr3+5s=")</f>
        <v>#VALUE!</v>
      </c>
      <c r="FA77" t="e">
        <f>AND(medidas!BU165,"AAAAADr3+5w=")</f>
        <v>#VALUE!</v>
      </c>
      <c r="FB77" t="e">
        <f>AND(medidas!BV165,"AAAAADr3+50=")</f>
        <v>#VALUE!</v>
      </c>
      <c r="FC77" t="e">
        <f>AND(medidas!BW165,"AAAAADr3+54=")</f>
        <v>#VALUE!</v>
      </c>
      <c r="FD77" t="e">
        <f>AND(medidas!BX165,"AAAAADr3+58=")</f>
        <v>#VALUE!</v>
      </c>
      <c r="FE77" t="e">
        <f>AND(medidas!BY165,"AAAAADr3+6A=")</f>
        <v>#VALUE!</v>
      </c>
      <c r="FF77">
        <f>IF(medidas!166:166,"AAAAADr3+6E=",0)</f>
        <v>0</v>
      </c>
      <c r="FG77" t="e">
        <f>AND(medidas!B166,"AAAAADr3+6I=")</f>
        <v>#VALUE!</v>
      </c>
      <c r="FH77" t="e">
        <f>AND(medidas!C166,"AAAAADr3+6M=")</f>
        <v>#VALUE!</v>
      </c>
      <c r="FI77" t="e">
        <f>AND(medidas!D166,"AAAAADr3+6Q=")</f>
        <v>#VALUE!</v>
      </c>
      <c r="FJ77" t="e">
        <f>AND(medidas!E166,"AAAAADr3+6U=")</f>
        <v>#VALUE!</v>
      </c>
      <c r="FK77" t="e">
        <f>AND(medidas!F166,"AAAAADr3+6Y=")</f>
        <v>#VALUE!</v>
      </c>
      <c r="FL77" t="e">
        <f>AND(medidas!G166,"AAAAADr3+6c=")</f>
        <v>#VALUE!</v>
      </c>
      <c r="FM77" t="e">
        <f>AND(medidas!H166,"AAAAADr3+6g=")</f>
        <v>#VALUE!</v>
      </c>
      <c r="FN77" t="e">
        <f>AND(medidas!I166,"AAAAADr3+6k=")</f>
        <v>#VALUE!</v>
      </c>
      <c r="FO77" t="e">
        <f>AND(medidas!J166,"AAAAADr3+6o=")</f>
        <v>#VALUE!</v>
      </c>
      <c r="FP77" t="e">
        <f>AND(medidas!K166,"AAAAADr3+6s=")</f>
        <v>#VALUE!</v>
      </c>
      <c r="FQ77" t="e">
        <f>AND(medidas!L166,"AAAAADr3+6w=")</f>
        <v>#VALUE!</v>
      </c>
      <c r="FR77" t="e">
        <f>AND(medidas!M166,"AAAAADr3+60=")</f>
        <v>#VALUE!</v>
      </c>
      <c r="FS77" t="e">
        <f>AND(medidas!N166,"AAAAADr3+64=")</f>
        <v>#VALUE!</v>
      </c>
      <c r="FT77" t="e">
        <f>AND(medidas!O166,"AAAAADr3+68=")</f>
        <v>#VALUE!</v>
      </c>
      <c r="FU77" t="e">
        <f>AND(medidas!P166,"AAAAADr3+7A=")</f>
        <v>#VALUE!</v>
      </c>
      <c r="FV77" t="e">
        <f>AND(medidas!Q166,"AAAAADr3+7E=")</f>
        <v>#VALUE!</v>
      </c>
      <c r="FW77" t="e">
        <f>AND(medidas!R166,"AAAAADr3+7I=")</f>
        <v>#VALUE!</v>
      </c>
      <c r="FX77" t="e">
        <f>AND(medidas!S166,"AAAAADr3+7M=")</f>
        <v>#VALUE!</v>
      </c>
      <c r="FY77" t="e">
        <f>AND(medidas!T166,"AAAAADr3+7Q=")</f>
        <v>#VALUE!</v>
      </c>
      <c r="FZ77" t="e">
        <f>AND(medidas!U166,"AAAAADr3+7U=")</f>
        <v>#VALUE!</v>
      </c>
      <c r="GA77" t="e">
        <f>AND(medidas!V166,"AAAAADr3+7Y=")</f>
        <v>#VALUE!</v>
      </c>
      <c r="GB77" t="e">
        <f>AND(medidas!W166,"AAAAADr3+7c=")</f>
        <v>#VALUE!</v>
      </c>
      <c r="GC77" t="e">
        <f>AND(medidas!X166,"AAAAADr3+7g=")</f>
        <v>#VALUE!</v>
      </c>
      <c r="GD77" t="e">
        <f>AND(medidas!Y166,"AAAAADr3+7k=")</f>
        <v>#VALUE!</v>
      </c>
      <c r="GE77" t="e">
        <f>AND(medidas!Z166,"AAAAADr3+7o=")</f>
        <v>#VALUE!</v>
      </c>
      <c r="GF77" t="e">
        <f>AND(medidas!AA166,"AAAAADr3+7s=")</f>
        <v>#VALUE!</v>
      </c>
      <c r="GG77" t="e">
        <f>AND(medidas!AB166,"AAAAADr3+7w=")</f>
        <v>#VALUE!</v>
      </c>
      <c r="GH77" t="e">
        <f>AND(medidas!AC166,"AAAAADr3+70=")</f>
        <v>#VALUE!</v>
      </c>
      <c r="GI77" t="e">
        <f>AND(medidas!AD166,"AAAAADr3+74=")</f>
        <v>#VALUE!</v>
      </c>
      <c r="GJ77" t="e">
        <f>AND(medidas!AE166,"AAAAADr3+78=")</f>
        <v>#VALUE!</v>
      </c>
      <c r="GK77" t="e">
        <f>AND(medidas!AF166,"AAAAADr3+8A=")</f>
        <v>#VALUE!</v>
      </c>
      <c r="GL77" t="e">
        <f>AND(medidas!AG166,"AAAAADr3+8E=")</f>
        <v>#VALUE!</v>
      </c>
      <c r="GM77" t="e">
        <f>AND(medidas!AH166,"AAAAADr3+8I=")</f>
        <v>#VALUE!</v>
      </c>
      <c r="GN77" t="e">
        <f>AND(medidas!AI166,"AAAAADr3+8M=")</f>
        <v>#VALUE!</v>
      </c>
      <c r="GO77" t="e">
        <f>AND(medidas!AJ166,"AAAAADr3+8Q=")</f>
        <v>#VALUE!</v>
      </c>
      <c r="GP77" t="e">
        <f>AND(medidas!AK166,"AAAAADr3+8U=")</f>
        <v>#VALUE!</v>
      </c>
      <c r="GQ77" t="e">
        <f>AND(medidas!AL166,"AAAAADr3+8Y=")</f>
        <v>#VALUE!</v>
      </c>
      <c r="GR77" t="e">
        <f>AND(medidas!AM166,"AAAAADr3+8c=")</f>
        <v>#VALUE!</v>
      </c>
      <c r="GS77" t="e">
        <f>AND(medidas!AN166,"AAAAADr3+8g=")</f>
        <v>#VALUE!</v>
      </c>
      <c r="GT77" t="e">
        <f>AND(medidas!AO166,"AAAAADr3+8k=")</f>
        <v>#VALUE!</v>
      </c>
      <c r="GU77" t="e">
        <f>AND(medidas!AP166,"AAAAADr3+8o=")</f>
        <v>#VALUE!</v>
      </c>
      <c r="GV77" t="e">
        <f>AND(medidas!AQ166,"AAAAADr3+8s=")</f>
        <v>#VALUE!</v>
      </c>
      <c r="GW77" t="e">
        <f>AND(medidas!AR166,"AAAAADr3+8w=")</f>
        <v>#VALUE!</v>
      </c>
      <c r="GX77" t="e">
        <f>AND(medidas!AS166,"AAAAADr3+80=")</f>
        <v>#VALUE!</v>
      </c>
      <c r="GY77" t="e">
        <f>AND(medidas!AT166,"AAAAADr3+84=")</f>
        <v>#VALUE!</v>
      </c>
      <c r="GZ77" t="e">
        <f>AND(medidas!AU166,"AAAAADr3+88=")</f>
        <v>#VALUE!</v>
      </c>
      <c r="HA77" t="e">
        <f>AND(medidas!AV166,"AAAAADr3+9A=")</f>
        <v>#VALUE!</v>
      </c>
      <c r="HB77" t="e">
        <f>AND(medidas!AW166,"AAAAADr3+9E=")</f>
        <v>#VALUE!</v>
      </c>
      <c r="HC77" t="e">
        <f>AND(medidas!AX166,"AAAAADr3+9I=")</f>
        <v>#VALUE!</v>
      </c>
      <c r="HD77" t="e">
        <f>AND(medidas!AY166,"AAAAADr3+9M=")</f>
        <v>#VALUE!</v>
      </c>
      <c r="HE77" t="e">
        <f>AND(medidas!AZ166,"AAAAADr3+9Q=")</f>
        <v>#VALUE!</v>
      </c>
      <c r="HF77" t="e">
        <f>AND(medidas!BA166,"AAAAADr3+9U=")</f>
        <v>#VALUE!</v>
      </c>
      <c r="HG77" t="e">
        <f>AND(medidas!BB166,"AAAAADr3+9Y=")</f>
        <v>#VALUE!</v>
      </c>
      <c r="HH77" t="e">
        <f>AND(medidas!BC166,"AAAAADr3+9c=")</f>
        <v>#VALUE!</v>
      </c>
      <c r="HI77" t="e">
        <f>AND(medidas!BD166,"AAAAADr3+9g=")</f>
        <v>#VALUE!</v>
      </c>
      <c r="HJ77" t="e">
        <f>AND(medidas!BE166,"AAAAADr3+9k=")</f>
        <v>#VALUE!</v>
      </c>
      <c r="HK77" t="e">
        <f>AND(medidas!BF166,"AAAAADr3+9o=")</f>
        <v>#VALUE!</v>
      </c>
      <c r="HL77" t="e">
        <f>AND(medidas!BG166,"AAAAADr3+9s=")</f>
        <v>#VALUE!</v>
      </c>
      <c r="HM77" t="e">
        <f>AND(medidas!BH166,"AAAAADr3+9w=")</f>
        <v>#VALUE!</v>
      </c>
      <c r="HN77" t="e">
        <f>AND(medidas!BI166,"AAAAADr3+90=")</f>
        <v>#VALUE!</v>
      </c>
      <c r="HO77" t="e">
        <f>AND(medidas!BJ166,"AAAAADr3+94=")</f>
        <v>#VALUE!</v>
      </c>
      <c r="HP77" t="e">
        <f>AND(medidas!BK166,"AAAAADr3+98=")</f>
        <v>#VALUE!</v>
      </c>
      <c r="HQ77" t="e">
        <f>AND(medidas!BL166,"AAAAADr3++A=")</f>
        <v>#VALUE!</v>
      </c>
      <c r="HR77" t="e">
        <f>AND(medidas!BM166,"AAAAADr3++E=")</f>
        <v>#VALUE!</v>
      </c>
      <c r="HS77" t="e">
        <f>AND(medidas!BN166,"AAAAADr3++I=")</f>
        <v>#VALUE!</v>
      </c>
      <c r="HT77" t="e">
        <f>AND(medidas!BO166,"AAAAADr3++M=")</f>
        <v>#VALUE!</v>
      </c>
      <c r="HU77" t="e">
        <f>AND(medidas!BP166,"AAAAADr3++Q=")</f>
        <v>#VALUE!</v>
      </c>
      <c r="HV77" t="e">
        <f>AND(medidas!BQ166,"AAAAADr3++U=")</f>
        <v>#VALUE!</v>
      </c>
      <c r="HW77" t="e">
        <f>AND(medidas!BR166,"AAAAADr3++Y=")</f>
        <v>#VALUE!</v>
      </c>
      <c r="HX77" t="e">
        <f>AND(medidas!BS166,"AAAAADr3++c=")</f>
        <v>#VALUE!</v>
      </c>
      <c r="HY77" t="e">
        <f>AND(medidas!BT166,"AAAAADr3++g=")</f>
        <v>#VALUE!</v>
      </c>
      <c r="HZ77" t="e">
        <f>AND(medidas!BU166,"AAAAADr3++k=")</f>
        <v>#VALUE!</v>
      </c>
      <c r="IA77" t="e">
        <f>AND(medidas!BV166,"AAAAADr3++o=")</f>
        <v>#VALUE!</v>
      </c>
      <c r="IB77" t="e">
        <f>AND(medidas!BW166,"AAAAADr3++s=")</f>
        <v>#VALUE!</v>
      </c>
      <c r="IC77" t="e">
        <f>AND(medidas!BX166,"AAAAADr3++w=")</f>
        <v>#VALUE!</v>
      </c>
      <c r="ID77" t="e">
        <f>AND(medidas!BY166,"AAAAADr3++0=")</f>
        <v>#VALUE!</v>
      </c>
      <c r="IE77">
        <f>IF(medidas!167:167,"AAAAADr3++4=",0)</f>
        <v>0</v>
      </c>
      <c r="IF77" t="e">
        <f>AND(medidas!B167,"AAAAADr3++8=")</f>
        <v>#VALUE!</v>
      </c>
      <c r="IG77" t="e">
        <f>AND(medidas!C167,"AAAAADr3+/A=")</f>
        <v>#VALUE!</v>
      </c>
      <c r="IH77" t="e">
        <f>AND(medidas!D167,"AAAAADr3+/E=")</f>
        <v>#VALUE!</v>
      </c>
      <c r="II77" t="e">
        <f>AND(medidas!E167,"AAAAADr3+/I=")</f>
        <v>#VALUE!</v>
      </c>
      <c r="IJ77" t="e">
        <f>AND(medidas!F167,"AAAAADr3+/M=")</f>
        <v>#VALUE!</v>
      </c>
      <c r="IK77" t="e">
        <f>AND(medidas!G167,"AAAAADr3+/Q=")</f>
        <v>#VALUE!</v>
      </c>
      <c r="IL77" t="e">
        <f>AND(medidas!H167,"AAAAADr3+/U=")</f>
        <v>#VALUE!</v>
      </c>
      <c r="IM77" t="e">
        <f>AND(medidas!I167,"AAAAADr3+/Y=")</f>
        <v>#VALUE!</v>
      </c>
      <c r="IN77" t="e">
        <f>AND(medidas!J167,"AAAAADr3+/c=")</f>
        <v>#VALUE!</v>
      </c>
      <c r="IO77" t="e">
        <f>AND(medidas!K167,"AAAAADr3+/g=")</f>
        <v>#VALUE!</v>
      </c>
      <c r="IP77" t="e">
        <f>AND(medidas!L167,"AAAAADr3+/k=")</f>
        <v>#VALUE!</v>
      </c>
      <c r="IQ77" t="e">
        <f>AND(medidas!M167,"AAAAADr3+/o=")</f>
        <v>#VALUE!</v>
      </c>
      <c r="IR77" t="e">
        <f>AND(medidas!N167,"AAAAADr3+/s=")</f>
        <v>#VALUE!</v>
      </c>
      <c r="IS77" t="e">
        <f>AND(medidas!O167,"AAAAADr3+/w=")</f>
        <v>#VALUE!</v>
      </c>
      <c r="IT77" t="e">
        <f>AND(medidas!P167,"AAAAADr3+/0=")</f>
        <v>#VALUE!</v>
      </c>
      <c r="IU77" t="e">
        <f>AND(medidas!Q167,"AAAAADr3+/4=")</f>
        <v>#VALUE!</v>
      </c>
      <c r="IV77" t="e">
        <f>AND(medidas!R167,"AAAAADr3+/8=")</f>
        <v>#VALUE!</v>
      </c>
    </row>
    <row r="78" spans="1:256" x14ac:dyDescent="0.2">
      <c r="A78" t="e">
        <f>AND(medidas!S167,"AAAAACO/2wA=")</f>
        <v>#VALUE!</v>
      </c>
      <c r="B78" t="e">
        <f>AND(medidas!T167,"AAAAACO/2wE=")</f>
        <v>#VALUE!</v>
      </c>
      <c r="C78" t="e">
        <f>AND(medidas!U167,"AAAAACO/2wI=")</f>
        <v>#VALUE!</v>
      </c>
      <c r="D78" t="e">
        <f>AND(medidas!V167,"AAAAACO/2wM=")</f>
        <v>#VALUE!</v>
      </c>
      <c r="E78" t="e">
        <f>AND(medidas!W167,"AAAAACO/2wQ=")</f>
        <v>#VALUE!</v>
      </c>
      <c r="F78" t="e">
        <f>AND(medidas!X167,"AAAAACO/2wU=")</f>
        <v>#VALUE!</v>
      </c>
      <c r="G78" t="e">
        <f>AND(medidas!Y167,"AAAAACO/2wY=")</f>
        <v>#VALUE!</v>
      </c>
      <c r="H78" t="e">
        <f>AND(medidas!Z167,"AAAAACO/2wc=")</f>
        <v>#VALUE!</v>
      </c>
      <c r="I78" t="e">
        <f>AND(medidas!AA167,"AAAAACO/2wg=")</f>
        <v>#VALUE!</v>
      </c>
      <c r="J78" t="e">
        <f>AND(medidas!AB167,"AAAAACO/2wk=")</f>
        <v>#VALUE!</v>
      </c>
      <c r="K78" t="e">
        <f>AND(medidas!AC167,"AAAAACO/2wo=")</f>
        <v>#VALUE!</v>
      </c>
      <c r="L78" t="e">
        <f>AND(medidas!AD167,"AAAAACO/2ws=")</f>
        <v>#VALUE!</v>
      </c>
      <c r="M78" t="e">
        <f>AND(medidas!AE167,"AAAAACO/2ww=")</f>
        <v>#VALUE!</v>
      </c>
      <c r="N78" t="e">
        <f>AND(medidas!AF167,"AAAAACO/2w0=")</f>
        <v>#VALUE!</v>
      </c>
      <c r="O78" t="e">
        <f>AND(medidas!AG167,"AAAAACO/2w4=")</f>
        <v>#VALUE!</v>
      </c>
      <c r="P78" t="e">
        <f>AND(medidas!AH167,"AAAAACO/2w8=")</f>
        <v>#VALUE!</v>
      </c>
      <c r="Q78" t="e">
        <f>AND(medidas!AI167,"AAAAACO/2xA=")</f>
        <v>#VALUE!</v>
      </c>
      <c r="R78" t="e">
        <f>AND(medidas!AJ167,"AAAAACO/2xE=")</f>
        <v>#VALUE!</v>
      </c>
      <c r="S78" t="e">
        <f>AND(medidas!AK167,"AAAAACO/2xI=")</f>
        <v>#VALUE!</v>
      </c>
      <c r="T78" t="e">
        <f>AND(medidas!AL167,"AAAAACO/2xM=")</f>
        <v>#VALUE!</v>
      </c>
      <c r="U78" t="e">
        <f>AND(medidas!AM167,"AAAAACO/2xQ=")</f>
        <v>#VALUE!</v>
      </c>
      <c r="V78" t="e">
        <f>AND(medidas!AN167,"AAAAACO/2xU=")</f>
        <v>#VALUE!</v>
      </c>
      <c r="W78" t="e">
        <f>AND(medidas!AO167,"AAAAACO/2xY=")</f>
        <v>#VALUE!</v>
      </c>
      <c r="X78" t="e">
        <f>AND(medidas!AP167,"AAAAACO/2xc=")</f>
        <v>#VALUE!</v>
      </c>
      <c r="Y78" t="e">
        <f>AND(medidas!AQ167,"AAAAACO/2xg=")</f>
        <v>#VALUE!</v>
      </c>
      <c r="Z78" t="e">
        <f>AND(medidas!AR167,"AAAAACO/2xk=")</f>
        <v>#VALUE!</v>
      </c>
      <c r="AA78" t="e">
        <f>AND(medidas!AS167,"AAAAACO/2xo=")</f>
        <v>#VALUE!</v>
      </c>
      <c r="AB78" t="e">
        <f>AND(medidas!AT167,"AAAAACO/2xs=")</f>
        <v>#VALUE!</v>
      </c>
      <c r="AC78" t="e">
        <f>AND(medidas!AU167,"AAAAACO/2xw=")</f>
        <v>#VALUE!</v>
      </c>
      <c r="AD78" t="e">
        <f>AND(medidas!AV167,"AAAAACO/2x0=")</f>
        <v>#VALUE!</v>
      </c>
      <c r="AE78" t="e">
        <f>AND(medidas!AW167,"AAAAACO/2x4=")</f>
        <v>#VALUE!</v>
      </c>
      <c r="AF78" t="e">
        <f>AND(medidas!AX167,"AAAAACO/2x8=")</f>
        <v>#VALUE!</v>
      </c>
      <c r="AG78" t="e">
        <f>AND(medidas!AY167,"AAAAACO/2yA=")</f>
        <v>#VALUE!</v>
      </c>
      <c r="AH78" t="e">
        <f>AND(medidas!AZ167,"AAAAACO/2yE=")</f>
        <v>#VALUE!</v>
      </c>
      <c r="AI78" t="e">
        <f>AND(medidas!BA167,"AAAAACO/2yI=")</f>
        <v>#VALUE!</v>
      </c>
      <c r="AJ78" t="e">
        <f>AND(medidas!BB167,"AAAAACO/2yM=")</f>
        <v>#VALUE!</v>
      </c>
      <c r="AK78" t="e">
        <f>AND(medidas!BC167,"AAAAACO/2yQ=")</f>
        <v>#VALUE!</v>
      </c>
      <c r="AL78" t="e">
        <f>AND(medidas!BD167,"AAAAACO/2yU=")</f>
        <v>#VALUE!</v>
      </c>
      <c r="AM78" t="e">
        <f>AND(medidas!BE167,"AAAAACO/2yY=")</f>
        <v>#VALUE!</v>
      </c>
      <c r="AN78" t="e">
        <f>AND(medidas!BF167,"AAAAACO/2yc=")</f>
        <v>#VALUE!</v>
      </c>
      <c r="AO78" t="e">
        <f>AND(medidas!BG167,"AAAAACO/2yg=")</f>
        <v>#VALUE!</v>
      </c>
      <c r="AP78" t="e">
        <f>AND(medidas!BH167,"AAAAACO/2yk=")</f>
        <v>#VALUE!</v>
      </c>
      <c r="AQ78" t="e">
        <f>AND(medidas!BI167,"AAAAACO/2yo=")</f>
        <v>#VALUE!</v>
      </c>
      <c r="AR78" t="e">
        <f>AND(medidas!BJ167,"AAAAACO/2ys=")</f>
        <v>#VALUE!</v>
      </c>
      <c r="AS78" t="e">
        <f>AND(medidas!BK167,"AAAAACO/2yw=")</f>
        <v>#VALUE!</v>
      </c>
      <c r="AT78" t="e">
        <f>AND(medidas!BL167,"AAAAACO/2y0=")</f>
        <v>#VALUE!</v>
      </c>
      <c r="AU78" t="e">
        <f>AND(medidas!BM167,"AAAAACO/2y4=")</f>
        <v>#VALUE!</v>
      </c>
      <c r="AV78" t="e">
        <f>AND(medidas!BN167,"AAAAACO/2y8=")</f>
        <v>#VALUE!</v>
      </c>
      <c r="AW78" t="e">
        <f>AND(medidas!BO167,"AAAAACO/2zA=")</f>
        <v>#VALUE!</v>
      </c>
      <c r="AX78" t="e">
        <f>AND(medidas!BP167,"AAAAACO/2zE=")</f>
        <v>#VALUE!</v>
      </c>
      <c r="AY78" t="e">
        <f>AND(medidas!BQ167,"AAAAACO/2zI=")</f>
        <v>#VALUE!</v>
      </c>
      <c r="AZ78" t="e">
        <f>AND(medidas!BR167,"AAAAACO/2zM=")</f>
        <v>#VALUE!</v>
      </c>
      <c r="BA78" t="e">
        <f>AND(medidas!BS167,"AAAAACO/2zQ=")</f>
        <v>#VALUE!</v>
      </c>
      <c r="BB78" t="e">
        <f>AND(medidas!BT167,"AAAAACO/2zU=")</f>
        <v>#VALUE!</v>
      </c>
      <c r="BC78" t="e">
        <f>AND(medidas!BU167,"AAAAACO/2zY=")</f>
        <v>#VALUE!</v>
      </c>
      <c r="BD78" t="e">
        <f>AND(medidas!BV167,"AAAAACO/2zc=")</f>
        <v>#VALUE!</v>
      </c>
      <c r="BE78" t="e">
        <f>AND(medidas!BW167,"AAAAACO/2zg=")</f>
        <v>#VALUE!</v>
      </c>
      <c r="BF78" t="e">
        <f>AND(medidas!BX167,"AAAAACO/2zk=")</f>
        <v>#VALUE!</v>
      </c>
      <c r="BG78" t="e">
        <f>AND(medidas!BY167,"AAAAACO/2zo=")</f>
        <v>#VALUE!</v>
      </c>
      <c r="BH78">
        <f>IF(medidas!168:168,"AAAAACO/2zs=",0)</f>
        <v>0</v>
      </c>
      <c r="BI78" t="e">
        <f>AND(medidas!B168,"AAAAACO/2zw=")</f>
        <v>#VALUE!</v>
      </c>
      <c r="BJ78" t="e">
        <f>AND(medidas!C168,"AAAAACO/2z0=")</f>
        <v>#VALUE!</v>
      </c>
      <c r="BK78" t="e">
        <f>AND(medidas!D168,"AAAAACO/2z4=")</f>
        <v>#VALUE!</v>
      </c>
      <c r="BL78" t="e">
        <f>AND(medidas!E168,"AAAAACO/2z8=")</f>
        <v>#VALUE!</v>
      </c>
      <c r="BM78" t="e">
        <f>AND(medidas!F168,"AAAAACO/20A=")</f>
        <v>#VALUE!</v>
      </c>
      <c r="BN78" t="e">
        <f>AND(medidas!G168,"AAAAACO/20E=")</f>
        <v>#VALUE!</v>
      </c>
      <c r="BO78" t="e">
        <f>AND(medidas!H168,"AAAAACO/20I=")</f>
        <v>#VALUE!</v>
      </c>
      <c r="BP78" t="e">
        <f>AND(medidas!I168,"AAAAACO/20M=")</f>
        <v>#VALUE!</v>
      </c>
      <c r="BQ78" t="e">
        <f>AND(medidas!J168,"AAAAACO/20Q=")</f>
        <v>#VALUE!</v>
      </c>
      <c r="BR78" t="e">
        <f>AND(medidas!K168,"AAAAACO/20U=")</f>
        <v>#VALUE!</v>
      </c>
      <c r="BS78" t="e">
        <f>AND(medidas!L168,"AAAAACO/20Y=")</f>
        <v>#VALUE!</v>
      </c>
      <c r="BT78" t="e">
        <f>AND(medidas!M168,"AAAAACO/20c=")</f>
        <v>#VALUE!</v>
      </c>
      <c r="BU78" t="e">
        <f>AND(medidas!N168,"AAAAACO/20g=")</f>
        <v>#VALUE!</v>
      </c>
      <c r="BV78" t="e">
        <f>AND(medidas!O168,"AAAAACO/20k=")</f>
        <v>#VALUE!</v>
      </c>
      <c r="BW78" t="e">
        <f>AND(medidas!P168,"AAAAACO/20o=")</f>
        <v>#VALUE!</v>
      </c>
      <c r="BX78" t="e">
        <f>AND(medidas!Q168,"AAAAACO/20s=")</f>
        <v>#VALUE!</v>
      </c>
      <c r="BY78" t="e">
        <f>AND(medidas!R168,"AAAAACO/20w=")</f>
        <v>#VALUE!</v>
      </c>
      <c r="BZ78" t="e">
        <f>AND(medidas!S168,"AAAAACO/200=")</f>
        <v>#VALUE!</v>
      </c>
      <c r="CA78" t="e">
        <f>AND(medidas!T168,"AAAAACO/204=")</f>
        <v>#VALUE!</v>
      </c>
      <c r="CB78" t="e">
        <f>AND(medidas!U168,"AAAAACO/208=")</f>
        <v>#VALUE!</v>
      </c>
      <c r="CC78" t="e">
        <f>AND(medidas!V168,"AAAAACO/21A=")</f>
        <v>#VALUE!</v>
      </c>
      <c r="CD78" t="e">
        <f>AND(medidas!W168,"AAAAACO/21E=")</f>
        <v>#VALUE!</v>
      </c>
      <c r="CE78" t="e">
        <f>AND(medidas!X168,"AAAAACO/21I=")</f>
        <v>#VALUE!</v>
      </c>
      <c r="CF78" t="e">
        <f>AND(medidas!Y168,"AAAAACO/21M=")</f>
        <v>#VALUE!</v>
      </c>
      <c r="CG78" t="e">
        <f>AND(medidas!Z168,"AAAAACO/21Q=")</f>
        <v>#VALUE!</v>
      </c>
      <c r="CH78" t="e">
        <f>AND(medidas!AA168,"AAAAACO/21U=")</f>
        <v>#VALUE!</v>
      </c>
      <c r="CI78" t="e">
        <f>AND(medidas!AB168,"AAAAACO/21Y=")</f>
        <v>#VALUE!</v>
      </c>
      <c r="CJ78" t="e">
        <f>AND(medidas!AC168,"AAAAACO/21c=")</f>
        <v>#VALUE!</v>
      </c>
      <c r="CK78" t="e">
        <f>AND(medidas!AD168,"AAAAACO/21g=")</f>
        <v>#VALUE!</v>
      </c>
      <c r="CL78" t="e">
        <f>AND(medidas!AE168,"AAAAACO/21k=")</f>
        <v>#VALUE!</v>
      </c>
      <c r="CM78" t="e">
        <f>AND(medidas!AF168,"AAAAACO/21o=")</f>
        <v>#VALUE!</v>
      </c>
      <c r="CN78" t="e">
        <f>AND(medidas!AG168,"AAAAACO/21s=")</f>
        <v>#VALUE!</v>
      </c>
      <c r="CO78" t="e">
        <f>AND(medidas!AH168,"AAAAACO/21w=")</f>
        <v>#VALUE!</v>
      </c>
      <c r="CP78" t="e">
        <f>AND(medidas!AI168,"AAAAACO/210=")</f>
        <v>#VALUE!</v>
      </c>
      <c r="CQ78" t="e">
        <f>AND(medidas!AJ168,"AAAAACO/214=")</f>
        <v>#VALUE!</v>
      </c>
      <c r="CR78" t="e">
        <f>AND(medidas!AK168,"AAAAACO/218=")</f>
        <v>#VALUE!</v>
      </c>
      <c r="CS78" t="e">
        <f>AND(medidas!AL168,"AAAAACO/22A=")</f>
        <v>#VALUE!</v>
      </c>
      <c r="CT78" t="e">
        <f>AND(medidas!AM168,"AAAAACO/22E=")</f>
        <v>#VALUE!</v>
      </c>
      <c r="CU78" t="e">
        <f>AND(medidas!AN168,"AAAAACO/22I=")</f>
        <v>#VALUE!</v>
      </c>
      <c r="CV78" t="e">
        <f>AND(medidas!AO168,"AAAAACO/22M=")</f>
        <v>#VALUE!</v>
      </c>
      <c r="CW78" t="e">
        <f>AND(medidas!AP168,"AAAAACO/22Q=")</f>
        <v>#VALUE!</v>
      </c>
      <c r="CX78" t="e">
        <f>AND(medidas!AQ168,"AAAAACO/22U=")</f>
        <v>#VALUE!</v>
      </c>
      <c r="CY78" t="e">
        <f>AND(medidas!AR168,"AAAAACO/22Y=")</f>
        <v>#VALUE!</v>
      </c>
      <c r="CZ78" t="e">
        <f>AND(medidas!AS168,"AAAAACO/22c=")</f>
        <v>#VALUE!</v>
      </c>
      <c r="DA78" t="e">
        <f>AND(medidas!AT168,"AAAAACO/22g=")</f>
        <v>#VALUE!</v>
      </c>
      <c r="DB78" t="e">
        <f>AND(medidas!AU168,"AAAAACO/22k=")</f>
        <v>#VALUE!</v>
      </c>
      <c r="DC78" t="e">
        <f>AND(medidas!AV168,"AAAAACO/22o=")</f>
        <v>#VALUE!</v>
      </c>
      <c r="DD78" t="e">
        <f>AND(medidas!AW168,"AAAAACO/22s=")</f>
        <v>#VALUE!</v>
      </c>
      <c r="DE78" t="e">
        <f>AND(medidas!AX168,"AAAAACO/22w=")</f>
        <v>#VALUE!</v>
      </c>
      <c r="DF78" t="e">
        <f>AND(medidas!AY168,"AAAAACO/220=")</f>
        <v>#VALUE!</v>
      </c>
      <c r="DG78" t="e">
        <f>AND(medidas!AZ168,"AAAAACO/224=")</f>
        <v>#VALUE!</v>
      </c>
      <c r="DH78" t="e">
        <f>AND(medidas!BA168,"AAAAACO/228=")</f>
        <v>#VALUE!</v>
      </c>
      <c r="DI78" t="e">
        <f>AND(medidas!BB168,"AAAAACO/23A=")</f>
        <v>#VALUE!</v>
      </c>
      <c r="DJ78" t="e">
        <f>AND(medidas!BC168,"AAAAACO/23E=")</f>
        <v>#VALUE!</v>
      </c>
      <c r="DK78" t="e">
        <f>AND(medidas!BD168,"AAAAACO/23I=")</f>
        <v>#VALUE!</v>
      </c>
      <c r="DL78" t="e">
        <f>AND(medidas!BE168,"AAAAACO/23M=")</f>
        <v>#VALUE!</v>
      </c>
      <c r="DM78" t="e">
        <f>AND(medidas!BF168,"AAAAACO/23Q=")</f>
        <v>#VALUE!</v>
      </c>
      <c r="DN78" t="e">
        <f>AND(medidas!BG168,"AAAAACO/23U=")</f>
        <v>#VALUE!</v>
      </c>
      <c r="DO78" t="e">
        <f>AND(medidas!BH168,"AAAAACO/23Y=")</f>
        <v>#VALUE!</v>
      </c>
      <c r="DP78" t="e">
        <f>AND(medidas!BI168,"AAAAACO/23c=")</f>
        <v>#VALUE!</v>
      </c>
      <c r="DQ78" t="e">
        <f>AND(medidas!BJ168,"AAAAACO/23g=")</f>
        <v>#VALUE!</v>
      </c>
      <c r="DR78" t="e">
        <f>AND(medidas!BK168,"AAAAACO/23k=")</f>
        <v>#VALUE!</v>
      </c>
      <c r="DS78" t="e">
        <f>AND(medidas!BL168,"AAAAACO/23o=")</f>
        <v>#VALUE!</v>
      </c>
      <c r="DT78" t="e">
        <f>AND(medidas!BM168,"AAAAACO/23s=")</f>
        <v>#VALUE!</v>
      </c>
      <c r="DU78" t="e">
        <f>AND(medidas!BN168,"AAAAACO/23w=")</f>
        <v>#VALUE!</v>
      </c>
      <c r="DV78" t="e">
        <f>AND(medidas!BO168,"AAAAACO/230=")</f>
        <v>#VALUE!</v>
      </c>
      <c r="DW78" t="e">
        <f>AND(medidas!BP168,"AAAAACO/234=")</f>
        <v>#VALUE!</v>
      </c>
      <c r="DX78" t="e">
        <f>AND(medidas!BQ168,"AAAAACO/238=")</f>
        <v>#VALUE!</v>
      </c>
      <c r="DY78" t="e">
        <f>AND(medidas!BR168,"AAAAACO/24A=")</f>
        <v>#VALUE!</v>
      </c>
      <c r="DZ78" t="e">
        <f>AND(medidas!BS168,"AAAAACO/24E=")</f>
        <v>#VALUE!</v>
      </c>
      <c r="EA78" t="e">
        <f>AND(medidas!BT168,"AAAAACO/24I=")</f>
        <v>#VALUE!</v>
      </c>
      <c r="EB78" t="e">
        <f>AND(medidas!BU168,"AAAAACO/24M=")</f>
        <v>#VALUE!</v>
      </c>
      <c r="EC78" t="e">
        <f>AND(medidas!BV168,"AAAAACO/24Q=")</f>
        <v>#VALUE!</v>
      </c>
      <c r="ED78" t="e">
        <f>AND(medidas!BW168,"AAAAACO/24U=")</f>
        <v>#VALUE!</v>
      </c>
      <c r="EE78" t="e">
        <f>AND(medidas!BX168,"AAAAACO/24Y=")</f>
        <v>#VALUE!</v>
      </c>
      <c r="EF78" t="e">
        <f>AND(medidas!BY168,"AAAAACO/24c=")</f>
        <v>#VALUE!</v>
      </c>
      <c r="EG78">
        <f>IF(medidas!169:169,"AAAAACO/24g=",0)</f>
        <v>0</v>
      </c>
      <c r="EH78" t="e">
        <f>AND(medidas!B169,"AAAAACO/24k=")</f>
        <v>#VALUE!</v>
      </c>
      <c r="EI78" t="e">
        <f>AND(medidas!C169,"AAAAACO/24o=")</f>
        <v>#VALUE!</v>
      </c>
      <c r="EJ78" t="e">
        <f>AND(medidas!D169,"AAAAACO/24s=")</f>
        <v>#VALUE!</v>
      </c>
      <c r="EK78" t="e">
        <f>AND(medidas!E169,"AAAAACO/24w=")</f>
        <v>#VALUE!</v>
      </c>
      <c r="EL78" t="e">
        <f>AND(medidas!F169,"AAAAACO/240=")</f>
        <v>#VALUE!</v>
      </c>
      <c r="EM78" t="e">
        <f>AND(medidas!G169,"AAAAACO/244=")</f>
        <v>#VALUE!</v>
      </c>
      <c r="EN78" t="e">
        <f>AND(medidas!H169,"AAAAACO/248=")</f>
        <v>#VALUE!</v>
      </c>
      <c r="EO78" t="e">
        <f>AND(medidas!I169,"AAAAACO/25A=")</f>
        <v>#VALUE!</v>
      </c>
      <c r="EP78" t="e">
        <f>AND(medidas!J169,"AAAAACO/25E=")</f>
        <v>#VALUE!</v>
      </c>
      <c r="EQ78" t="e">
        <f>AND(medidas!K169,"AAAAACO/25I=")</f>
        <v>#VALUE!</v>
      </c>
      <c r="ER78" t="e">
        <f>AND(medidas!L169,"AAAAACO/25M=")</f>
        <v>#VALUE!</v>
      </c>
      <c r="ES78" t="e">
        <f>AND(medidas!M169,"AAAAACO/25Q=")</f>
        <v>#VALUE!</v>
      </c>
      <c r="ET78" t="e">
        <f>AND(medidas!N169,"AAAAACO/25U=")</f>
        <v>#VALUE!</v>
      </c>
      <c r="EU78" t="e">
        <f>AND(medidas!O169,"AAAAACO/25Y=")</f>
        <v>#VALUE!</v>
      </c>
      <c r="EV78" t="e">
        <f>AND(medidas!P169,"AAAAACO/25c=")</f>
        <v>#VALUE!</v>
      </c>
      <c r="EW78" t="e">
        <f>AND(medidas!Q169,"AAAAACO/25g=")</f>
        <v>#VALUE!</v>
      </c>
      <c r="EX78" t="e">
        <f>AND(medidas!R169,"AAAAACO/25k=")</f>
        <v>#VALUE!</v>
      </c>
      <c r="EY78" t="e">
        <f>AND(medidas!S169,"AAAAACO/25o=")</f>
        <v>#VALUE!</v>
      </c>
      <c r="EZ78" t="e">
        <f>AND(medidas!T169,"AAAAACO/25s=")</f>
        <v>#VALUE!</v>
      </c>
      <c r="FA78" t="e">
        <f>AND(medidas!U169,"AAAAACO/25w=")</f>
        <v>#VALUE!</v>
      </c>
      <c r="FB78" t="e">
        <f>AND(medidas!V169,"AAAAACO/250=")</f>
        <v>#VALUE!</v>
      </c>
      <c r="FC78" t="e">
        <f>AND(medidas!W169,"AAAAACO/254=")</f>
        <v>#VALUE!</v>
      </c>
      <c r="FD78" t="e">
        <f>AND(medidas!X169,"AAAAACO/258=")</f>
        <v>#VALUE!</v>
      </c>
      <c r="FE78" t="e">
        <f>AND(medidas!Y169,"AAAAACO/26A=")</f>
        <v>#VALUE!</v>
      </c>
      <c r="FF78" t="e">
        <f>AND(medidas!Z169,"AAAAACO/26E=")</f>
        <v>#VALUE!</v>
      </c>
      <c r="FG78" t="e">
        <f>AND(medidas!AA169,"AAAAACO/26I=")</f>
        <v>#VALUE!</v>
      </c>
      <c r="FH78" t="e">
        <f>AND(medidas!AB169,"AAAAACO/26M=")</f>
        <v>#VALUE!</v>
      </c>
      <c r="FI78" t="e">
        <f>AND(medidas!AC169,"AAAAACO/26Q=")</f>
        <v>#VALUE!</v>
      </c>
      <c r="FJ78" t="e">
        <f>AND(medidas!AD169,"AAAAACO/26U=")</f>
        <v>#VALUE!</v>
      </c>
      <c r="FK78" t="e">
        <f>AND(medidas!AE169,"AAAAACO/26Y=")</f>
        <v>#VALUE!</v>
      </c>
      <c r="FL78" t="e">
        <f>AND(medidas!AF169,"AAAAACO/26c=")</f>
        <v>#VALUE!</v>
      </c>
      <c r="FM78" t="e">
        <f>AND(medidas!AG169,"AAAAACO/26g=")</f>
        <v>#VALUE!</v>
      </c>
      <c r="FN78" t="e">
        <f>AND(medidas!AH169,"AAAAACO/26k=")</f>
        <v>#VALUE!</v>
      </c>
      <c r="FO78" t="e">
        <f>AND(medidas!AI169,"AAAAACO/26o=")</f>
        <v>#VALUE!</v>
      </c>
      <c r="FP78" t="e">
        <f>AND(medidas!AJ169,"AAAAACO/26s=")</f>
        <v>#VALUE!</v>
      </c>
      <c r="FQ78" t="e">
        <f>AND(medidas!AK169,"AAAAACO/26w=")</f>
        <v>#VALUE!</v>
      </c>
      <c r="FR78" t="e">
        <f>AND(medidas!AL169,"AAAAACO/260=")</f>
        <v>#VALUE!</v>
      </c>
      <c r="FS78" t="e">
        <f>AND(medidas!AM169,"AAAAACO/264=")</f>
        <v>#VALUE!</v>
      </c>
      <c r="FT78" t="e">
        <f>AND(medidas!AN169,"AAAAACO/268=")</f>
        <v>#VALUE!</v>
      </c>
      <c r="FU78" t="e">
        <f>AND(medidas!AO169,"AAAAACO/27A=")</f>
        <v>#VALUE!</v>
      </c>
      <c r="FV78" t="e">
        <f>AND(medidas!AP169,"AAAAACO/27E=")</f>
        <v>#VALUE!</v>
      </c>
      <c r="FW78" t="e">
        <f>AND(medidas!AQ169,"AAAAACO/27I=")</f>
        <v>#VALUE!</v>
      </c>
      <c r="FX78" t="e">
        <f>AND(medidas!AR169,"AAAAACO/27M=")</f>
        <v>#VALUE!</v>
      </c>
      <c r="FY78" t="e">
        <f>AND(medidas!AS169,"AAAAACO/27Q=")</f>
        <v>#VALUE!</v>
      </c>
      <c r="FZ78" t="e">
        <f>AND(medidas!AT169,"AAAAACO/27U=")</f>
        <v>#VALUE!</v>
      </c>
      <c r="GA78" t="e">
        <f>AND(medidas!AU169,"AAAAACO/27Y=")</f>
        <v>#VALUE!</v>
      </c>
      <c r="GB78" t="e">
        <f>AND(medidas!AV169,"AAAAACO/27c=")</f>
        <v>#VALUE!</v>
      </c>
      <c r="GC78" t="e">
        <f>AND(medidas!AW169,"AAAAACO/27g=")</f>
        <v>#VALUE!</v>
      </c>
      <c r="GD78" t="e">
        <f>AND(medidas!AX169,"AAAAACO/27k=")</f>
        <v>#VALUE!</v>
      </c>
      <c r="GE78" t="e">
        <f>AND(medidas!AY169,"AAAAACO/27o=")</f>
        <v>#VALUE!</v>
      </c>
      <c r="GF78" t="e">
        <f>AND(medidas!AZ169,"AAAAACO/27s=")</f>
        <v>#VALUE!</v>
      </c>
      <c r="GG78" t="e">
        <f>AND(medidas!BA169,"AAAAACO/27w=")</f>
        <v>#VALUE!</v>
      </c>
      <c r="GH78" t="e">
        <f>AND(medidas!BB169,"AAAAACO/270=")</f>
        <v>#VALUE!</v>
      </c>
      <c r="GI78" t="e">
        <f>AND(medidas!BC169,"AAAAACO/274=")</f>
        <v>#VALUE!</v>
      </c>
      <c r="GJ78" t="e">
        <f>AND(medidas!BD169,"AAAAACO/278=")</f>
        <v>#VALUE!</v>
      </c>
      <c r="GK78" t="e">
        <f>AND(medidas!BE169,"AAAAACO/28A=")</f>
        <v>#VALUE!</v>
      </c>
      <c r="GL78" t="e">
        <f>AND(medidas!BF169,"AAAAACO/28E=")</f>
        <v>#VALUE!</v>
      </c>
      <c r="GM78" t="e">
        <f>AND(medidas!BG169,"AAAAACO/28I=")</f>
        <v>#VALUE!</v>
      </c>
      <c r="GN78" t="e">
        <f>AND(medidas!BH169,"AAAAACO/28M=")</f>
        <v>#VALUE!</v>
      </c>
      <c r="GO78" t="e">
        <f>AND(medidas!BI169,"AAAAACO/28Q=")</f>
        <v>#VALUE!</v>
      </c>
      <c r="GP78" t="e">
        <f>AND(medidas!BJ169,"AAAAACO/28U=")</f>
        <v>#VALUE!</v>
      </c>
      <c r="GQ78" t="e">
        <f>AND(medidas!BK169,"AAAAACO/28Y=")</f>
        <v>#VALUE!</v>
      </c>
      <c r="GR78" t="e">
        <f>AND(medidas!BL169,"AAAAACO/28c=")</f>
        <v>#VALUE!</v>
      </c>
      <c r="GS78" t="e">
        <f>AND(medidas!BM169,"AAAAACO/28g=")</f>
        <v>#VALUE!</v>
      </c>
      <c r="GT78" t="e">
        <f>AND(medidas!BN169,"AAAAACO/28k=")</f>
        <v>#VALUE!</v>
      </c>
      <c r="GU78" t="e">
        <f>AND(medidas!BO169,"AAAAACO/28o=")</f>
        <v>#VALUE!</v>
      </c>
      <c r="GV78" t="e">
        <f>AND(medidas!BP169,"AAAAACO/28s=")</f>
        <v>#VALUE!</v>
      </c>
      <c r="GW78" t="e">
        <f>AND(medidas!BQ169,"AAAAACO/28w=")</f>
        <v>#VALUE!</v>
      </c>
      <c r="GX78" t="e">
        <f>AND(medidas!BR169,"AAAAACO/280=")</f>
        <v>#VALUE!</v>
      </c>
      <c r="GY78" t="e">
        <f>AND(medidas!BS169,"AAAAACO/284=")</f>
        <v>#VALUE!</v>
      </c>
      <c r="GZ78" t="e">
        <f>AND(medidas!BT169,"AAAAACO/288=")</f>
        <v>#VALUE!</v>
      </c>
      <c r="HA78" t="e">
        <f>AND(medidas!BU169,"AAAAACO/29A=")</f>
        <v>#VALUE!</v>
      </c>
      <c r="HB78" t="e">
        <f>AND(medidas!BV169,"AAAAACO/29E=")</f>
        <v>#VALUE!</v>
      </c>
      <c r="HC78" t="e">
        <f>AND(medidas!BW169,"AAAAACO/29I=")</f>
        <v>#VALUE!</v>
      </c>
      <c r="HD78" t="e">
        <f>AND(medidas!BX169,"AAAAACO/29M=")</f>
        <v>#VALUE!</v>
      </c>
      <c r="HE78" t="e">
        <f>AND(medidas!BY169,"AAAAACO/29Q=")</f>
        <v>#VALUE!</v>
      </c>
      <c r="HF78">
        <f>IF(medidas!170:170,"AAAAACO/29U=",0)</f>
        <v>0</v>
      </c>
      <c r="HG78" t="e">
        <f>AND(medidas!B170,"AAAAACO/29Y=")</f>
        <v>#VALUE!</v>
      </c>
      <c r="HH78" t="e">
        <f>AND(medidas!C170,"AAAAACO/29c=")</f>
        <v>#VALUE!</v>
      </c>
      <c r="HI78" t="e">
        <f>AND(medidas!D170,"AAAAACO/29g=")</f>
        <v>#VALUE!</v>
      </c>
      <c r="HJ78" t="e">
        <f>AND(medidas!E170,"AAAAACO/29k=")</f>
        <v>#VALUE!</v>
      </c>
      <c r="HK78" t="e">
        <f>AND(medidas!F170,"AAAAACO/29o=")</f>
        <v>#VALUE!</v>
      </c>
      <c r="HL78" t="e">
        <f>AND(medidas!G170,"AAAAACO/29s=")</f>
        <v>#VALUE!</v>
      </c>
      <c r="HM78" t="e">
        <f>AND(medidas!H170,"AAAAACO/29w=")</f>
        <v>#VALUE!</v>
      </c>
      <c r="HN78" t="e">
        <f>AND(medidas!I170,"AAAAACO/290=")</f>
        <v>#VALUE!</v>
      </c>
      <c r="HO78" t="e">
        <f>AND(medidas!J170,"AAAAACO/294=")</f>
        <v>#VALUE!</v>
      </c>
      <c r="HP78" t="e">
        <f>AND(medidas!K170,"AAAAACO/298=")</f>
        <v>#VALUE!</v>
      </c>
      <c r="HQ78" t="e">
        <f>AND(medidas!L170,"AAAAACO/2+A=")</f>
        <v>#VALUE!</v>
      </c>
      <c r="HR78" t="e">
        <f>AND(medidas!M170,"AAAAACO/2+E=")</f>
        <v>#VALUE!</v>
      </c>
      <c r="HS78" t="e">
        <f>AND(medidas!N170,"AAAAACO/2+I=")</f>
        <v>#VALUE!</v>
      </c>
      <c r="HT78" t="e">
        <f>AND(medidas!O170,"AAAAACO/2+M=")</f>
        <v>#VALUE!</v>
      </c>
      <c r="HU78" t="e">
        <f>AND(medidas!P170,"AAAAACO/2+Q=")</f>
        <v>#VALUE!</v>
      </c>
      <c r="HV78" t="e">
        <f>AND(medidas!Q170,"AAAAACO/2+U=")</f>
        <v>#VALUE!</v>
      </c>
      <c r="HW78" t="e">
        <f>AND(medidas!R170,"AAAAACO/2+Y=")</f>
        <v>#VALUE!</v>
      </c>
      <c r="HX78" t="e">
        <f>AND(medidas!S170,"AAAAACO/2+c=")</f>
        <v>#VALUE!</v>
      </c>
      <c r="HY78" t="e">
        <f>AND(medidas!T170,"AAAAACO/2+g=")</f>
        <v>#VALUE!</v>
      </c>
      <c r="HZ78" t="e">
        <f>AND(medidas!U170,"AAAAACO/2+k=")</f>
        <v>#VALUE!</v>
      </c>
      <c r="IA78" t="e">
        <f>AND(medidas!V170,"AAAAACO/2+o=")</f>
        <v>#VALUE!</v>
      </c>
      <c r="IB78" t="e">
        <f>AND(medidas!W170,"AAAAACO/2+s=")</f>
        <v>#VALUE!</v>
      </c>
      <c r="IC78" t="e">
        <f>AND(medidas!X170,"AAAAACO/2+w=")</f>
        <v>#VALUE!</v>
      </c>
      <c r="ID78" t="e">
        <f>AND(medidas!Y170,"AAAAACO/2+0=")</f>
        <v>#VALUE!</v>
      </c>
      <c r="IE78" t="e">
        <f>AND(medidas!Z170,"AAAAACO/2+4=")</f>
        <v>#VALUE!</v>
      </c>
      <c r="IF78" t="e">
        <f>AND(medidas!AA170,"AAAAACO/2+8=")</f>
        <v>#VALUE!</v>
      </c>
      <c r="IG78" t="e">
        <f>AND(medidas!AB170,"AAAAACO/2/A=")</f>
        <v>#VALUE!</v>
      </c>
      <c r="IH78" t="e">
        <f>AND(medidas!AC170,"AAAAACO/2/E=")</f>
        <v>#VALUE!</v>
      </c>
      <c r="II78" t="e">
        <f>AND(medidas!AD170,"AAAAACO/2/I=")</f>
        <v>#VALUE!</v>
      </c>
      <c r="IJ78" t="e">
        <f>AND(medidas!AE170,"AAAAACO/2/M=")</f>
        <v>#VALUE!</v>
      </c>
      <c r="IK78" t="e">
        <f>AND(medidas!AF170,"AAAAACO/2/Q=")</f>
        <v>#VALUE!</v>
      </c>
      <c r="IL78" t="e">
        <f>AND(medidas!AG170,"AAAAACO/2/U=")</f>
        <v>#VALUE!</v>
      </c>
      <c r="IM78" t="e">
        <f>AND(medidas!AH170,"AAAAACO/2/Y=")</f>
        <v>#VALUE!</v>
      </c>
      <c r="IN78" t="e">
        <f>AND(medidas!AI170,"AAAAACO/2/c=")</f>
        <v>#VALUE!</v>
      </c>
      <c r="IO78" t="e">
        <f>AND(medidas!AJ170,"AAAAACO/2/g=")</f>
        <v>#VALUE!</v>
      </c>
      <c r="IP78" t="e">
        <f>AND(medidas!AK170,"AAAAACO/2/k=")</f>
        <v>#VALUE!</v>
      </c>
      <c r="IQ78" t="e">
        <f>AND(medidas!AL170,"AAAAACO/2/o=")</f>
        <v>#VALUE!</v>
      </c>
      <c r="IR78" t="e">
        <f>AND(medidas!AM170,"AAAAACO/2/s=")</f>
        <v>#VALUE!</v>
      </c>
      <c r="IS78" t="e">
        <f>AND(medidas!AN170,"AAAAACO/2/w=")</f>
        <v>#VALUE!</v>
      </c>
      <c r="IT78" t="e">
        <f>AND(medidas!AO170,"AAAAACO/2/0=")</f>
        <v>#VALUE!</v>
      </c>
      <c r="IU78" t="e">
        <f>AND(medidas!AP170,"AAAAACO/2/4=")</f>
        <v>#VALUE!</v>
      </c>
      <c r="IV78" t="e">
        <f>AND(medidas!AQ170,"AAAAACO/2/8=")</f>
        <v>#VALUE!</v>
      </c>
    </row>
    <row r="79" spans="1:256" x14ac:dyDescent="0.2">
      <c r="A79" t="e">
        <f>AND(medidas!AR170,"AAAAAH3+8wA=")</f>
        <v>#VALUE!</v>
      </c>
      <c r="B79" t="e">
        <f>AND(medidas!AS170,"AAAAAH3+8wE=")</f>
        <v>#VALUE!</v>
      </c>
      <c r="C79" t="e">
        <f>AND(medidas!AT170,"AAAAAH3+8wI=")</f>
        <v>#VALUE!</v>
      </c>
      <c r="D79" t="e">
        <f>AND(medidas!AU170,"AAAAAH3+8wM=")</f>
        <v>#VALUE!</v>
      </c>
      <c r="E79" t="e">
        <f>AND(medidas!AV170,"AAAAAH3+8wQ=")</f>
        <v>#VALUE!</v>
      </c>
      <c r="F79" t="e">
        <f>AND(medidas!AW170,"AAAAAH3+8wU=")</f>
        <v>#VALUE!</v>
      </c>
      <c r="G79" t="e">
        <f>AND(medidas!AX170,"AAAAAH3+8wY=")</f>
        <v>#VALUE!</v>
      </c>
      <c r="H79" t="e">
        <f>AND(medidas!AY170,"AAAAAH3+8wc=")</f>
        <v>#VALUE!</v>
      </c>
      <c r="I79" t="e">
        <f>AND(medidas!AZ170,"AAAAAH3+8wg=")</f>
        <v>#VALUE!</v>
      </c>
      <c r="J79" t="e">
        <f>AND(medidas!BA170,"AAAAAH3+8wk=")</f>
        <v>#VALUE!</v>
      </c>
      <c r="K79" t="e">
        <f>AND(medidas!BB170,"AAAAAH3+8wo=")</f>
        <v>#VALUE!</v>
      </c>
      <c r="L79" t="e">
        <f>AND(medidas!BC170,"AAAAAH3+8ws=")</f>
        <v>#VALUE!</v>
      </c>
      <c r="M79" t="e">
        <f>AND(medidas!BD170,"AAAAAH3+8ww=")</f>
        <v>#VALUE!</v>
      </c>
      <c r="N79" t="e">
        <f>AND(medidas!BE170,"AAAAAH3+8w0=")</f>
        <v>#VALUE!</v>
      </c>
      <c r="O79" t="e">
        <f>AND(medidas!BF170,"AAAAAH3+8w4=")</f>
        <v>#VALUE!</v>
      </c>
      <c r="P79" t="e">
        <f>AND(medidas!BG170,"AAAAAH3+8w8=")</f>
        <v>#VALUE!</v>
      </c>
      <c r="Q79" t="e">
        <f>AND(medidas!BH170,"AAAAAH3+8xA=")</f>
        <v>#VALUE!</v>
      </c>
      <c r="R79" t="e">
        <f>AND(medidas!BI170,"AAAAAH3+8xE=")</f>
        <v>#VALUE!</v>
      </c>
      <c r="S79" t="e">
        <f>AND(medidas!BJ170,"AAAAAH3+8xI=")</f>
        <v>#VALUE!</v>
      </c>
      <c r="T79" t="e">
        <f>AND(medidas!BK170,"AAAAAH3+8xM=")</f>
        <v>#VALUE!</v>
      </c>
      <c r="U79" t="e">
        <f>AND(medidas!BL170,"AAAAAH3+8xQ=")</f>
        <v>#VALUE!</v>
      </c>
      <c r="V79" t="e">
        <f>AND(medidas!BM170,"AAAAAH3+8xU=")</f>
        <v>#VALUE!</v>
      </c>
      <c r="W79" t="e">
        <f>AND(medidas!BN170,"AAAAAH3+8xY=")</f>
        <v>#VALUE!</v>
      </c>
      <c r="X79" t="e">
        <f>AND(medidas!BO170,"AAAAAH3+8xc=")</f>
        <v>#VALUE!</v>
      </c>
      <c r="Y79" t="e">
        <f>AND(medidas!BP170,"AAAAAH3+8xg=")</f>
        <v>#VALUE!</v>
      </c>
      <c r="Z79" t="e">
        <f>AND(medidas!BQ170,"AAAAAH3+8xk=")</f>
        <v>#VALUE!</v>
      </c>
      <c r="AA79" t="e">
        <f>AND(medidas!BR170,"AAAAAH3+8xo=")</f>
        <v>#VALUE!</v>
      </c>
      <c r="AB79" t="e">
        <f>AND(medidas!BS170,"AAAAAH3+8xs=")</f>
        <v>#VALUE!</v>
      </c>
      <c r="AC79" t="e">
        <f>AND(medidas!BT170,"AAAAAH3+8xw=")</f>
        <v>#VALUE!</v>
      </c>
      <c r="AD79" t="e">
        <f>AND(medidas!BU170,"AAAAAH3+8x0=")</f>
        <v>#VALUE!</v>
      </c>
      <c r="AE79" t="e">
        <f>AND(medidas!BV170,"AAAAAH3+8x4=")</f>
        <v>#VALUE!</v>
      </c>
      <c r="AF79" t="e">
        <f>AND(medidas!BW170,"AAAAAH3+8x8=")</f>
        <v>#VALUE!</v>
      </c>
      <c r="AG79" t="e">
        <f>AND(medidas!BX170,"AAAAAH3+8yA=")</f>
        <v>#VALUE!</v>
      </c>
      <c r="AH79" t="e">
        <f>AND(medidas!BY170,"AAAAAH3+8yE=")</f>
        <v>#VALUE!</v>
      </c>
      <c r="AI79">
        <f>IF(medidas!171:171,"AAAAAH3+8yI=",0)</f>
        <v>0</v>
      </c>
      <c r="AJ79" t="e">
        <f>AND(medidas!B171,"AAAAAH3+8yM=")</f>
        <v>#VALUE!</v>
      </c>
      <c r="AK79" t="e">
        <f>AND(medidas!C171,"AAAAAH3+8yQ=")</f>
        <v>#VALUE!</v>
      </c>
      <c r="AL79" t="e">
        <f>AND(medidas!D171,"AAAAAH3+8yU=")</f>
        <v>#VALUE!</v>
      </c>
      <c r="AM79" t="e">
        <f>AND(medidas!E171,"AAAAAH3+8yY=")</f>
        <v>#VALUE!</v>
      </c>
      <c r="AN79" t="e">
        <f>AND(medidas!F171,"AAAAAH3+8yc=")</f>
        <v>#VALUE!</v>
      </c>
      <c r="AO79" t="e">
        <f>AND(medidas!G171,"AAAAAH3+8yg=")</f>
        <v>#VALUE!</v>
      </c>
      <c r="AP79" t="e">
        <f>AND(medidas!H171,"AAAAAH3+8yk=")</f>
        <v>#VALUE!</v>
      </c>
      <c r="AQ79" t="e">
        <f>AND(medidas!I171,"AAAAAH3+8yo=")</f>
        <v>#VALUE!</v>
      </c>
      <c r="AR79" t="e">
        <f>AND(medidas!J171,"AAAAAH3+8ys=")</f>
        <v>#VALUE!</v>
      </c>
      <c r="AS79" t="e">
        <f>AND(medidas!K171,"AAAAAH3+8yw=")</f>
        <v>#VALUE!</v>
      </c>
      <c r="AT79" t="e">
        <f>AND(medidas!L171,"AAAAAH3+8y0=")</f>
        <v>#VALUE!</v>
      </c>
      <c r="AU79" t="e">
        <f>AND(medidas!M171,"AAAAAH3+8y4=")</f>
        <v>#VALUE!</v>
      </c>
      <c r="AV79" t="e">
        <f>AND(medidas!N171,"AAAAAH3+8y8=")</f>
        <v>#VALUE!</v>
      </c>
      <c r="AW79" t="e">
        <f>AND(medidas!O171,"AAAAAH3+8zA=")</f>
        <v>#VALUE!</v>
      </c>
      <c r="AX79" t="e">
        <f>AND(medidas!P171,"AAAAAH3+8zE=")</f>
        <v>#VALUE!</v>
      </c>
      <c r="AY79" t="e">
        <f>AND(medidas!Q171,"AAAAAH3+8zI=")</f>
        <v>#VALUE!</v>
      </c>
      <c r="AZ79" t="e">
        <f>AND(medidas!R171,"AAAAAH3+8zM=")</f>
        <v>#VALUE!</v>
      </c>
      <c r="BA79" t="e">
        <f>AND(medidas!S171,"AAAAAH3+8zQ=")</f>
        <v>#VALUE!</v>
      </c>
      <c r="BB79" t="e">
        <f>AND(medidas!T171,"AAAAAH3+8zU=")</f>
        <v>#VALUE!</v>
      </c>
      <c r="BC79" t="e">
        <f>AND(medidas!U171,"AAAAAH3+8zY=")</f>
        <v>#VALUE!</v>
      </c>
      <c r="BD79" t="e">
        <f>AND(medidas!V171,"AAAAAH3+8zc=")</f>
        <v>#VALUE!</v>
      </c>
      <c r="BE79" t="e">
        <f>AND(medidas!W171,"AAAAAH3+8zg=")</f>
        <v>#VALUE!</v>
      </c>
      <c r="BF79" t="e">
        <f>AND(medidas!X171,"AAAAAH3+8zk=")</f>
        <v>#VALUE!</v>
      </c>
      <c r="BG79" t="e">
        <f>AND(medidas!Y171,"AAAAAH3+8zo=")</f>
        <v>#VALUE!</v>
      </c>
      <c r="BH79" t="e">
        <f>AND(medidas!Z171,"AAAAAH3+8zs=")</f>
        <v>#VALUE!</v>
      </c>
      <c r="BI79" t="e">
        <f>AND(medidas!AA171,"AAAAAH3+8zw=")</f>
        <v>#VALUE!</v>
      </c>
      <c r="BJ79" t="e">
        <f>AND(medidas!AB171,"AAAAAH3+8z0=")</f>
        <v>#VALUE!</v>
      </c>
      <c r="BK79" t="e">
        <f>AND(medidas!AC171,"AAAAAH3+8z4=")</f>
        <v>#VALUE!</v>
      </c>
      <c r="BL79" t="e">
        <f>AND(medidas!AD171,"AAAAAH3+8z8=")</f>
        <v>#VALUE!</v>
      </c>
      <c r="BM79" t="e">
        <f>AND(medidas!AE171,"AAAAAH3+80A=")</f>
        <v>#VALUE!</v>
      </c>
      <c r="BN79" t="e">
        <f>AND(medidas!AF171,"AAAAAH3+80E=")</f>
        <v>#VALUE!</v>
      </c>
      <c r="BO79" t="e">
        <f>AND(medidas!AG171,"AAAAAH3+80I=")</f>
        <v>#VALUE!</v>
      </c>
      <c r="BP79" t="e">
        <f>AND(medidas!AH171,"AAAAAH3+80M=")</f>
        <v>#VALUE!</v>
      </c>
      <c r="BQ79" t="e">
        <f>AND(medidas!AI171,"AAAAAH3+80Q=")</f>
        <v>#VALUE!</v>
      </c>
      <c r="BR79" t="e">
        <f>AND(medidas!AJ171,"AAAAAH3+80U=")</f>
        <v>#VALUE!</v>
      </c>
      <c r="BS79" t="e">
        <f>AND(medidas!AK171,"AAAAAH3+80Y=")</f>
        <v>#VALUE!</v>
      </c>
      <c r="BT79" t="e">
        <f>AND(medidas!AL171,"AAAAAH3+80c=")</f>
        <v>#VALUE!</v>
      </c>
      <c r="BU79" t="e">
        <f>AND(medidas!AM171,"AAAAAH3+80g=")</f>
        <v>#VALUE!</v>
      </c>
      <c r="BV79" t="e">
        <f>AND(medidas!AN171,"AAAAAH3+80k=")</f>
        <v>#VALUE!</v>
      </c>
      <c r="BW79" t="e">
        <f>AND(medidas!AO171,"AAAAAH3+80o=")</f>
        <v>#VALUE!</v>
      </c>
      <c r="BX79" t="e">
        <f>AND(medidas!AP171,"AAAAAH3+80s=")</f>
        <v>#VALUE!</v>
      </c>
      <c r="BY79" t="e">
        <f>AND(medidas!AQ171,"AAAAAH3+80w=")</f>
        <v>#VALUE!</v>
      </c>
      <c r="BZ79" t="e">
        <f>AND(medidas!AR171,"AAAAAH3+800=")</f>
        <v>#VALUE!</v>
      </c>
      <c r="CA79" t="e">
        <f>AND(medidas!AS171,"AAAAAH3+804=")</f>
        <v>#VALUE!</v>
      </c>
      <c r="CB79" t="e">
        <f>AND(medidas!AT171,"AAAAAH3+808=")</f>
        <v>#VALUE!</v>
      </c>
      <c r="CC79" t="e">
        <f>AND(medidas!AU171,"AAAAAH3+81A=")</f>
        <v>#VALUE!</v>
      </c>
      <c r="CD79" t="e">
        <f>AND(medidas!AV171,"AAAAAH3+81E=")</f>
        <v>#VALUE!</v>
      </c>
      <c r="CE79" t="e">
        <f>AND(medidas!AW171,"AAAAAH3+81I=")</f>
        <v>#VALUE!</v>
      </c>
      <c r="CF79" t="e">
        <f>AND(medidas!AX171,"AAAAAH3+81M=")</f>
        <v>#VALUE!</v>
      </c>
      <c r="CG79" t="e">
        <f>AND(medidas!AY171,"AAAAAH3+81Q=")</f>
        <v>#VALUE!</v>
      </c>
      <c r="CH79" t="e">
        <f>AND(medidas!AZ171,"AAAAAH3+81U=")</f>
        <v>#VALUE!</v>
      </c>
      <c r="CI79" t="e">
        <f>AND(medidas!BA171,"AAAAAH3+81Y=")</f>
        <v>#VALUE!</v>
      </c>
      <c r="CJ79" t="e">
        <f>AND(medidas!BB171,"AAAAAH3+81c=")</f>
        <v>#VALUE!</v>
      </c>
      <c r="CK79" t="e">
        <f>AND(medidas!BC171,"AAAAAH3+81g=")</f>
        <v>#VALUE!</v>
      </c>
      <c r="CL79" t="e">
        <f>AND(medidas!BD171,"AAAAAH3+81k=")</f>
        <v>#VALUE!</v>
      </c>
      <c r="CM79" t="e">
        <f>AND(medidas!BE171,"AAAAAH3+81o=")</f>
        <v>#VALUE!</v>
      </c>
      <c r="CN79" t="e">
        <f>AND(medidas!BF171,"AAAAAH3+81s=")</f>
        <v>#VALUE!</v>
      </c>
      <c r="CO79" t="e">
        <f>AND(medidas!BG171,"AAAAAH3+81w=")</f>
        <v>#VALUE!</v>
      </c>
      <c r="CP79" t="e">
        <f>AND(medidas!BH171,"AAAAAH3+810=")</f>
        <v>#VALUE!</v>
      </c>
      <c r="CQ79" t="e">
        <f>AND(medidas!BI171,"AAAAAH3+814=")</f>
        <v>#VALUE!</v>
      </c>
      <c r="CR79" t="e">
        <f>AND(medidas!BJ171,"AAAAAH3+818=")</f>
        <v>#VALUE!</v>
      </c>
      <c r="CS79" t="e">
        <f>AND(medidas!BK171,"AAAAAH3+82A=")</f>
        <v>#VALUE!</v>
      </c>
      <c r="CT79" t="e">
        <f>AND(medidas!BL171,"AAAAAH3+82E=")</f>
        <v>#VALUE!</v>
      </c>
      <c r="CU79" t="e">
        <f>AND(medidas!BM171,"AAAAAH3+82I=")</f>
        <v>#VALUE!</v>
      </c>
      <c r="CV79" t="e">
        <f>AND(medidas!BN171,"AAAAAH3+82M=")</f>
        <v>#VALUE!</v>
      </c>
      <c r="CW79" t="e">
        <f>AND(medidas!BO171,"AAAAAH3+82Q=")</f>
        <v>#VALUE!</v>
      </c>
      <c r="CX79" t="e">
        <f>AND(medidas!BP171,"AAAAAH3+82U=")</f>
        <v>#VALUE!</v>
      </c>
      <c r="CY79" t="e">
        <f>AND(medidas!BQ171,"AAAAAH3+82Y=")</f>
        <v>#VALUE!</v>
      </c>
      <c r="CZ79" t="e">
        <f>AND(medidas!BR171,"AAAAAH3+82c=")</f>
        <v>#VALUE!</v>
      </c>
      <c r="DA79" t="e">
        <f>AND(medidas!BS171,"AAAAAH3+82g=")</f>
        <v>#VALUE!</v>
      </c>
      <c r="DB79" t="e">
        <f>AND(medidas!BT171,"AAAAAH3+82k=")</f>
        <v>#VALUE!</v>
      </c>
      <c r="DC79" t="e">
        <f>AND(medidas!BU171,"AAAAAH3+82o=")</f>
        <v>#VALUE!</v>
      </c>
      <c r="DD79" t="e">
        <f>AND(medidas!BV171,"AAAAAH3+82s=")</f>
        <v>#VALUE!</v>
      </c>
      <c r="DE79" t="e">
        <f>AND(medidas!BW171,"AAAAAH3+82w=")</f>
        <v>#VALUE!</v>
      </c>
      <c r="DF79" t="e">
        <f>AND(medidas!BX171,"AAAAAH3+820=")</f>
        <v>#VALUE!</v>
      </c>
      <c r="DG79" t="e">
        <f>AND(medidas!BY171,"AAAAAH3+824=")</f>
        <v>#VALUE!</v>
      </c>
      <c r="DH79">
        <f>IF(medidas!172:172,"AAAAAH3+828=",0)</f>
        <v>0</v>
      </c>
      <c r="DI79" t="e">
        <f>AND(medidas!B172,"AAAAAH3+83A=")</f>
        <v>#VALUE!</v>
      </c>
      <c r="DJ79" t="e">
        <f>AND(medidas!C172,"AAAAAH3+83E=")</f>
        <v>#VALUE!</v>
      </c>
      <c r="DK79" t="e">
        <f>AND(medidas!D172,"AAAAAH3+83I=")</f>
        <v>#VALUE!</v>
      </c>
      <c r="DL79" t="e">
        <f>AND(medidas!E172,"AAAAAH3+83M=")</f>
        <v>#VALUE!</v>
      </c>
      <c r="DM79" t="e">
        <f>AND(medidas!F172,"AAAAAH3+83Q=")</f>
        <v>#VALUE!</v>
      </c>
      <c r="DN79" t="e">
        <f>AND(medidas!G172,"AAAAAH3+83U=")</f>
        <v>#VALUE!</v>
      </c>
      <c r="DO79" t="e">
        <f>AND(medidas!H172,"AAAAAH3+83Y=")</f>
        <v>#VALUE!</v>
      </c>
      <c r="DP79" t="e">
        <f>AND(medidas!I172,"AAAAAH3+83c=")</f>
        <v>#VALUE!</v>
      </c>
      <c r="DQ79" t="e">
        <f>AND(medidas!J172,"AAAAAH3+83g=")</f>
        <v>#VALUE!</v>
      </c>
      <c r="DR79" t="e">
        <f>AND(medidas!K172,"AAAAAH3+83k=")</f>
        <v>#VALUE!</v>
      </c>
      <c r="DS79" t="e">
        <f>AND(medidas!L172,"AAAAAH3+83o=")</f>
        <v>#VALUE!</v>
      </c>
      <c r="DT79" t="e">
        <f>AND(medidas!M172,"AAAAAH3+83s=")</f>
        <v>#VALUE!</v>
      </c>
      <c r="DU79" t="e">
        <f>AND(medidas!N172,"AAAAAH3+83w=")</f>
        <v>#VALUE!</v>
      </c>
      <c r="DV79" t="e">
        <f>AND(medidas!O172,"AAAAAH3+830=")</f>
        <v>#VALUE!</v>
      </c>
      <c r="DW79" t="e">
        <f>AND(medidas!P172,"AAAAAH3+834=")</f>
        <v>#VALUE!</v>
      </c>
      <c r="DX79" t="e">
        <f>AND(medidas!Q172,"AAAAAH3+838=")</f>
        <v>#VALUE!</v>
      </c>
      <c r="DY79" t="e">
        <f>AND(medidas!R172,"AAAAAH3+84A=")</f>
        <v>#VALUE!</v>
      </c>
      <c r="DZ79" t="e">
        <f>AND(medidas!S172,"AAAAAH3+84E=")</f>
        <v>#VALUE!</v>
      </c>
      <c r="EA79" t="e">
        <f>AND(medidas!T172,"AAAAAH3+84I=")</f>
        <v>#VALUE!</v>
      </c>
      <c r="EB79" t="e">
        <f>AND(medidas!U172,"AAAAAH3+84M=")</f>
        <v>#VALUE!</v>
      </c>
      <c r="EC79" t="e">
        <f>AND(medidas!V172,"AAAAAH3+84Q=")</f>
        <v>#VALUE!</v>
      </c>
      <c r="ED79" t="e">
        <f>AND(medidas!W172,"AAAAAH3+84U=")</f>
        <v>#VALUE!</v>
      </c>
      <c r="EE79" t="e">
        <f>AND(medidas!X172,"AAAAAH3+84Y=")</f>
        <v>#VALUE!</v>
      </c>
      <c r="EF79" t="e">
        <f>AND(medidas!Y172,"AAAAAH3+84c=")</f>
        <v>#VALUE!</v>
      </c>
      <c r="EG79" t="e">
        <f>AND(medidas!Z172,"AAAAAH3+84g=")</f>
        <v>#VALUE!</v>
      </c>
      <c r="EH79" t="e">
        <f>AND(medidas!AA172,"AAAAAH3+84k=")</f>
        <v>#VALUE!</v>
      </c>
      <c r="EI79" t="e">
        <f>AND(medidas!AB172,"AAAAAH3+84o=")</f>
        <v>#VALUE!</v>
      </c>
      <c r="EJ79" t="e">
        <f>AND(medidas!AC172,"AAAAAH3+84s=")</f>
        <v>#VALUE!</v>
      </c>
      <c r="EK79" t="e">
        <f>AND(medidas!AD172,"AAAAAH3+84w=")</f>
        <v>#VALUE!</v>
      </c>
      <c r="EL79" t="e">
        <f>AND(medidas!AE172,"AAAAAH3+840=")</f>
        <v>#VALUE!</v>
      </c>
      <c r="EM79" t="e">
        <f>AND(medidas!AF172,"AAAAAH3+844=")</f>
        <v>#VALUE!</v>
      </c>
      <c r="EN79" t="e">
        <f>AND(medidas!AG172,"AAAAAH3+848=")</f>
        <v>#VALUE!</v>
      </c>
      <c r="EO79" t="e">
        <f>AND(medidas!AH172,"AAAAAH3+85A=")</f>
        <v>#VALUE!</v>
      </c>
      <c r="EP79" t="e">
        <f>AND(medidas!AI172,"AAAAAH3+85E=")</f>
        <v>#VALUE!</v>
      </c>
      <c r="EQ79" t="e">
        <f>AND(medidas!AJ172,"AAAAAH3+85I=")</f>
        <v>#VALUE!</v>
      </c>
      <c r="ER79" t="e">
        <f>AND(medidas!AK172,"AAAAAH3+85M=")</f>
        <v>#VALUE!</v>
      </c>
      <c r="ES79" t="e">
        <f>AND(medidas!AL172,"AAAAAH3+85Q=")</f>
        <v>#VALUE!</v>
      </c>
      <c r="ET79" t="e">
        <f>AND(medidas!AM172,"AAAAAH3+85U=")</f>
        <v>#VALUE!</v>
      </c>
      <c r="EU79" t="e">
        <f>AND(medidas!AN172,"AAAAAH3+85Y=")</f>
        <v>#VALUE!</v>
      </c>
      <c r="EV79" t="e">
        <f>AND(medidas!AO172,"AAAAAH3+85c=")</f>
        <v>#VALUE!</v>
      </c>
      <c r="EW79" t="e">
        <f>AND(medidas!AP172,"AAAAAH3+85g=")</f>
        <v>#VALUE!</v>
      </c>
      <c r="EX79" t="e">
        <f>AND(medidas!AQ172,"AAAAAH3+85k=")</f>
        <v>#VALUE!</v>
      </c>
      <c r="EY79" t="e">
        <f>AND(medidas!AR172,"AAAAAH3+85o=")</f>
        <v>#VALUE!</v>
      </c>
      <c r="EZ79" t="e">
        <f>AND(medidas!AS172,"AAAAAH3+85s=")</f>
        <v>#VALUE!</v>
      </c>
      <c r="FA79" t="e">
        <f>AND(medidas!AT172,"AAAAAH3+85w=")</f>
        <v>#VALUE!</v>
      </c>
      <c r="FB79" t="e">
        <f>AND(medidas!AU172,"AAAAAH3+850=")</f>
        <v>#VALUE!</v>
      </c>
      <c r="FC79" t="e">
        <f>AND(medidas!AV172,"AAAAAH3+854=")</f>
        <v>#VALUE!</v>
      </c>
      <c r="FD79" t="e">
        <f>AND(medidas!AW172,"AAAAAH3+858=")</f>
        <v>#VALUE!</v>
      </c>
      <c r="FE79" t="e">
        <f>AND(medidas!AX172,"AAAAAH3+86A=")</f>
        <v>#VALUE!</v>
      </c>
      <c r="FF79" t="e">
        <f>AND(medidas!AY172,"AAAAAH3+86E=")</f>
        <v>#VALUE!</v>
      </c>
      <c r="FG79" t="e">
        <f>AND(medidas!AZ172,"AAAAAH3+86I=")</f>
        <v>#VALUE!</v>
      </c>
      <c r="FH79" t="e">
        <f>AND(medidas!BA172,"AAAAAH3+86M=")</f>
        <v>#VALUE!</v>
      </c>
      <c r="FI79" t="e">
        <f>AND(medidas!BB172,"AAAAAH3+86Q=")</f>
        <v>#VALUE!</v>
      </c>
      <c r="FJ79" t="e">
        <f>AND(medidas!BC172,"AAAAAH3+86U=")</f>
        <v>#VALUE!</v>
      </c>
      <c r="FK79" t="e">
        <f>AND(medidas!BD172,"AAAAAH3+86Y=")</f>
        <v>#VALUE!</v>
      </c>
      <c r="FL79" t="e">
        <f>AND(medidas!BE172,"AAAAAH3+86c=")</f>
        <v>#VALUE!</v>
      </c>
      <c r="FM79" t="e">
        <f>AND(medidas!BF172,"AAAAAH3+86g=")</f>
        <v>#VALUE!</v>
      </c>
      <c r="FN79" t="e">
        <f>AND(medidas!BG172,"AAAAAH3+86k=")</f>
        <v>#VALUE!</v>
      </c>
      <c r="FO79" t="e">
        <f>AND(medidas!BH172,"AAAAAH3+86o=")</f>
        <v>#VALUE!</v>
      </c>
      <c r="FP79" t="e">
        <f>AND(medidas!BI172,"AAAAAH3+86s=")</f>
        <v>#VALUE!</v>
      </c>
      <c r="FQ79" t="e">
        <f>AND(medidas!BJ172,"AAAAAH3+86w=")</f>
        <v>#VALUE!</v>
      </c>
      <c r="FR79" t="e">
        <f>AND(medidas!BK172,"AAAAAH3+860=")</f>
        <v>#VALUE!</v>
      </c>
      <c r="FS79" t="e">
        <f>AND(medidas!BL172,"AAAAAH3+864=")</f>
        <v>#VALUE!</v>
      </c>
      <c r="FT79" t="e">
        <f>AND(medidas!BM172,"AAAAAH3+868=")</f>
        <v>#VALUE!</v>
      </c>
      <c r="FU79" t="e">
        <f>AND(medidas!BN172,"AAAAAH3+87A=")</f>
        <v>#VALUE!</v>
      </c>
      <c r="FV79" t="e">
        <f>AND(medidas!BO172,"AAAAAH3+87E=")</f>
        <v>#VALUE!</v>
      </c>
      <c r="FW79" t="e">
        <f>AND(medidas!BP172,"AAAAAH3+87I=")</f>
        <v>#VALUE!</v>
      </c>
      <c r="FX79" t="e">
        <f>AND(medidas!BQ172,"AAAAAH3+87M=")</f>
        <v>#VALUE!</v>
      </c>
      <c r="FY79" t="e">
        <f>AND(medidas!BR172,"AAAAAH3+87Q=")</f>
        <v>#VALUE!</v>
      </c>
      <c r="FZ79" t="e">
        <f>AND(medidas!BS172,"AAAAAH3+87U=")</f>
        <v>#VALUE!</v>
      </c>
      <c r="GA79" t="e">
        <f>AND(medidas!BT172,"AAAAAH3+87Y=")</f>
        <v>#VALUE!</v>
      </c>
      <c r="GB79" t="e">
        <f>AND(medidas!BU172,"AAAAAH3+87c=")</f>
        <v>#VALUE!</v>
      </c>
      <c r="GC79" t="e">
        <f>AND(medidas!BV172,"AAAAAH3+87g=")</f>
        <v>#VALUE!</v>
      </c>
      <c r="GD79" t="e">
        <f>AND(medidas!BW172,"AAAAAH3+87k=")</f>
        <v>#VALUE!</v>
      </c>
      <c r="GE79" t="e">
        <f>AND(medidas!BX172,"AAAAAH3+87o=")</f>
        <v>#VALUE!</v>
      </c>
      <c r="GF79" t="e">
        <f>AND(medidas!BY172,"AAAAAH3+87s=")</f>
        <v>#VALUE!</v>
      </c>
      <c r="GG79">
        <f>IF(medidas!173:173,"AAAAAH3+87w=",0)</f>
        <v>0</v>
      </c>
      <c r="GH79" t="e">
        <f>AND(medidas!B173,"AAAAAH3+870=")</f>
        <v>#VALUE!</v>
      </c>
      <c r="GI79" t="e">
        <f>AND(medidas!C173,"AAAAAH3+874=")</f>
        <v>#VALUE!</v>
      </c>
      <c r="GJ79" t="e">
        <f>AND(medidas!D173,"AAAAAH3+878=")</f>
        <v>#VALUE!</v>
      </c>
      <c r="GK79" t="e">
        <f>AND(medidas!E173,"AAAAAH3+88A=")</f>
        <v>#VALUE!</v>
      </c>
      <c r="GL79" t="e">
        <f>AND(medidas!F173,"AAAAAH3+88E=")</f>
        <v>#VALUE!</v>
      </c>
      <c r="GM79" t="e">
        <f>AND(medidas!G173,"AAAAAH3+88I=")</f>
        <v>#VALUE!</v>
      </c>
      <c r="GN79" t="e">
        <f>AND(medidas!H173,"AAAAAH3+88M=")</f>
        <v>#VALUE!</v>
      </c>
      <c r="GO79" t="e">
        <f>AND(medidas!I173,"AAAAAH3+88Q=")</f>
        <v>#VALUE!</v>
      </c>
      <c r="GP79" t="e">
        <f>AND(medidas!J173,"AAAAAH3+88U=")</f>
        <v>#VALUE!</v>
      </c>
      <c r="GQ79" t="e">
        <f>AND(medidas!K173,"AAAAAH3+88Y=")</f>
        <v>#VALUE!</v>
      </c>
      <c r="GR79" t="e">
        <f>AND(medidas!L173,"AAAAAH3+88c=")</f>
        <v>#VALUE!</v>
      </c>
      <c r="GS79" t="e">
        <f>AND(medidas!M173,"AAAAAH3+88g=")</f>
        <v>#VALUE!</v>
      </c>
      <c r="GT79" t="e">
        <f>AND(medidas!N173,"AAAAAH3+88k=")</f>
        <v>#VALUE!</v>
      </c>
      <c r="GU79" t="e">
        <f>AND(medidas!O173,"AAAAAH3+88o=")</f>
        <v>#VALUE!</v>
      </c>
      <c r="GV79" t="e">
        <f>AND(medidas!P173,"AAAAAH3+88s=")</f>
        <v>#VALUE!</v>
      </c>
      <c r="GW79" t="e">
        <f>AND(medidas!Q173,"AAAAAH3+88w=")</f>
        <v>#VALUE!</v>
      </c>
      <c r="GX79" t="e">
        <f>AND(medidas!R173,"AAAAAH3+880=")</f>
        <v>#VALUE!</v>
      </c>
      <c r="GY79" t="e">
        <f>AND(medidas!S173,"AAAAAH3+884=")</f>
        <v>#VALUE!</v>
      </c>
      <c r="GZ79" t="e">
        <f>AND(medidas!T173,"AAAAAH3+888=")</f>
        <v>#VALUE!</v>
      </c>
      <c r="HA79" t="e">
        <f>AND(medidas!U173,"AAAAAH3+89A=")</f>
        <v>#VALUE!</v>
      </c>
      <c r="HB79" t="e">
        <f>AND(medidas!V173,"AAAAAH3+89E=")</f>
        <v>#VALUE!</v>
      </c>
      <c r="HC79" t="e">
        <f>AND(medidas!W173,"AAAAAH3+89I=")</f>
        <v>#VALUE!</v>
      </c>
      <c r="HD79" t="e">
        <f>AND(medidas!X173,"AAAAAH3+89M=")</f>
        <v>#VALUE!</v>
      </c>
      <c r="HE79" t="e">
        <f>AND(medidas!Y173,"AAAAAH3+89Q=")</f>
        <v>#VALUE!</v>
      </c>
      <c r="HF79" t="e">
        <f>AND(medidas!Z173,"AAAAAH3+89U=")</f>
        <v>#VALUE!</v>
      </c>
      <c r="HG79" t="e">
        <f>AND(medidas!AA173,"AAAAAH3+89Y=")</f>
        <v>#VALUE!</v>
      </c>
      <c r="HH79" t="e">
        <f>AND(medidas!AB173,"AAAAAH3+89c=")</f>
        <v>#VALUE!</v>
      </c>
      <c r="HI79" t="e">
        <f>AND(medidas!AC173,"AAAAAH3+89g=")</f>
        <v>#VALUE!</v>
      </c>
      <c r="HJ79" t="e">
        <f>AND(medidas!AD173,"AAAAAH3+89k=")</f>
        <v>#VALUE!</v>
      </c>
      <c r="HK79" t="e">
        <f>AND(medidas!AE173,"AAAAAH3+89o=")</f>
        <v>#VALUE!</v>
      </c>
      <c r="HL79" t="e">
        <f>AND(medidas!AF173,"AAAAAH3+89s=")</f>
        <v>#VALUE!</v>
      </c>
      <c r="HM79" t="e">
        <f>AND(medidas!AG173,"AAAAAH3+89w=")</f>
        <v>#VALUE!</v>
      </c>
      <c r="HN79" t="e">
        <f>AND(medidas!AH173,"AAAAAH3+890=")</f>
        <v>#VALUE!</v>
      </c>
      <c r="HO79" t="e">
        <f>AND(medidas!AI173,"AAAAAH3+894=")</f>
        <v>#VALUE!</v>
      </c>
      <c r="HP79" t="e">
        <f>AND(medidas!AJ173,"AAAAAH3+898=")</f>
        <v>#VALUE!</v>
      </c>
      <c r="HQ79" t="e">
        <f>AND(medidas!AK173,"AAAAAH3+8+A=")</f>
        <v>#VALUE!</v>
      </c>
      <c r="HR79" t="e">
        <f>AND(medidas!AL173,"AAAAAH3+8+E=")</f>
        <v>#VALUE!</v>
      </c>
      <c r="HS79" t="e">
        <f>AND(medidas!AM173,"AAAAAH3+8+I=")</f>
        <v>#VALUE!</v>
      </c>
      <c r="HT79" t="e">
        <f>AND(medidas!AN173,"AAAAAH3+8+M=")</f>
        <v>#VALUE!</v>
      </c>
      <c r="HU79" t="e">
        <f>AND(medidas!AO173,"AAAAAH3+8+Q=")</f>
        <v>#VALUE!</v>
      </c>
      <c r="HV79" t="e">
        <f>AND(medidas!AP173,"AAAAAH3+8+U=")</f>
        <v>#VALUE!</v>
      </c>
      <c r="HW79" t="e">
        <f>AND(medidas!AQ173,"AAAAAH3+8+Y=")</f>
        <v>#VALUE!</v>
      </c>
      <c r="HX79" t="e">
        <f>AND(medidas!AR173,"AAAAAH3+8+c=")</f>
        <v>#VALUE!</v>
      </c>
      <c r="HY79" t="e">
        <f>AND(medidas!AS173,"AAAAAH3+8+g=")</f>
        <v>#VALUE!</v>
      </c>
      <c r="HZ79" t="e">
        <f>AND(medidas!AT173,"AAAAAH3+8+k=")</f>
        <v>#VALUE!</v>
      </c>
      <c r="IA79" t="e">
        <f>AND(medidas!AU173,"AAAAAH3+8+o=")</f>
        <v>#VALUE!</v>
      </c>
      <c r="IB79" t="e">
        <f>AND(medidas!AV173,"AAAAAH3+8+s=")</f>
        <v>#VALUE!</v>
      </c>
      <c r="IC79" t="e">
        <f>AND(medidas!AW173,"AAAAAH3+8+w=")</f>
        <v>#VALUE!</v>
      </c>
      <c r="ID79" t="e">
        <f>AND(medidas!AX173,"AAAAAH3+8+0=")</f>
        <v>#VALUE!</v>
      </c>
      <c r="IE79" t="e">
        <f>AND(medidas!AY173,"AAAAAH3+8+4=")</f>
        <v>#VALUE!</v>
      </c>
      <c r="IF79" t="e">
        <f>AND(medidas!AZ173,"AAAAAH3+8+8=")</f>
        <v>#VALUE!</v>
      </c>
      <c r="IG79" t="e">
        <f>AND(medidas!BA173,"AAAAAH3+8/A=")</f>
        <v>#VALUE!</v>
      </c>
      <c r="IH79" t="e">
        <f>AND(medidas!BB173,"AAAAAH3+8/E=")</f>
        <v>#VALUE!</v>
      </c>
      <c r="II79" t="e">
        <f>AND(medidas!BC173,"AAAAAH3+8/I=")</f>
        <v>#VALUE!</v>
      </c>
      <c r="IJ79" t="e">
        <f>AND(medidas!BD173,"AAAAAH3+8/M=")</f>
        <v>#VALUE!</v>
      </c>
      <c r="IK79" t="e">
        <f>AND(medidas!BE173,"AAAAAH3+8/Q=")</f>
        <v>#VALUE!</v>
      </c>
      <c r="IL79" t="e">
        <f>AND(medidas!BF173,"AAAAAH3+8/U=")</f>
        <v>#VALUE!</v>
      </c>
      <c r="IM79" t="e">
        <f>AND(medidas!BG173,"AAAAAH3+8/Y=")</f>
        <v>#VALUE!</v>
      </c>
      <c r="IN79" t="e">
        <f>AND(medidas!BH173,"AAAAAH3+8/c=")</f>
        <v>#VALUE!</v>
      </c>
      <c r="IO79" t="e">
        <f>AND(medidas!BI173,"AAAAAH3+8/g=")</f>
        <v>#VALUE!</v>
      </c>
      <c r="IP79" t="e">
        <f>AND(medidas!BJ173,"AAAAAH3+8/k=")</f>
        <v>#VALUE!</v>
      </c>
      <c r="IQ79" t="e">
        <f>AND(medidas!BK173,"AAAAAH3+8/o=")</f>
        <v>#VALUE!</v>
      </c>
      <c r="IR79" t="e">
        <f>AND(medidas!BL173,"AAAAAH3+8/s=")</f>
        <v>#VALUE!</v>
      </c>
      <c r="IS79" t="e">
        <f>AND(medidas!BM173,"AAAAAH3+8/w=")</f>
        <v>#VALUE!</v>
      </c>
      <c r="IT79" t="e">
        <f>AND(medidas!BN173,"AAAAAH3+8/0=")</f>
        <v>#VALUE!</v>
      </c>
      <c r="IU79" t="e">
        <f>AND(medidas!BO173,"AAAAAH3+8/4=")</f>
        <v>#VALUE!</v>
      </c>
      <c r="IV79" t="e">
        <f>AND(medidas!BP173,"AAAAAH3+8/8=")</f>
        <v>#VALUE!</v>
      </c>
    </row>
    <row r="80" spans="1:256" x14ac:dyDescent="0.2">
      <c r="A80" t="e">
        <f>AND(medidas!BQ173,"AAAAAD/57wA=")</f>
        <v>#VALUE!</v>
      </c>
      <c r="B80" t="e">
        <f>AND(medidas!BR173,"AAAAAD/57wE=")</f>
        <v>#VALUE!</v>
      </c>
      <c r="C80" t="e">
        <f>AND(medidas!BS173,"AAAAAD/57wI=")</f>
        <v>#VALUE!</v>
      </c>
      <c r="D80" t="e">
        <f>AND(medidas!BT173,"AAAAAD/57wM=")</f>
        <v>#VALUE!</v>
      </c>
      <c r="E80" t="e">
        <f>AND(medidas!BU173,"AAAAAD/57wQ=")</f>
        <v>#VALUE!</v>
      </c>
      <c r="F80" t="e">
        <f>AND(medidas!BV173,"AAAAAD/57wU=")</f>
        <v>#VALUE!</v>
      </c>
      <c r="G80" t="e">
        <f>AND(medidas!BW173,"AAAAAD/57wY=")</f>
        <v>#VALUE!</v>
      </c>
      <c r="H80" t="e">
        <f>AND(medidas!BX173,"AAAAAD/57wc=")</f>
        <v>#VALUE!</v>
      </c>
      <c r="I80" t="e">
        <f>AND(medidas!BY173,"AAAAAD/57wg=")</f>
        <v>#VALUE!</v>
      </c>
      <c r="J80">
        <f>IF(medidas!174:174,"AAAAAD/57wk=",0)</f>
        <v>0</v>
      </c>
      <c r="K80" t="e">
        <f>AND(medidas!B174,"AAAAAD/57wo=")</f>
        <v>#VALUE!</v>
      </c>
      <c r="L80" t="e">
        <f>AND(medidas!C174,"AAAAAD/57ws=")</f>
        <v>#VALUE!</v>
      </c>
      <c r="M80" t="e">
        <f>AND(medidas!D174,"AAAAAD/57ww=")</f>
        <v>#VALUE!</v>
      </c>
      <c r="N80" t="e">
        <f>AND(medidas!E174,"AAAAAD/57w0=")</f>
        <v>#VALUE!</v>
      </c>
      <c r="O80" t="e">
        <f>AND(medidas!F174,"AAAAAD/57w4=")</f>
        <v>#VALUE!</v>
      </c>
      <c r="P80" t="e">
        <f>AND(medidas!G174,"AAAAAD/57w8=")</f>
        <v>#VALUE!</v>
      </c>
      <c r="Q80" t="e">
        <f>AND(medidas!H174,"AAAAAD/57xA=")</f>
        <v>#VALUE!</v>
      </c>
      <c r="R80" t="e">
        <f>AND(medidas!I174,"AAAAAD/57xE=")</f>
        <v>#VALUE!</v>
      </c>
      <c r="S80" t="e">
        <f>AND(medidas!J174,"AAAAAD/57xI=")</f>
        <v>#VALUE!</v>
      </c>
      <c r="T80" t="e">
        <f>AND(medidas!K174,"AAAAAD/57xM=")</f>
        <v>#VALUE!</v>
      </c>
      <c r="U80" t="e">
        <f>AND(medidas!L174,"AAAAAD/57xQ=")</f>
        <v>#VALUE!</v>
      </c>
      <c r="V80" t="e">
        <f>AND(medidas!M174,"AAAAAD/57xU=")</f>
        <v>#VALUE!</v>
      </c>
      <c r="W80" t="e">
        <f>AND(medidas!N174,"AAAAAD/57xY=")</f>
        <v>#VALUE!</v>
      </c>
      <c r="X80" t="e">
        <f>AND(medidas!O174,"AAAAAD/57xc=")</f>
        <v>#VALUE!</v>
      </c>
      <c r="Y80" t="e">
        <f>AND(medidas!P174,"AAAAAD/57xg=")</f>
        <v>#VALUE!</v>
      </c>
      <c r="Z80" t="e">
        <f>AND(medidas!Q174,"AAAAAD/57xk=")</f>
        <v>#VALUE!</v>
      </c>
      <c r="AA80" t="e">
        <f>AND(medidas!R174,"AAAAAD/57xo=")</f>
        <v>#VALUE!</v>
      </c>
      <c r="AB80" t="e">
        <f>AND(medidas!S174,"AAAAAD/57xs=")</f>
        <v>#VALUE!</v>
      </c>
      <c r="AC80" t="e">
        <f>AND(medidas!T174,"AAAAAD/57xw=")</f>
        <v>#VALUE!</v>
      </c>
      <c r="AD80" t="e">
        <f>AND(medidas!U174,"AAAAAD/57x0=")</f>
        <v>#VALUE!</v>
      </c>
      <c r="AE80" t="e">
        <f>AND(medidas!V174,"AAAAAD/57x4=")</f>
        <v>#VALUE!</v>
      </c>
      <c r="AF80" t="e">
        <f>AND(medidas!W174,"AAAAAD/57x8=")</f>
        <v>#VALUE!</v>
      </c>
      <c r="AG80" t="e">
        <f>AND(medidas!X174,"AAAAAD/57yA=")</f>
        <v>#VALUE!</v>
      </c>
      <c r="AH80" t="e">
        <f>AND(medidas!Y174,"AAAAAD/57yE=")</f>
        <v>#VALUE!</v>
      </c>
      <c r="AI80" t="e">
        <f>AND(medidas!Z174,"AAAAAD/57yI=")</f>
        <v>#VALUE!</v>
      </c>
      <c r="AJ80" t="e">
        <f>AND(medidas!AA174,"AAAAAD/57yM=")</f>
        <v>#VALUE!</v>
      </c>
      <c r="AK80" t="e">
        <f>AND(medidas!AB174,"AAAAAD/57yQ=")</f>
        <v>#VALUE!</v>
      </c>
      <c r="AL80" t="e">
        <f>AND(medidas!AC174,"AAAAAD/57yU=")</f>
        <v>#VALUE!</v>
      </c>
      <c r="AM80" t="e">
        <f>AND(medidas!AD174,"AAAAAD/57yY=")</f>
        <v>#VALUE!</v>
      </c>
      <c r="AN80" t="e">
        <f>AND(medidas!AE174,"AAAAAD/57yc=")</f>
        <v>#VALUE!</v>
      </c>
      <c r="AO80" t="e">
        <f>AND(medidas!AF174,"AAAAAD/57yg=")</f>
        <v>#VALUE!</v>
      </c>
      <c r="AP80" t="e">
        <f>AND(medidas!AG174,"AAAAAD/57yk=")</f>
        <v>#VALUE!</v>
      </c>
      <c r="AQ80" t="e">
        <f>AND(medidas!AH174,"AAAAAD/57yo=")</f>
        <v>#VALUE!</v>
      </c>
      <c r="AR80" t="e">
        <f>AND(medidas!AI174,"AAAAAD/57ys=")</f>
        <v>#VALUE!</v>
      </c>
      <c r="AS80" t="e">
        <f>AND(medidas!AJ174,"AAAAAD/57yw=")</f>
        <v>#VALUE!</v>
      </c>
      <c r="AT80" t="e">
        <f>AND(medidas!AK174,"AAAAAD/57y0=")</f>
        <v>#VALUE!</v>
      </c>
      <c r="AU80" t="e">
        <f>AND(medidas!AL174,"AAAAAD/57y4=")</f>
        <v>#VALUE!</v>
      </c>
      <c r="AV80" t="e">
        <f>AND(medidas!AM174,"AAAAAD/57y8=")</f>
        <v>#VALUE!</v>
      </c>
      <c r="AW80" t="e">
        <f>AND(medidas!AN174,"AAAAAD/57zA=")</f>
        <v>#VALUE!</v>
      </c>
      <c r="AX80" t="e">
        <f>AND(medidas!AO174,"AAAAAD/57zE=")</f>
        <v>#VALUE!</v>
      </c>
      <c r="AY80" t="e">
        <f>AND(medidas!AP174,"AAAAAD/57zI=")</f>
        <v>#VALUE!</v>
      </c>
      <c r="AZ80" t="e">
        <f>AND(medidas!AQ174,"AAAAAD/57zM=")</f>
        <v>#VALUE!</v>
      </c>
      <c r="BA80" t="e">
        <f>AND(medidas!AR174,"AAAAAD/57zQ=")</f>
        <v>#VALUE!</v>
      </c>
      <c r="BB80" t="e">
        <f>AND(medidas!AS174,"AAAAAD/57zU=")</f>
        <v>#VALUE!</v>
      </c>
      <c r="BC80" t="e">
        <f>AND(medidas!AT174,"AAAAAD/57zY=")</f>
        <v>#VALUE!</v>
      </c>
      <c r="BD80" t="e">
        <f>AND(medidas!AU174,"AAAAAD/57zc=")</f>
        <v>#VALUE!</v>
      </c>
      <c r="BE80" t="e">
        <f>AND(medidas!AV174,"AAAAAD/57zg=")</f>
        <v>#VALUE!</v>
      </c>
      <c r="BF80" t="e">
        <f>AND(medidas!AW174,"AAAAAD/57zk=")</f>
        <v>#VALUE!</v>
      </c>
      <c r="BG80" t="e">
        <f>AND(medidas!AX174,"AAAAAD/57zo=")</f>
        <v>#VALUE!</v>
      </c>
      <c r="BH80" t="e">
        <f>AND(medidas!AY174,"AAAAAD/57zs=")</f>
        <v>#VALUE!</v>
      </c>
      <c r="BI80" t="e">
        <f>AND(medidas!AZ174,"AAAAAD/57zw=")</f>
        <v>#VALUE!</v>
      </c>
      <c r="BJ80" t="e">
        <f>AND(medidas!BA174,"AAAAAD/57z0=")</f>
        <v>#VALUE!</v>
      </c>
      <c r="BK80" t="e">
        <f>AND(medidas!BB174,"AAAAAD/57z4=")</f>
        <v>#VALUE!</v>
      </c>
      <c r="BL80" t="e">
        <f>AND(medidas!BC174,"AAAAAD/57z8=")</f>
        <v>#VALUE!</v>
      </c>
      <c r="BM80" t="e">
        <f>AND(medidas!BD174,"AAAAAD/570A=")</f>
        <v>#VALUE!</v>
      </c>
      <c r="BN80" t="e">
        <f>AND(medidas!BE174,"AAAAAD/570E=")</f>
        <v>#VALUE!</v>
      </c>
      <c r="BO80" t="e">
        <f>AND(medidas!BF174,"AAAAAD/570I=")</f>
        <v>#VALUE!</v>
      </c>
      <c r="BP80" t="e">
        <f>AND(medidas!BG174,"AAAAAD/570M=")</f>
        <v>#VALUE!</v>
      </c>
      <c r="BQ80" t="e">
        <f>AND(medidas!BH174,"AAAAAD/570Q=")</f>
        <v>#VALUE!</v>
      </c>
      <c r="BR80" t="e">
        <f>AND(medidas!BI174,"AAAAAD/570U=")</f>
        <v>#VALUE!</v>
      </c>
      <c r="BS80" t="e">
        <f>AND(medidas!BJ174,"AAAAAD/570Y=")</f>
        <v>#VALUE!</v>
      </c>
      <c r="BT80" t="e">
        <f>AND(medidas!BK174,"AAAAAD/570c=")</f>
        <v>#VALUE!</v>
      </c>
      <c r="BU80" t="e">
        <f>AND(medidas!BL174,"AAAAAD/570g=")</f>
        <v>#VALUE!</v>
      </c>
      <c r="BV80" t="e">
        <f>AND(medidas!BM174,"AAAAAD/570k=")</f>
        <v>#VALUE!</v>
      </c>
      <c r="BW80" t="e">
        <f>AND(medidas!BN174,"AAAAAD/570o=")</f>
        <v>#VALUE!</v>
      </c>
      <c r="BX80" t="e">
        <f>AND(medidas!BO174,"AAAAAD/570s=")</f>
        <v>#VALUE!</v>
      </c>
      <c r="BY80" t="e">
        <f>AND(medidas!BP174,"AAAAAD/570w=")</f>
        <v>#VALUE!</v>
      </c>
      <c r="BZ80" t="e">
        <f>AND(medidas!BQ174,"AAAAAD/5700=")</f>
        <v>#VALUE!</v>
      </c>
      <c r="CA80" t="e">
        <f>AND(medidas!BR174,"AAAAAD/5704=")</f>
        <v>#VALUE!</v>
      </c>
      <c r="CB80" t="e">
        <f>AND(medidas!BS174,"AAAAAD/5708=")</f>
        <v>#VALUE!</v>
      </c>
      <c r="CC80" t="e">
        <f>AND(medidas!BT174,"AAAAAD/571A=")</f>
        <v>#VALUE!</v>
      </c>
      <c r="CD80" t="e">
        <f>AND(medidas!BU174,"AAAAAD/571E=")</f>
        <v>#VALUE!</v>
      </c>
      <c r="CE80" t="e">
        <f>AND(medidas!BV174,"AAAAAD/571I=")</f>
        <v>#VALUE!</v>
      </c>
      <c r="CF80" t="e">
        <f>AND(medidas!BW174,"AAAAAD/571M=")</f>
        <v>#VALUE!</v>
      </c>
      <c r="CG80" t="e">
        <f>AND(medidas!BX174,"AAAAAD/571Q=")</f>
        <v>#VALUE!</v>
      </c>
      <c r="CH80" t="e">
        <f>AND(medidas!BY174,"AAAAAD/571U=")</f>
        <v>#VALUE!</v>
      </c>
      <c r="CI80">
        <f>IF(medidas!175:175,"AAAAAD/571Y=",0)</f>
        <v>0</v>
      </c>
      <c r="CJ80" t="e">
        <f>AND(medidas!B175,"AAAAAD/571c=")</f>
        <v>#VALUE!</v>
      </c>
      <c r="CK80" t="e">
        <f>AND(medidas!C175,"AAAAAD/571g=")</f>
        <v>#VALUE!</v>
      </c>
      <c r="CL80" t="e">
        <f>AND(medidas!D175,"AAAAAD/571k=")</f>
        <v>#VALUE!</v>
      </c>
      <c r="CM80" t="e">
        <f>AND(medidas!E175,"AAAAAD/571o=")</f>
        <v>#VALUE!</v>
      </c>
      <c r="CN80" t="e">
        <f>AND(medidas!F175,"AAAAAD/571s=")</f>
        <v>#VALUE!</v>
      </c>
      <c r="CO80" t="e">
        <f>AND(medidas!G175,"AAAAAD/571w=")</f>
        <v>#VALUE!</v>
      </c>
      <c r="CP80" t="e">
        <f>AND(medidas!H175,"AAAAAD/5710=")</f>
        <v>#VALUE!</v>
      </c>
      <c r="CQ80" t="e">
        <f>AND(medidas!I175,"AAAAAD/5714=")</f>
        <v>#VALUE!</v>
      </c>
      <c r="CR80" t="e">
        <f>AND(medidas!J175,"AAAAAD/5718=")</f>
        <v>#VALUE!</v>
      </c>
      <c r="CS80" t="e">
        <f>AND(medidas!K175,"AAAAAD/572A=")</f>
        <v>#VALUE!</v>
      </c>
      <c r="CT80" t="e">
        <f>AND(medidas!L175,"AAAAAD/572E=")</f>
        <v>#VALUE!</v>
      </c>
      <c r="CU80" t="e">
        <f>AND(medidas!M175,"AAAAAD/572I=")</f>
        <v>#VALUE!</v>
      </c>
      <c r="CV80" t="e">
        <f>AND(medidas!N175,"AAAAAD/572M=")</f>
        <v>#VALUE!</v>
      </c>
      <c r="CW80" t="e">
        <f>AND(medidas!O175,"AAAAAD/572Q=")</f>
        <v>#VALUE!</v>
      </c>
      <c r="CX80" t="e">
        <f>AND(medidas!P175,"AAAAAD/572U=")</f>
        <v>#VALUE!</v>
      </c>
      <c r="CY80" t="e">
        <f>AND(medidas!Q175,"AAAAAD/572Y=")</f>
        <v>#VALUE!</v>
      </c>
      <c r="CZ80" t="e">
        <f>AND(medidas!R175,"AAAAAD/572c=")</f>
        <v>#VALUE!</v>
      </c>
      <c r="DA80" t="e">
        <f>AND(medidas!S175,"AAAAAD/572g=")</f>
        <v>#VALUE!</v>
      </c>
      <c r="DB80" t="e">
        <f>AND(medidas!T175,"AAAAAD/572k=")</f>
        <v>#VALUE!</v>
      </c>
      <c r="DC80" t="e">
        <f>AND(medidas!U175,"AAAAAD/572o=")</f>
        <v>#VALUE!</v>
      </c>
      <c r="DD80" t="e">
        <f>AND(medidas!V175,"AAAAAD/572s=")</f>
        <v>#VALUE!</v>
      </c>
      <c r="DE80" t="e">
        <f>AND(medidas!W175,"AAAAAD/572w=")</f>
        <v>#VALUE!</v>
      </c>
      <c r="DF80" t="e">
        <f>AND(medidas!X175,"AAAAAD/5720=")</f>
        <v>#VALUE!</v>
      </c>
      <c r="DG80" t="e">
        <f>AND(medidas!Y175,"AAAAAD/5724=")</f>
        <v>#VALUE!</v>
      </c>
      <c r="DH80" t="e">
        <f>AND(medidas!Z175,"AAAAAD/5728=")</f>
        <v>#VALUE!</v>
      </c>
      <c r="DI80" t="e">
        <f>AND(medidas!AA175,"AAAAAD/573A=")</f>
        <v>#VALUE!</v>
      </c>
      <c r="DJ80" t="e">
        <f>AND(medidas!AB175,"AAAAAD/573E=")</f>
        <v>#VALUE!</v>
      </c>
      <c r="DK80" t="e">
        <f>AND(medidas!AC175,"AAAAAD/573I=")</f>
        <v>#VALUE!</v>
      </c>
      <c r="DL80" t="e">
        <f>AND(medidas!AD175,"AAAAAD/573M=")</f>
        <v>#VALUE!</v>
      </c>
      <c r="DM80" t="e">
        <f>AND(medidas!AE175,"AAAAAD/573Q=")</f>
        <v>#VALUE!</v>
      </c>
      <c r="DN80" t="e">
        <f>AND(medidas!AF175,"AAAAAD/573U=")</f>
        <v>#VALUE!</v>
      </c>
      <c r="DO80" t="e">
        <f>AND(medidas!AG175,"AAAAAD/573Y=")</f>
        <v>#VALUE!</v>
      </c>
      <c r="DP80" t="e">
        <f>AND(medidas!AH175,"AAAAAD/573c=")</f>
        <v>#VALUE!</v>
      </c>
      <c r="DQ80" t="e">
        <f>AND(medidas!AI175,"AAAAAD/573g=")</f>
        <v>#VALUE!</v>
      </c>
      <c r="DR80" t="e">
        <f>AND(medidas!AJ175,"AAAAAD/573k=")</f>
        <v>#VALUE!</v>
      </c>
      <c r="DS80" t="e">
        <f>AND(medidas!AK175,"AAAAAD/573o=")</f>
        <v>#VALUE!</v>
      </c>
      <c r="DT80" t="e">
        <f>AND(medidas!AL175,"AAAAAD/573s=")</f>
        <v>#VALUE!</v>
      </c>
      <c r="DU80" t="e">
        <f>AND(medidas!AM175,"AAAAAD/573w=")</f>
        <v>#VALUE!</v>
      </c>
      <c r="DV80" t="e">
        <f>AND(medidas!AN175,"AAAAAD/5730=")</f>
        <v>#VALUE!</v>
      </c>
      <c r="DW80" t="e">
        <f>AND(medidas!AO175,"AAAAAD/5734=")</f>
        <v>#VALUE!</v>
      </c>
      <c r="DX80" t="e">
        <f>AND(medidas!AP175,"AAAAAD/5738=")</f>
        <v>#VALUE!</v>
      </c>
      <c r="DY80" t="e">
        <f>AND(medidas!AQ175,"AAAAAD/574A=")</f>
        <v>#VALUE!</v>
      </c>
      <c r="DZ80" t="e">
        <f>AND(medidas!AR175,"AAAAAD/574E=")</f>
        <v>#VALUE!</v>
      </c>
      <c r="EA80" t="e">
        <f>AND(medidas!AS175,"AAAAAD/574I=")</f>
        <v>#VALUE!</v>
      </c>
      <c r="EB80" t="e">
        <f>AND(medidas!AT175,"AAAAAD/574M=")</f>
        <v>#VALUE!</v>
      </c>
      <c r="EC80" t="e">
        <f>AND(medidas!AU175,"AAAAAD/574Q=")</f>
        <v>#VALUE!</v>
      </c>
      <c r="ED80" t="e">
        <f>AND(medidas!AV175,"AAAAAD/574U=")</f>
        <v>#VALUE!</v>
      </c>
      <c r="EE80" t="e">
        <f>AND(medidas!AW175,"AAAAAD/574Y=")</f>
        <v>#VALUE!</v>
      </c>
      <c r="EF80" t="e">
        <f>AND(medidas!AX175,"AAAAAD/574c=")</f>
        <v>#VALUE!</v>
      </c>
      <c r="EG80" t="e">
        <f>AND(medidas!AY175,"AAAAAD/574g=")</f>
        <v>#VALUE!</v>
      </c>
      <c r="EH80" t="e">
        <f>AND(medidas!AZ175,"AAAAAD/574k=")</f>
        <v>#VALUE!</v>
      </c>
      <c r="EI80" t="e">
        <f>AND(medidas!BA175,"AAAAAD/574o=")</f>
        <v>#VALUE!</v>
      </c>
      <c r="EJ80" t="e">
        <f>AND(medidas!BB175,"AAAAAD/574s=")</f>
        <v>#VALUE!</v>
      </c>
      <c r="EK80" t="e">
        <f>AND(medidas!BC175,"AAAAAD/574w=")</f>
        <v>#VALUE!</v>
      </c>
      <c r="EL80" t="e">
        <f>AND(medidas!BD175,"AAAAAD/5740=")</f>
        <v>#VALUE!</v>
      </c>
      <c r="EM80" t="e">
        <f>AND(medidas!BE175,"AAAAAD/5744=")</f>
        <v>#VALUE!</v>
      </c>
      <c r="EN80" t="e">
        <f>AND(medidas!BF175,"AAAAAD/5748=")</f>
        <v>#VALUE!</v>
      </c>
      <c r="EO80" t="e">
        <f>AND(medidas!BG175,"AAAAAD/575A=")</f>
        <v>#VALUE!</v>
      </c>
      <c r="EP80" t="e">
        <f>AND(medidas!BH175,"AAAAAD/575E=")</f>
        <v>#VALUE!</v>
      </c>
      <c r="EQ80" t="e">
        <f>AND(medidas!BI175,"AAAAAD/575I=")</f>
        <v>#VALUE!</v>
      </c>
      <c r="ER80" t="e">
        <f>AND(medidas!BJ175,"AAAAAD/575M=")</f>
        <v>#VALUE!</v>
      </c>
      <c r="ES80" t="e">
        <f>AND(medidas!BK175,"AAAAAD/575Q=")</f>
        <v>#VALUE!</v>
      </c>
      <c r="ET80" t="e">
        <f>AND(medidas!BL175,"AAAAAD/575U=")</f>
        <v>#VALUE!</v>
      </c>
      <c r="EU80" t="e">
        <f>AND(medidas!BM175,"AAAAAD/575Y=")</f>
        <v>#VALUE!</v>
      </c>
      <c r="EV80" t="e">
        <f>AND(medidas!BN175,"AAAAAD/575c=")</f>
        <v>#VALUE!</v>
      </c>
      <c r="EW80" t="e">
        <f>AND(medidas!BO175,"AAAAAD/575g=")</f>
        <v>#VALUE!</v>
      </c>
      <c r="EX80" t="e">
        <f>AND(medidas!BP175,"AAAAAD/575k=")</f>
        <v>#VALUE!</v>
      </c>
      <c r="EY80" t="e">
        <f>AND(medidas!BQ175,"AAAAAD/575o=")</f>
        <v>#VALUE!</v>
      </c>
      <c r="EZ80" t="e">
        <f>AND(medidas!BR175,"AAAAAD/575s=")</f>
        <v>#VALUE!</v>
      </c>
      <c r="FA80" t="e">
        <f>AND(medidas!BS175,"AAAAAD/575w=")</f>
        <v>#VALUE!</v>
      </c>
      <c r="FB80" t="e">
        <f>AND(medidas!BT175,"AAAAAD/5750=")</f>
        <v>#VALUE!</v>
      </c>
      <c r="FC80" t="e">
        <f>AND(medidas!BU175,"AAAAAD/5754=")</f>
        <v>#VALUE!</v>
      </c>
      <c r="FD80" t="e">
        <f>AND(medidas!BV175,"AAAAAD/5758=")</f>
        <v>#VALUE!</v>
      </c>
      <c r="FE80" t="e">
        <f>AND(medidas!BW175,"AAAAAD/576A=")</f>
        <v>#VALUE!</v>
      </c>
      <c r="FF80" t="e">
        <f>AND(medidas!BX175,"AAAAAD/576E=")</f>
        <v>#VALUE!</v>
      </c>
      <c r="FG80" t="e">
        <f>AND(medidas!BY175,"AAAAAD/576I=")</f>
        <v>#VALUE!</v>
      </c>
      <c r="FH80">
        <f>IF(medidas!176:176,"AAAAAD/576M=",0)</f>
        <v>0</v>
      </c>
      <c r="FI80" t="e">
        <f>AND(medidas!B176,"AAAAAD/576Q=")</f>
        <v>#VALUE!</v>
      </c>
      <c r="FJ80" t="e">
        <f>AND(medidas!C176,"AAAAAD/576U=")</f>
        <v>#VALUE!</v>
      </c>
      <c r="FK80" t="e">
        <f>AND(medidas!D176,"AAAAAD/576Y=")</f>
        <v>#VALUE!</v>
      </c>
      <c r="FL80" t="e">
        <f>AND(medidas!E176,"AAAAAD/576c=")</f>
        <v>#VALUE!</v>
      </c>
      <c r="FM80" t="e">
        <f>AND(medidas!F176,"AAAAAD/576g=")</f>
        <v>#VALUE!</v>
      </c>
      <c r="FN80" t="e">
        <f>AND(medidas!G176,"AAAAAD/576k=")</f>
        <v>#VALUE!</v>
      </c>
      <c r="FO80" t="e">
        <f>AND(medidas!H176,"AAAAAD/576o=")</f>
        <v>#VALUE!</v>
      </c>
      <c r="FP80" t="e">
        <f>AND(medidas!I176,"AAAAAD/576s=")</f>
        <v>#VALUE!</v>
      </c>
      <c r="FQ80" t="e">
        <f>AND(medidas!J176,"AAAAAD/576w=")</f>
        <v>#VALUE!</v>
      </c>
      <c r="FR80" t="e">
        <f>AND(medidas!K176,"AAAAAD/5760=")</f>
        <v>#VALUE!</v>
      </c>
      <c r="FS80" t="e">
        <f>AND(medidas!L176,"AAAAAD/5764=")</f>
        <v>#VALUE!</v>
      </c>
      <c r="FT80" t="e">
        <f>AND(medidas!M176,"AAAAAD/5768=")</f>
        <v>#VALUE!</v>
      </c>
      <c r="FU80" t="e">
        <f>AND(medidas!N176,"AAAAAD/577A=")</f>
        <v>#VALUE!</v>
      </c>
      <c r="FV80" t="e">
        <f>AND(medidas!O176,"AAAAAD/577E=")</f>
        <v>#VALUE!</v>
      </c>
      <c r="FW80" t="e">
        <f>AND(medidas!P176,"AAAAAD/577I=")</f>
        <v>#VALUE!</v>
      </c>
      <c r="FX80" t="e">
        <f>AND(medidas!Q176,"AAAAAD/577M=")</f>
        <v>#VALUE!</v>
      </c>
      <c r="FY80" t="e">
        <f>AND(medidas!R176,"AAAAAD/577Q=")</f>
        <v>#VALUE!</v>
      </c>
      <c r="FZ80" t="e">
        <f>AND(medidas!S176,"AAAAAD/577U=")</f>
        <v>#VALUE!</v>
      </c>
      <c r="GA80" t="e">
        <f>AND(medidas!T176,"AAAAAD/577Y=")</f>
        <v>#VALUE!</v>
      </c>
      <c r="GB80" t="e">
        <f>AND(medidas!U176,"AAAAAD/577c=")</f>
        <v>#VALUE!</v>
      </c>
      <c r="GC80" t="e">
        <f>AND(medidas!V176,"AAAAAD/577g=")</f>
        <v>#VALUE!</v>
      </c>
      <c r="GD80" t="e">
        <f>AND(medidas!W176,"AAAAAD/577k=")</f>
        <v>#VALUE!</v>
      </c>
      <c r="GE80" t="e">
        <f>AND(medidas!X176,"AAAAAD/577o=")</f>
        <v>#VALUE!</v>
      </c>
      <c r="GF80" t="e">
        <f>AND(medidas!Y176,"AAAAAD/577s=")</f>
        <v>#VALUE!</v>
      </c>
      <c r="GG80" t="e">
        <f>AND(medidas!Z176,"AAAAAD/577w=")</f>
        <v>#VALUE!</v>
      </c>
      <c r="GH80" t="e">
        <f>AND(medidas!AA176,"AAAAAD/5770=")</f>
        <v>#VALUE!</v>
      </c>
      <c r="GI80" t="e">
        <f>AND(medidas!AB176,"AAAAAD/5774=")</f>
        <v>#VALUE!</v>
      </c>
      <c r="GJ80" t="e">
        <f>AND(medidas!AC176,"AAAAAD/5778=")</f>
        <v>#VALUE!</v>
      </c>
      <c r="GK80" t="e">
        <f>AND(medidas!AD176,"AAAAAD/578A=")</f>
        <v>#VALUE!</v>
      </c>
      <c r="GL80" t="e">
        <f>AND(medidas!AE176,"AAAAAD/578E=")</f>
        <v>#VALUE!</v>
      </c>
      <c r="GM80" t="e">
        <f>AND(medidas!AF176,"AAAAAD/578I=")</f>
        <v>#VALUE!</v>
      </c>
      <c r="GN80" t="e">
        <f>AND(medidas!AG176,"AAAAAD/578M=")</f>
        <v>#VALUE!</v>
      </c>
      <c r="GO80" t="e">
        <f>AND(medidas!AH176,"AAAAAD/578Q=")</f>
        <v>#VALUE!</v>
      </c>
      <c r="GP80" t="e">
        <f>AND(medidas!AI176,"AAAAAD/578U=")</f>
        <v>#VALUE!</v>
      </c>
      <c r="GQ80" t="e">
        <f>AND(medidas!AJ176,"AAAAAD/578Y=")</f>
        <v>#VALUE!</v>
      </c>
      <c r="GR80" t="e">
        <f>AND(medidas!AK176,"AAAAAD/578c=")</f>
        <v>#VALUE!</v>
      </c>
      <c r="GS80" t="e">
        <f>AND(medidas!AL176,"AAAAAD/578g=")</f>
        <v>#VALUE!</v>
      </c>
      <c r="GT80" t="e">
        <f>AND(medidas!AM176,"AAAAAD/578k=")</f>
        <v>#VALUE!</v>
      </c>
      <c r="GU80" t="e">
        <f>AND(medidas!AN176,"AAAAAD/578o=")</f>
        <v>#VALUE!</v>
      </c>
      <c r="GV80" t="e">
        <f>AND(medidas!AO176,"AAAAAD/578s=")</f>
        <v>#VALUE!</v>
      </c>
      <c r="GW80" t="e">
        <f>AND(medidas!AP176,"AAAAAD/578w=")</f>
        <v>#VALUE!</v>
      </c>
      <c r="GX80" t="e">
        <f>AND(medidas!AQ176,"AAAAAD/5780=")</f>
        <v>#VALUE!</v>
      </c>
      <c r="GY80" t="e">
        <f>AND(medidas!AR176,"AAAAAD/5784=")</f>
        <v>#VALUE!</v>
      </c>
      <c r="GZ80" t="e">
        <f>AND(medidas!AS176,"AAAAAD/5788=")</f>
        <v>#VALUE!</v>
      </c>
      <c r="HA80" t="e">
        <f>AND(medidas!AT176,"AAAAAD/579A=")</f>
        <v>#VALUE!</v>
      </c>
      <c r="HB80" t="e">
        <f>AND(medidas!AU176,"AAAAAD/579E=")</f>
        <v>#VALUE!</v>
      </c>
      <c r="HC80" t="e">
        <f>AND(medidas!AV176,"AAAAAD/579I=")</f>
        <v>#VALUE!</v>
      </c>
      <c r="HD80" t="e">
        <f>AND(medidas!AW176,"AAAAAD/579M=")</f>
        <v>#VALUE!</v>
      </c>
      <c r="HE80" t="e">
        <f>AND(medidas!AX176,"AAAAAD/579Q=")</f>
        <v>#VALUE!</v>
      </c>
      <c r="HF80" t="e">
        <f>AND(medidas!AY176,"AAAAAD/579U=")</f>
        <v>#VALUE!</v>
      </c>
      <c r="HG80" t="e">
        <f>AND(medidas!AZ176,"AAAAAD/579Y=")</f>
        <v>#VALUE!</v>
      </c>
      <c r="HH80" t="e">
        <f>AND(medidas!BA176,"AAAAAD/579c=")</f>
        <v>#VALUE!</v>
      </c>
      <c r="HI80" t="e">
        <f>AND(medidas!BB176,"AAAAAD/579g=")</f>
        <v>#VALUE!</v>
      </c>
      <c r="HJ80" t="e">
        <f>AND(medidas!BC176,"AAAAAD/579k=")</f>
        <v>#VALUE!</v>
      </c>
      <c r="HK80" t="e">
        <f>AND(medidas!BD176,"AAAAAD/579o=")</f>
        <v>#VALUE!</v>
      </c>
      <c r="HL80" t="e">
        <f>AND(medidas!BE176,"AAAAAD/579s=")</f>
        <v>#VALUE!</v>
      </c>
      <c r="HM80" t="e">
        <f>AND(medidas!BF176,"AAAAAD/579w=")</f>
        <v>#VALUE!</v>
      </c>
      <c r="HN80" t="e">
        <f>AND(medidas!BG176,"AAAAAD/5790=")</f>
        <v>#VALUE!</v>
      </c>
      <c r="HO80" t="e">
        <f>AND(medidas!BH176,"AAAAAD/5794=")</f>
        <v>#VALUE!</v>
      </c>
      <c r="HP80" t="e">
        <f>AND(medidas!BI176,"AAAAAD/5798=")</f>
        <v>#VALUE!</v>
      </c>
      <c r="HQ80" t="e">
        <f>AND(medidas!BJ176,"AAAAAD/57+A=")</f>
        <v>#VALUE!</v>
      </c>
      <c r="HR80" t="e">
        <f>AND(medidas!BK176,"AAAAAD/57+E=")</f>
        <v>#VALUE!</v>
      </c>
      <c r="HS80" t="e">
        <f>AND(medidas!BL176,"AAAAAD/57+I=")</f>
        <v>#VALUE!</v>
      </c>
      <c r="HT80" t="e">
        <f>AND(medidas!BM176,"AAAAAD/57+M=")</f>
        <v>#VALUE!</v>
      </c>
      <c r="HU80" t="e">
        <f>AND(medidas!BN176,"AAAAAD/57+Q=")</f>
        <v>#VALUE!</v>
      </c>
      <c r="HV80" t="e">
        <f>AND(medidas!BO176,"AAAAAD/57+U=")</f>
        <v>#VALUE!</v>
      </c>
      <c r="HW80" t="e">
        <f>AND(medidas!BP176,"AAAAAD/57+Y=")</f>
        <v>#VALUE!</v>
      </c>
      <c r="HX80" t="e">
        <f>AND(medidas!BQ176,"AAAAAD/57+c=")</f>
        <v>#VALUE!</v>
      </c>
      <c r="HY80" t="e">
        <f>AND(medidas!BR176,"AAAAAD/57+g=")</f>
        <v>#VALUE!</v>
      </c>
      <c r="HZ80" t="e">
        <f>AND(medidas!BS176,"AAAAAD/57+k=")</f>
        <v>#VALUE!</v>
      </c>
      <c r="IA80" t="e">
        <f>AND(medidas!BT176,"AAAAAD/57+o=")</f>
        <v>#VALUE!</v>
      </c>
      <c r="IB80" t="e">
        <f>AND(medidas!BU176,"AAAAAD/57+s=")</f>
        <v>#VALUE!</v>
      </c>
      <c r="IC80" t="e">
        <f>AND(medidas!BV176,"AAAAAD/57+w=")</f>
        <v>#VALUE!</v>
      </c>
      <c r="ID80" t="e">
        <f>AND(medidas!BW176,"AAAAAD/57+0=")</f>
        <v>#VALUE!</v>
      </c>
      <c r="IE80" t="e">
        <f>AND(medidas!BX176,"AAAAAD/57+4=")</f>
        <v>#VALUE!</v>
      </c>
      <c r="IF80" t="e">
        <f>AND(medidas!BY176,"AAAAAD/57+8=")</f>
        <v>#VALUE!</v>
      </c>
      <c r="IG80">
        <f>IF(medidas!177:177,"AAAAAD/57/A=",0)</f>
        <v>0</v>
      </c>
      <c r="IH80" t="e">
        <f>AND(medidas!B177,"AAAAAD/57/E=")</f>
        <v>#VALUE!</v>
      </c>
      <c r="II80" t="e">
        <f>AND(medidas!C177,"AAAAAD/57/I=")</f>
        <v>#VALUE!</v>
      </c>
      <c r="IJ80" t="e">
        <f>AND(medidas!D177,"AAAAAD/57/M=")</f>
        <v>#VALUE!</v>
      </c>
      <c r="IK80" t="e">
        <f>AND(medidas!E177,"AAAAAD/57/Q=")</f>
        <v>#VALUE!</v>
      </c>
      <c r="IL80" t="e">
        <f>AND(medidas!F177,"AAAAAD/57/U=")</f>
        <v>#VALUE!</v>
      </c>
      <c r="IM80" t="e">
        <f>AND(medidas!G177,"AAAAAD/57/Y=")</f>
        <v>#VALUE!</v>
      </c>
      <c r="IN80" t="e">
        <f>AND(medidas!H177,"AAAAAD/57/c=")</f>
        <v>#VALUE!</v>
      </c>
      <c r="IO80" t="e">
        <f>AND(medidas!I177,"AAAAAD/57/g=")</f>
        <v>#VALUE!</v>
      </c>
      <c r="IP80" t="e">
        <f>AND(medidas!J177,"AAAAAD/57/k=")</f>
        <v>#VALUE!</v>
      </c>
      <c r="IQ80" t="e">
        <f>AND(medidas!K177,"AAAAAD/57/o=")</f>
        <v>#VALUE!</v>
      </c>
      <c r="IR80" t="e">
        <f>AND(medidas!L177,"AAAAAD/57/s=")</f>
        <v>#VALUE!</v>
      </c>
      <c r="IS80" t="e">
        <f>AND(medidas!M177,"AAAAAD/57/w=")</f>
        <v>#VALUE!</v>
      </c>
      <c r="IT80" t="e">
        <f>AND(medidas!N177,"AAAAAD/57/0=")</f>
        <v>#VALUE!</v>
      </c>
      <c r="IU80" t="e">
        <f>AND(medidas!O177,"AAAAAD/57/4=")</f>
        <v>#VALUE!</v>
      </c>
      <c r="IV80" t="e">
        <f>AND(medidas!P177,"AAAAAD/57/8=")</f>
        <v>#VALUE!</v>
      </c>
    </row>
    <row r="81" spans="1:256" x14ac:dyDescent="0.2">
      <c r="A81" t="e">
        <f>AND(medidas!Q177,"AAAAADm//wA=")</f>
        <v>#VALUE!</v>
      </c>
      <c r="B81" t="e">
        <f>AND(medidas!R177,"AAAAADm//wE=")</f>
        <v>#VALUE!</v>
      </c>
      <c r="C81" t="e">
        <f>AND(medidas!S177,"AAAAADm//wI=")</f>
        <v>#VALUE!</v>
      </c>
      <c r="D81" t="e">
        <f>AND(medidas!T177,"AAAAADm//wM=")</f>
        <v>#VALUE!</v>
      </c>
      <c r="E81" t="e">
        <f>AND(medidas!U177,"AAAAADm//wQ=")</f>
        <v>#VALUE!</v>
      </c>
      <c r="F81" t="e">
        <f>AND(medidas!V177,"AAAAADm//wU=")</f>
        <v>#VALUE!</v>
      </c>
      <c r="G81" t="e">
        <f>AND(medidas!W177,"AAAAADm//wY=")</f>
        <v>#VALUE!</v>
      </c>
      <c r="H81" t="e">
        <f>AND(medidas!X177,"AAAAADm//wc=")</f>
        <v>#VALUE!</v>
      </c>
      <c r="I81" t="e">
        <f>AND(medidas!Y177,"AAAAADm//wg=")</f>
        <v>#VALUE!</v>
      </c>
      <c r="J81" t="e">
        <f>AND(medidas!Z177,"AAAAADm//wk=")</f>
        <v>#VALUE!</v>
      </c>
      <c r="K81" t="e">
        <f>AND(medidas!AA177,"AAAAADm//wo=")</f>
        <v>#VALUE!</v>
      </c>
      <c r="L81" t="e">
        <f>AND(medidas!AB177,"AAAAADm//ws=")</f>
        <v>#VALUE!</v>
      </c>
      <c r="M81" t="e">
        <f>AND(medidas!AC177,"AAAAADm//ww=")</f>
        <v>#VALUE!</v>
      </c>
      <c r="N81" t="e">
        <f>AND(medidas!AD177,"AAAAADm//w0=")</f>
        <v>#VALUE!</v>
      </c>
      <c r="O81" t="e">
        <f>AND(medidas!AE177,"AAAAADm//w4=")</f>
        <v>#VALUE!</v>
      </c>
      <c r="P81" t="e">
        <f>AND(medidas!AF177,"AAAAADm//w8=")</f>
        <v>#VALUE!</v>
      </c>
      <c r="Q81" t="e">
        <f>AND(medidas!AG177,"AAAAADm//xA=")</f>
        <v>#VALUE!</v>
      </c>
      <c r="R81" t="e">
        <f>AND(medidas!AH177,"AAAAADm//xE=")</f>
        <v>#VALUE!</v>
      </c>
      <c r="S81" t="e">
        <f>AND(medidas!AI177,"AAAAADm//xI=")</f>
        <v>#VALUE!</v>
      </c>
      <c r="T81" t="e">
        <f>AND(medidas!AJ177,"AAAAADm//xM=")</f>
        <v>#VALUE!</v>
      </c>
      <c r="U81" t="e">
        <f>AND(medidas!AK177,"AAAAADm//xQ=")</f>
        <v>#VALUE!</v>
      </c>
      <c r="V81" t="e">
        <f>AND(medidas!AL177,"AAAAADm//xU=")</f>
        <v>#VALUE!</v>
      </c>
      <c r="W81" t="e">
        <f>AND(medidas!AM177,"AAAAADm//xY=")</f>
        <v>#VALUE!</v>
      </c>
      <c r="X81" t="e">
        <f>AND(medidas!AN177,"AAAAADm//xc=")</f>
        <v>#VALUE!</v>
      </c>
      <c r="Y81" t="e">
        <f>AND(medidas!AO177,"AAAAADm//xg=")</f>
        <v>#VALUE!</v>
      </c>
      <c r="Z81" t="e">
        <f>AND(medidas!AP177,"AAAAADm//xk=")</f>
        <v>#VALUE!</v>
      </c>
      <c r="AA81" t="e">
        <f>AND(medidas!AQ177,"AAAAADm//xo=")</f>
        <v>#VALUE!</v>
      </c>
      <c r="AB81" t="e">
        <f>AND(medidas!AR177,"AAAAADm//xs=")</f>
        <v>#VALUE!</v>
      </c>
      <c r="AC81" t="e">
        <f>AND(medidas!AS177,"AAAAADm//xw=")</f>
        <v>#VALUE!</v>
      </c>
      <c r="AD81" t="e">
        <f>AND(medidas!AT177,"AAAAADm//x0=")</f>
        <v>#VALUE!</v>
      </c>
      <c r="AE81" t="e">
        <f>AND(medidas!AU177,"AAAAADm//x4=")</f>
        <v>#VALUE!</v>
      </c>
      <c r="AF81" t="e">
        <f>AND(medidas!AV177,"AAAAADm//x8=")</f>
        <v>#VALUE!</v>
      </c>
      <c r="AG81" t="e">
        <f>AND(medidas!AW177,"AAAAADm//yA=")</f>
        <v>#VALUE!</v>
      </c>
      <c r="AH81" t="e">
        <f>AND(medidas!AX177,"AAAAADm//yE=")</f>
        <v>#VALUE!</v>
      </c>
      <c r="AI81" t="e">
        <f>AND(medidas!AY177,"AAAAADm//yI=")</f>
        <v>#VALUE!</v>
      </c>
      <c r="AJ81" t="e">
        <f>AND(medidas!AZ177,"AAAAADm//yM=")</f>
        <v>#VALUE!</v>
      </c>
      <c r="AK81" t="e">
        <f>AND(medidas!BA177,"AAAAADm//yQ=")</f>
        <v>#VALUE!</v>
      </c>
      <c r="AL81" t="e">
        <f>AND(medidas!BB177,"AAAAADm//yU=")</f>
        <v>#VALUE!</v>
      </c>
      <c r="AM81" t="e">
        <f>AND(medidas!BC177,"AAAAADm//yY=")</f>
        <v>#VALUE!</v>
      </c>
      <c r="AN81" t="e">
        <f>AND(medidas!BD177,"AAAAADm//yc=")</f>
        <v>#VALUE!</v>
      </c>
      <c r="AO81" t="e">
        <f>AND(medidas!BE177,"AAAAADm//yg=")</f>
        <v>#VALUE!</v>
      </c>
      <c r="AP81" t="e">
        <f>AND(medidas!BF177,"AAAAADm//yk=")</f>
        <v>#VALUE!</v>
      </c>
      <c r="AQ81" t="e">
        <f>AND(medidas!BG177,"AAAAADm//yo=")</f>
        <v>#VALUE!</v>
      </c>
      <c r="AR81" t="e">
        <f>AND(medidas!BH177,"AAAAADm//ys=")</f>
        <v>#VALUE!</v>
      </c>
      <c r="AS81" t="e">
        <f>AND(medidas!BI177,"AAAAADm//yw=")</f>
        <v>#VALUE!</v>
      </c>
      <c r="AT81" t="e">
        <f>AND(medidas!BJ177,"AAAAADm//y0=")</f>
        <v>#VALUE!</v>
      </c>
      <c r="AU81" t="e">
        <f>AND(medidas!BK177,"AAAAADm//y4=")</f>
        <v>#VALUE!</v>
      </c>
      <c r="AV81" t="e">
        <f>AND(medidas!BL177,"AAAAADm//y8=")</f>
        <v>#VALUE!</v>
      </c>
      <c r="AW81" t="e">
        <f>AND(medidas!BM177,"AAAAADm//zA=")</f>
        <v>#VALUE!</v>
      </c>
      <c r="AX81" t="e">
        <f>AND(medidas!BN177,"AAAAADm//zE=")</f>
        <v>#VALUE!</v>
      </c>
      <c r="AY81" t="e">
        <f>AND(medidas!BO177,"AAAAADm//zI=")</f>
        <v>#VALUE!</v>
      </c>
      <c r="AZ81" t="e">
        <f>AND(medidas!BP177,"AAAAADm//zM=")</f>
        <v>#VALUE!</v>
      </c>
      <c r="BA81" t="e">
        <f>AND(medidas!BQ177,"AAAAADm//zQ=")</f>
        <v>#VALUE!</v>
      </c>
      <c r="BB81" t="e">
        <f>AND(medidas!BR177,"AAAAADm//zU=")</f>
        <v>#VALUE!</v>
      </c>
      <c r="BC81" t="e">
        <f>AND(medidas!BS177,"AAAAADm//zY=")</f>
        <v>#VALUE!</v>
      </c>
      <c r="BD81" t="e">
        <f>AND(medidas!BT177,"AAAAADm//zc=")</f>
        <v>#VALUE!</v>
      </c>
      <c r="BE81" t="e">
        <f>AND(medidas!BU177,"AAAAADm//zg=")</f>
        <v>#VALUE!</v>
      </c>
      <c r="BF81" t="e">
        <f>AND(medidas!BV177,"AAAAADm//zk=")</f>
        <v>#VALUE!</v>
      </c>
      <c r="BG81" t="e">
        <f>AND(medidas!BW177,"AAAAADm//zo=")</f>
        <v>#VALUE!</v>
      </c>
      <c r="BH81" t="e">
        <f>AND(medidas!BX177,"AAAAADm//zs=")</f>
        <v>#VALUE!</v>
      </c>
      <c r="BI81" t="e">
        <f>AND(medidas!BY177,"AAAAADm//zw=")</f>
        <v>#VALUE!</v>
      </c>
      <c r="BJ81">
        <f>IF(medidas!178:178,"AAAAADm//z0=",0)</f>
        <v>0</v>
      </c>
      <c r="BK81" t="e">
        <f>AND(medidas!B178,"AAAAADm//z4=")</f>
        <v>#VALUE!</v>
      </c>
      <c r="BL81" t="e">
        <f>AND(medidas!C178,"AAAAADm//z8=")</f>
        <v>#VALUE!</v>
      </c>
      <c r="BM81" t="e">
        <f>AND(medidas!D178,"AAAAADm//0A=")</f>
        <v>#VALUE!</v>
      </c>
      <c r="BN81" t="e">
        <f>AND(medidas!E178,"AAAAADm//0E=")</f>
        <v>#VALUE!</v>
      </c>
      <c r="BO81" t="e">
        <f>AND(medidas!F178,"AAAAADm//0I=")</f>
        <v>#VALUE!</v>
      </c>
      <c r="BP81" t="e">
        <f>AND(medidas!G178,"AAAAADm//0M=")</f>
        <v>#VALUE!</v>
      </c>
      <c r="BQ81" t="e">
        <f>AND(medidas!H178,"AAAAADm//0Q=")</f>
        <v>#VALUE!</v>
      </c>
      <c r="BR81" t="e">
        <f>AND(medidas!I178,"AAAAADm//0U=")</f>
        <v>#VALUE!</v>
      </c>
      <c r="BS81" t="e">
        <f>AND(medidas!J178,"AAAAADm//0Y=")</f>
        <v>#VALUE!</v>
      </c>
      <c r="BT81" t="e">
        <f>AND(medidas!K178,"AAAAADm//0c=")</f>
        <v>#VALUE!</v>
      </c>
      <c r="BU81" t="e">
        <f>AND(medidas!L178,"AAAAADm//0g=")</f>
        <v>#VALUE!</v>
      </c>
      <c r="BV81" t="e">
        <f>AND(medidas!M178,"AAAAADm//0k=")</f>
        <v>#VALUE!</v>
      </c>
      <c r="BW81" t="e">
        <f>AND(medidas!N178,"AAAAADm//0o=")</f>
        <v>#VALUE!</v>
      </c>
      <c r="BX81" t="e">
        <f>AND(medidas!O178,"AAAAADm//0s=")</f>
        <v>#VALUE!</v>
      </c>
      <c r="BY81" t="e">
        <f>AND(medidas!P178,"AAAAADm//0w=")</f>
        <v>#VALUE!</v>
      </c>
      <c r="BZ81" t="e">
        <f>AND(medidas!Q178,"AAAAADm//00=")</f>
        <v>#VALUE!</v>
      </c>
      <c r="CA81" t="e">
        <f>AND(medidas!R178,"AAAAADm//04=")</f>
        <v>#VALUE!</v>
      </c>
      <c r="CB81" t="e">
        <f>AND(medidas!S178,"AAAAADm//08=")</f>
        <v>#VALUE!</v>
      </c>
      <c r="CC81" t="e">
        <f>AND(medidas!T178,"AAAAADm//1A=")</f>
        <v>#VALUE!</v>
      </c>
      <c r="CD81" t="e">
        <f>AND(medidas!U178,"AAAAADm//1E=")</f>
        <v>#VALUE!</v>
      </c>
      <c r="CE81" t="e">
        <f>AND(medidas!V178,"AAAAADm//1I=")</f>
        <v>#VALUE!</v>
      </c>
      <c r="CF81" t="e">
        <f>AND(medidas!W178,"AAAAADm//1M=")</f>
        <v>#VALUE!</v>
      </c>
      <c r="CG81" t="e">
        <f>AND(medidas!X178,"AAAAADm//1Q=")</f>
        <v>#VALUE!</v>
      </c>
      <c r="CH81" t="e">
        <f>AND(medidas!Y178,"AAAAADm//1U=")</f>
        <v>#VALUE!</v>
      </c>
      <c r="CI81" t="e">
        <f>AND(medidas!Z178,"AAAAADm//1Y=")</f>
        <v>#VALUE!</v>
      </c>
      <c r="CJ81" t="e">
        <f>AND(medidas!AA178,"AAAAADm//1c=")</f>
        <v>#VALUE!</v>
      </c>
      <c r="CK81" t="e">
        <f>AND(medidas!AB178,"AAAAADm//1g=")</f>
        <v>#VALUE!</v>
      </c>
      <c r="CL81" t="e">
        <f>AND(medidas!AC178,"AAAAADm//1k=")</f>
        <v>#VALUE!</v>
      </c>
      <c r="CM81" t="e">
        <f>AND(medidas!AD178,"AAAAADm//1o=")</f>
        <v>#VALUE!</v>
      </c>
      <c r="CN81" t="e">
        <f>AND(medidas!AE178,"AAAAADm//1s=")</f>
        <v>#VALUE!</v>
      </c>
      <c r="CO81" t="e">
        <f>AND(medidas!AF178,"AAAAADm//1w=")</f>
        <v>#VALUE!</v>
      </c>
      <c r="CP81" t="e">
        <f>AND(medidas!AG178,"AAAAADm//10=")</f>
        <v>#VALUE!</v>
      </c>
      <c r="CQ81" t="e">
        <f>AND(medidas!AH178,"AAAAADm//14=")</f>
        <v>#VALUE!</v>
      </c>
      <c r="CR81" t="e">
        <f>AND(medidas!AI178,"AAAAADm//18=")</f>
        <v>#VALUE!</v>
      </c>
      <c r="CS81" t="e">
        <f>AND(medidas!AJ178,"AAAAADm//2A=")</f>
        <v>#VALUE!</v>
      </c>
      <c r="CT81" t="e">
        <f>AND(medidas!AK178,"AAAAADm//2E=")</f>
        <v>#VALUE!</v>
      </c>
      <c r="CU81" t="e">
        <f>AND(medidas!AL178,"AAAAADm//2I=")</f>
        <v>#VALUE!</v>
      </c>
      <c r="CV81" t="e">
        <f>AND(medidas!AM178,"AAAAADm//2M=")</f>
        <v>#VALUE!</v>
      </c>
      <c r="CW81" t="e">
        <f>AND(medidas!AN178,"AAAAADm//2Q=")</f>
        <v>#VALUE!</v>
      </c>
      <c r="CX81" t="e">
        <f>AND(medidas!AO178,"AAAAADm//2U=")</f>
        <v>#VALUE!</v>
      </c>
      <c r="CY81" t="e">
        <f>AND(medidas!AP178,"AAAAADm//2Y=")</f>
        <v>#VALUE!</v>
      </c>
      <c r="CZ81" t="e">
        <f>AND(medidas!AQ178,"AAAAADm//2c=")</f>
        <v>#VALUE!</v>
      </c>
      <c r="DA81" t="e">
        <f>AND(medidas!AR178,"AAAAADm//2g=")</f>
        <v>#VALUE!</v>
      </c>
      <c r="DB81" t="e">
        <f>AND(medidas!AS178,"AAAAADm//2k=")</f>
        <v>#VALUE!</v>
      </c>
      <c r="DC81" t="e">
        <f>AND(medidas!AT178,"AAAAADm//2o=")</f>
        <v>#VALUE!</v>
      </c>
      <c r="DD81" t="e">
        <f>AND(medidas!AU178,"AAAAADm//2s=")</f>
        <v>#VALUE!</v>
      </c>
      <c r="DE81" t="e">
        <f>AND(medidas!AV178,"AAAAADm//2w=")</f>
        <v>#VALUE!</v>
      </c>
      <c r="DF81" t="e">
        <f>AND(medidas!AW178,"AAAAADm//20=")</f>
        <v>#VALUE!</v>
      </c>
      <c r="DG81" t="e">
        <f>AND(medidas!AX178,"AAAAADm//24=")</f>
        <v>#VALUE!</v>
      </c>
      <c r="DH81" t="e">
        <f>AND(medidas!AY178,"AAAAADm//28=")</f>
        <v>#VALUE!</v>
      </c>
      <c r="DI81" t="e">
        <f>AND(medidas!AZ178,"AAAAADm//3A=")</f>
        <v>#VALUE!</v>
      </c>
      <c r="DJ81" t="e">
        <f>AND(medidas!BA178,"AAAAADm//3E=")</f>
        <v>#VALUE!</v>
      </c>
      <c r="DK81" t="e">
        <f>AND(medidas!BB178,"AAAAADm//3I=")</f>
        <v>#VALUE!</v>
      </c>
      <c r="DL81" t="e">
        <f>AND(medidas!BC178,"AAAAADm//3M=")</f>
        <v>#VALUE!</v>
      </c>
      <c r="DM81" t="e">
        <f>AND(medidas!BD178,"AAAAADm//3Q=")</f>
        <v>#VALUE!</v>
      </c>
      <c r="DN81" t="e">
        <f>AND(medidas!BE178,"AAAAADm//3U=")</f>
        <v>#VALUE!</v>
      </c>
      <c r="DO81" t="e">
        <f>AND(medidas!BF178,"AAAAADm//3Y=")</f>
        <v>#VALUE!</v>
      </c>
      <c r="DP81" t="e">
        <f>AND(medidas!BG178,"AAAAADm//3c=")</f>
        <v>#VALUE!</v>
      </c>
      <c r="DQ81" t="e">
        <f>AND(medidas!BH178,"AAAAADm//3g=")</f>
        <v>#VALUE!</v>
      </c>
      <c r="DR81" t="e">
        <f>AND(medidas!BI178,"AAAAADm//3k=")</f>
        <v>#VALUE!</v>
      </c>
      <c r="DS81" t="e">
        <f>AND(medidas!BJ178,"AAAAADm//3o=")</f>
        <v>#VALUE!</v>
      </c>
      <c r="DT81" t="e">
        <f>AND(medidas!BK178,"AAAAADm//3s=")</f>
        <v>#VALUE!</v>
      </c>
      <c r="DU81" t="e">
        <f>AND(medidas!BL178,"AAAAADm//3w=")</f>
        <v>#VALUE!</v>
      </c>
      <c r="DV81" t="e">
        <f>AND(medidas!BM178,"AAAAADm//30=")</f>
        <v>#VALUE!</v>
      </c>
      <c r="DW81" t="e">
        <f>AND(medidas!BN178,"AAAAADm//34=")</f>
        <v>#VALUE!</v>
      </c>
      <c r="DX81" t="e">
        <f>AND(medidas!BO178,"AAAAADm//38=")</f>
        <v>#VALUE!</v>
      </c>
      <c r="DY81" t="e">
        <f>AND(medidas!BP178,"AAAAADm//4A=")</f>
        <v>#VALUE!</v>
      </c>
      <c r="DZ81" t="e">
        <f>AND(medidas!BQ178,"AAAAADm//4E=")</f>
        <v>#VALUE!</v>
      </c>
      <c r="EA81" t="e">
        <f>AND(medidas!BR178,"AAAAADm//4I=")</f>
        <v>#VALUE!</v>
      </c>
      <c r="EB81" t="e">
        <f>AND(medidas!BS178,"AAAAADm//4M=")</f>
        <v>#VALUE!</v>
      </c>
      <c r="EC81" t="e">
        <f>AND(medidas!BT178,"AAAAADm//4Q=")</f>
        <v>#VALUE!</v>
      </c>
      <c r="ED81" t="e">
        <f>AND(medidas!BU178,"AAAAADm//4U=")</f>
        <v>#VALUE!</v>
      </c>
      <c r="EE81" t="e">
        <f>AND(medidas!BV178,"AAAAADm//4Y=")</f>
        <v>#VALUE!</v>
      </c>
      <c r="EF81" t="e">
        <f>AND(medidas!BW178,"AAAAADm//4c=")</f>
        <v>#VALUE!</v>
      </c>
      <c r="EG81" t="e">
        <f>AND(medidas!BX178,"AAAAADm//4g=")</f>
        <v>#VALUE!</v>
      </c>
      <c r="EH81" t="e">
        <f>AND(medidas!BY178,"AAAAADm//4k=")</f>
        <v>#VALUE!</v>
      </c>
      <c r="EI81">
        <f>IF(medidas!179:179,"AAAAADm//4o=",0)</f>
        <v>0</v>
      </c>
      <c r="EJ81" t="e">
        <f>AND(medidas!B179,"AAAAADm//4s=")</f>
        <v>#VALUE!</v>
      </c>
      <c r="EK81" t="e">
        <f>AND(medidas!C179,"AAAAADm//4w=")</f>
        <v>#VALUE!</v>
      </c>
      <c r="EL81" t="e">
        <f>AND(medidas!D179,"AAAAADm//40=")</f>
        <v>#VALUE!</v>
      </c>
      <c r="EM81" t="e">
        <f>AND(medidas!E179,"AAAAADm//44=")</f>
        <v>#VALUE!</v>
      </c>
      <c r="EN81" t="e">
        <f>AND(medidas!F179,"AAAAADm//48=")</f>
        <v>#VALUE!</v>
      </c>
      <c r="EO81" t="e">
        <f>AND(medidas!G179,"AAAAADm//5A=")</f>
        <v>#VALUE!</v>
      </c>
      <c r="EP81" t="e">
        <f>AND(medidas!H179,"AAAAADm//5E=")</f>
        <v>#VALUE!</v>
      </c>
      <c r="EQ81" t="e">
        <f>AND(medidas!I179,"AAAAADm//5I=")</f>
        <v>#VALUE!</v>
      </c>
      <c r="ER81" t="e">
        <f>AND(medidas!J179,"AAAAADm//5M=")</f>
        <v>#VALUE!</v>
      </c>
      <c r="ES81" t="e">
        <f>AND(medidas!K179,"AAAAADm//5Q=")</f>
        <v>#VALUE!</v>
      </c>
      <c r="ET81" t="e">
        <f>AND(medidas!L179,"AAAAADm//5U=")</f>
        <v>#VALUE!</v>
      </c>
      <c r="EU81" t="e">
        <f>AND(medidas!M179,"AAAAADm//5Y=")</f>
        <v>#VALUE!</v>
      </c>
      <c r="EV81" t="e">
        <f>AND(medidas!N179,"AAAAADm//5c=")</f>
        <v>#VALUE!</v>
      </c>
      <c r="EW81" t="e">
        <f>AND(medidas!O179,"AAAAADm//5g=")</f>
        <v>#VALUE!</v>
      </c>
      <c r="EX81" t="e">
        <f>AND(medidas!P179,"AAAAADm//5k=")</f>
        <v>#VALUE!</v>
      </c>
      <c r="EY81" t="e">
        <f>AND(medidas!Q179,"AAAAADm//5o=")</f>
        <v>#VALUE!</v>
      </c>
      <c r="EZ81" t="e">
        <f>AND(medidas!R179,"AAAAADm//5s=")</f>
        <v>#VALUE!</v>
      </c>
      <c r="FA81" t="e">
        <f>AND(medidas!S179,"AAAAADm//5w=")</f>
        <v>#VALUE!</v>
      </c>
      <c r="FB81" t="e">
        <f>AND(medidas!T179,"AAAAADm//50=")</f>
        <v>#VALUE!</v>
      </c>
      <c r="FC81" t="e">
        <f>AND(medidas!U179,"AAAAADm//54=")</f>
        <v>#VALUE!</v>
      </c>
      <c r="FD81" t="e">
        <f>AND(medidas!V179,"AAAAADm//58=")</f>
        <v>#VALUE!</v>
      </c>
      <c r="FE81" t="e">
        <f>AND(medidas!W179,"AAAAADm//6A=")</f>
        <v>#VALUE!</v>
      </c>
      <c r="FF81" t="e">
        <f>AND(medidas!X179,"AAAAADm//6E=")</f>
        <v>#VALUE!</v>
      </c>
      <c r="FG81" t="e">
        <f>AND(medidas!Y179,"AAAAADm//6I=")</f>
        <v>#VALUE!</v>
      </c>
      <c r="FH81" t="e">
        <f>AND(medidas!Z179,"AAAAADm//6M=")</f>
        <v>#VALUE!</v>
      </c>
      <c r="FI81" t="e">
        <f>AND(medidas!AA179,"AAAAADm//6Q=")</f>
        <v>#VALUE!</v>
      </c>
      <c r="FJ81" t="e">
        <f>AND(medidas!AB179,"AAAAADm//6U=")</f>
        <v>#VALUE!</v>
      </c>
      <c r="FK81" t="e">
        <f>AND(medidas!AC179,"AAAAADm//6Y=")</f>
        <v>#VALUE!</v>
      </c>
      <c r="FL81" t="e">
        <f>AND(medidas!AD179,"AAAAADm//6c=")</f>
        <v>#VALUE!</v>
      </c>
      <c r="FM81" t="e">
        <f>AND(medidas!AE179,"AAAAADm//6g=")</f>
        <v>#VALUE!</v>
      </c>
      <c r="FN81" t="e">
        <f>AND(medidas!AF179,"AAAAADm//6k=")</f>
        <v>#VALUE!</v>
      </c>
      <c r="FO81" t="e">
        <f>AND(medidas!AG179,"AAAAADm//6o=")</f>
        <v>#VALUE!</v>
      </c>
      <c r="FP81" t="e">
        <f>AND(medidas!AH179,"AAAAADm//6s=")</f>
        <v>#VALUE!</v>
      </c>
      <c r="FQ81" t="e">
        <f>AND(medidas!AI179,"AAAAADm//6w=")</f>
        <v>#VALUE!</v>
      </c>
      <c r="FR81" t="e">
        <f>AND(medidas!AJ179,"AAAAADm//60=")</f>
        <v>#VALUE!</v>
      </c>
      <c r="FS81" t="e">
        <f>AND(medidas!AK179,"AAAAADm//64=")</f>
        <v>#VALUE!</v>
      </c>
      <c r="FT81" t="e">
        <f>AND(medidas!AL179,"AAAAADm//68=")</f>
        <v>#VALUE!</v>
      </c>
      <c r="FU81" t="e">
        <f>AND(medidas!AM179,"AAAAADm//7A=")</f>
        <v>#VALUE!</v>
      </c>
      <c r="FV81" t="e">
        <f>AND(medidas!AN179,"AAAAADm//7E=")</f>
        <v>#VALUE!</v>
      </c>
      <c r="FW81" t="e">
        <f>AND(medidas!AO179,"AAAAADm//7I=")</f>
        <v>#VALUE!</v>
      </c>
      <c r="FX81" t="e">
        <f>AND(medidas!AP179,"AAAAADm//7M=")</f>
        <v>#VALUE!</v>
      </c>
      <c r="FY81" t="e">
        <f>AND(medidas!AQ179,"AAAAADm//7Q=")</f>
        <v>#VALUE!</v>
      </c>
      <c r="FZ81" t="e">
        <f>AND(medidas!AR179,"AAAAADm//7U=")</f>
        <v>#VALUE!</v>
      </c>
      <c r="GA81" t="e">
        <f>AND(medidas!AS179,"AAAAADm//7Y=")</f>
        <v>#VALUE!</v>
      </c>
      <c r="GB81" t="e">
        <f>AND(medidas!AT179,"AAAAADm//7c=")</f>
        <v>#VALUE!</v>
      </c>
      <c r="GC81" t="e">
        <f>AND(medidas!AU179,"AAAAADm//7g=")</f>
        <v>#VALUE!</v>
      </c>
      <c r="GD81" t="e">
        <f>AND(medidas!AV179,"AAAAADm//7k=")</f>
        <v>#VALUE!</v>
      </c>
      <c r="GE81" t="e">
        <f>AND(medidas!AW179,"AAAAADm//7o=")</f>
        <v>#VALUE!</v>
      </c>
      <c r="GF81" t="e">
        <f>AND(medidas!AX179,"AAAAADm//7s=")</f>
        <v>#VALUE!</v>
      </c>
      <c r="GG81" t="e">
        <f>AND(medidas!AY179,"AAAAADm//7w=")</f>
        <v>#VALUE!</v>
      </c>
      <c r="GH81" t="e">
        <f>AND(medidas!AZ179,"AAAAADm//70=")</f>
        <v>#VALUE!</v>
      </c>
      <c r="GI81" t="e">
        <f>AND(medidas!BA179,"AAAAADm//74=")</f>
        <v>#VALUE!</v>
      </c>
      <c r="GJ81" t="e">
        <f>AND(medidas!BB179,"AAAAADm//78=")</f>
        <v>#VALUE!</v>
      </c>
      <c r="GK81" t="e">
        <f>AND(medidas!BC179,"AAAAADm//8A=")</f>
        <v>#VALUE!</v>
      </c>
      <c r="GL81" t="e">
        <f>AND(medidas!BD179,"AAAAADm//8E=")</f>
        <v>#VALUE!</v>
      </c>
      <c r="GM81" t="e">
        <f>AND(medidas!BE179,"AAAAADm//8I=")</f>
        <v>#VALUE!</v>
      </c>
      <c r="GN81" t="e">
        <f>AND(medidas!BF179,"AAAAADm//8M=")</f>
        <v>#VALUE!</v>
      </c>
      <c r="GO81" t="e">
        <f>AND(medidas!BG179,"AAAAADm//8Q=")</f>
        <v>#VALUE!</v>
      </c>
      <c r="GP81" t="e">
        <f>AND(medidas!BH179,"AAAAADm//8U=")</f>
        <v>#VALUE!</v>
      </c>
      <c r="GQ81" t="e">
        <f>AND(medidas!BI179,"AAAAADm//8Y=")</f>
        <v>#VALUE!</v>
      </c>
      <c r="GR81" t="e">
        <f>AND(medidas!BJ179,"AAAAADm//8c=")</f>
        <v>#VALUE!</v>
      </c>
      <c r="GS81" t="e">
        <f>AND(medidas!BK179,"AAAAADm//8g=")</f>
        <v>#VALUE!</v>
      </c>
      <c r="GT81" t="e">
        <f>AND(medidas!BL179,"AAAAADm//8k=")</f>
        <v>#VALUE!</v>
      </c>
      <c r="GU81" t="e">
        <f>AND(medidas!BM179,"AAAAADm//8o=")</f>
        <v>#VALUE!</v>
      </c>
      <c r="GV81" t="e">
        <f>AND(medidas!BN179,"AAAAADm//8s=")</f>
        <v>#VALUE!</v>
      </c>
      <c r="GW81" t="e">
        <f>AND(medidas!BO179,"AAAAADm//8w=")</f>
        <v>#VALUE!</v>
      </c>
      <c r="GX81" t="e">
        <f>AND(medidas!BP179,"AAAAADm//80=")</f>
        <v>#VALUE!</v>
      </c>
      <c r="GY81" t="e">
        <f>AND(medidas!BQ179,"AAAAADm//84=")</f>
        <v>#VALUE!</v>
      </c>
      <c r="GZ81" t="e">
        <f>AND(medidas!BR179,"AAAAADm//88=")</f>
        <v>#VALUE!</v>
      </c>
      <c r="HA81" t="e">
        <f>AND(medidas!BS179,"AAAAADm//9A=")</f>
        <v>#VALUE!</v>
      </c>
      <c r="HB81" t="e">
        <f>AND(medidas!BT179,"AAAAADm//9E=")</f>
        <v>#VALUE!</v>
      </c>
      <c r="HC81" t="e">
        <f>AND(medidas!BU179,"AAAAADm//9I=")</f>
        <v>#VALUE!</v>
      </c>
      <c r="HD81" t="e">
        <f>AND(medidas!BV179,"AAAAADm//9M=")</f>
        <v>#VALUE!</v>
      </c>
      <c r="HE81" t="e">
        <f>AND(medidas!BW179,"AAAAADm//9Q=")</f>
        <v>#VALUE!</v>
      </c>
      <c r="HF81" t="e">
        <f>AND(medidas!BX179,"AAAAADm//9U=")</f>
        <v>#VALUE!</v>
      </c>
      <c r="HG81" t="e">
        <f>AND(medidas!BY179,"AAAAADm//9Y=")</f>
        <v>#VALUE!</v>
      </c>
      <c r="HH81">
        <f>IF(medidas!180:180,"AAAAADm//9c=",0)</f>
        <v>0</v>
      </c>
      <c r="HI81" t="e">
        <f>AND(medidas!B180,"AAAAADm//9g=")</f>
        <v>#VALUE!</v>
      </c>
      <c r="HJ81" t="e">
        <f>AND(medidas!C180,"AAAAADm//9k=")</f>
        <v>#VALUE!</v>
      </c>
      <c r="HK81" t="e">
        <f>AND(medidas!D180,"AAAAADm//9o=")</f>
        <v>#VALUE!</v>
      </c>
      <c r="HL81" t="e">
        <f>AND(medidas!E180,"AAAAADm//9s=")</f>
        <v>#VALUE!</v>
      </c>
      <c r="HM81" t="e">
        <f>AND(medidas!F180,"AAAAADm//9w=")</f>
        <v>#VALUE!</v>
      </c>
      <c r="HN81" t="e">
        <f>AND(medidas!G180,"AAAAADm//90=")</f>
        <v>#VALUE!</v>
      </c>
      <c r="HO81" t="e">
        <f>AND(medidas!H180,"AAAAADm//94=")</f>
        <v>#VALUE!</v>
      </c>
      <c r="HP81" t="e">
        <f>AND(medidas!I180,"AAAAADm//98=")</f>
        <v>#VALUE!</v>
      </c>
      <c r="HQ81" t="e">
        <f>AND(medidas!J180,"AAAAADm//+A=")</f>
        <v>#VALUE!</v>
      </c>
      <c r="HR81" t="e">
        <f>AND(medidas!K180,"AAAAADm//+E=")</f>
        <v>#VALUE!</v>
      </c>
      <c r="HS81" t="e">
        <f>AND(medidas!L180,"AAAAADm//+I=")</f>
        <v>#VALUE!</v>
      </c>
      <c r="HT81" t="e">
        <f>AND(medidas!M180,"AAAAADm//+M=")</f>
        <v>#VALUE!</v>
      </c>
      <c r="HU81" t="e">
        <f>AND(medidas!N180,"AAAAADm//+Q=")</f>
        <v>#VALUE!</v>
      </c>
      <c r="HV81" t="e">
        <f>AND(medidas!O180,"AAAAADm//+U=")</f>
        <v>#VALUE!</v>
      </c>
      <c r="HW81" t="e">
        <f>AND(medidas!P180,"AAAAADm//+Y=")</f>
        <v>#VALUE!</v>
      </c>
      <c r="HX81" t="e">
        <f>AND(medidas!Q180,"AAAAADm//+c=")</f>
        <v>#VALUE!</v>
      </c>
      <c r="HY81" t="e">
        <f>AND(medidas!R180,"AAAAADm//+g=")</f>
        <v>#VALUE!</v>
      </c>
      <c r="HZ81" t="e">
        <f>AND(medidas!S180,"AAAAADm//+k=")</f>
        <v>#VALUE!</v>
      </c>
      <c r="IA81" t="e">
        <f>AND(medidas!T180,"AAAAADm//+o=")</f>
        <v>#VALUE!</v>
      </c>
      <c r="IB81" t="e">
        <f>AND(medidas!U180,"AAAAADm//+s=")</f>
        <v>#VALUE!</v>
      </c>
      <c r="IC81" t="e">
        <f>AND(medidas!V180,"AAAAADm//+w=")</f>
        <v>#VALUE!</v>
      </c>
      <c r="ID81" t="e">
        <f>AND(medidas!W180,"AAAAADm//+0=")</f>
        <v>#VALUE!</v>
      </c>
      <c r="IE81" t="e">
        <f>AND(medidas!X180,"AAAAADm//+4=")</f>
        <v>#VALUE!</v>
      </c>
      <c r="IF81" t="e">
        <f>AND(medidas!Y180,"AAAAADm//+8=")</f>
        <v>#VALUE!</v>
      </c>
      <c r="IG81" t="e">
        <f>AND(medidas!Z180,"AAAAADm///A=")</f>
        <v>#VALUE!</v>
      </c>
      <c r="IH81" t="e">
        <f>AND(medidas!AA180,"AAAAADm///E=")</f>
        <v>#VALUE!</v>
      </c>
      <c r="II81" t="e">
        <f>AND(medidas!AB180,"AAAAADm///I=")</f>
        <v>#VALUE!</v>
      </c>
      <c r="IJ81" t="e">
        <f>AND(medidas!AC180,"AAAAADm///M=")</f>
        <v>#VALUE!</v>
      </c>
      <c r="IK81" t="e">
        <f>AND(medidas!AD180,"AAAAADm///Q=")</f>
        <v>#VALUE!</v>
      </c>
      <c r="IL81" t="e">
        <f>AND(medidas!AE180,"AAAAADm///U=")</f>
        <v>#VALUE!</v>
      </c>
      <c r="IM81" t="e">
        <f>AND(medidas!AF180,"AAAAADm///Y=")</f>
        <v>#VALUE!</v>
      </c>
      <c r="IN81" t="e">
        <f>AND(medidas!AG180,"AAAAADm///c=")</f>
        <v>#VALUE!</v>
      </c>
      <c r="IO81" t="e">
        <f>AND(medidas!AH180,"AAAAADm///g=")</f>
        <v>#VALUE!</v>
      </c>
      <c r="IP81" t="e">
        <f>AND(medidas!AI180,"AAAAADm///k=")</f>
        <v>#VALUE!</v>
      </c>
      <c r="IQ81" t="e">
        <f>AND(medidas!AJ180,"AAAAADm///o=")</f>
        <v>#VALUE!</v>
      </c>
      <c r="IR81" t="e">
        <f>AND(medidas!AK180,"AAAAADm///s=")</f>
        <v>#VALUE!</v>
      </c>
      <c r="IS81" t="e">
        <f>AND(medidas!AL180,"AAAAADm///w=")</f>
        <v>#VALUE!</v>
      </c>
      <c r="IT81" t="e">
        <f>AND(medidas!AM180,"AAAAADm///0=")</f>
        <v>#VALUE!</v>
      </c>
      <c r="IU81" t="e">
        <f>AND(medidas!AN180,"AAAAADm///4=")</f>
        <v>#VALUE!</v>
      </c>
      <c r="IV81" t="e">
        <f>AND(medidas!AO180,"AAAAADm///8=")</f>
        <v>#VALUE!</v>
      </c>
    </row>
    <row r="82" spans="1:256" x14ac:dyDescent="0.2">
      <c r="A82" t="e">
        <f>AND(medidas!AP180,"AAAAAG+f7gA=")</f>
        <v>#VALUE!</v>
      </c>
      <c r="B82" t="e">
        <f>AND(medidas!AQ180,"AAAAAG+f7gE=")</f>
        <v>#VALUE!</v>
      </c>
      <c r="C82" t="e">
        <f>AND(medidas!AR180,"AAAAAG+f7gI=")</f>
        <v>#VALUE!</v>
      </c>
      <c r="D82" t="e">
        <f>AND(medidas!AS180,"AAAAAG+f7gM=")</f>
        <v>#VALUE!</v>
      </c>
      <c r="E82" t="e">
        <f>AND(medidas!AT180,"AAAAAG+f7gQ=")</f>
        <v>#VALUE!</v>
      </c>
      <c r="F82" t="e">
        <f>AND(medidas!AU180,"AAAAAG+f7gU=")</f>
        <v>#VALUE!</v>
      </c>
      <c r="G82" t="e">
        <f>AND(medidas!AV180,"AAAAAG+f7gY=")</f>
        <v>#VALUE!</v>
      </c>
      <c r="H82" t="e">
        <f>AND(medidas!AW180,"AAAAAG+f7gc=")</f>
        <v>#VALUE!</v>
      </c>
      <c r="I82" t="e">
        <f>AND(medidas!AX180,"AAAAAG+f7gg=")</f>
        <v>#VALUE!</v>
      </c>
      <c r="J82" t="e">
        <f>AND(medidas!AY180,"AAAAAG+f7gk=")</f>
        <v>#VALUE!</v>
      </c>
      <c r="K82" t="e">
        <f>AND(medidas!AZ180,"AAAAAG+f7go=")</f>
        <v>#VALUE!</v>
      </c>
      <c r="L82" t="e">
        <f>AND(medidas!BA180,"AAAAAG+f7gs=")</f>
        <v>#VALUE!</v>
      </c>
      <c r="M82" t="e">
        <f>AND(medidas!BB180,"AAAAAG+f7gw=")</f>
        <v>#VALUE!</v>
      </c>
      <c r="N82" t="e">
        <f>AND(medidas!BC180,"AAAAAG+f7g0=")</f>
        <v>#VALUE!</v>
      </c>
      <c r="O82" t="e">
        <f>AND(medidas!BD180,"AAAAAG+f7g4=")</f>
        <v>#VALUE!</v>
      </c>
      <c r="P82" t="e">
        <f>AND(medidas!BE180,"AAAAAG+f7g8=")</f>
        <v>#VALUE!</v>
      </c>
      <c r="Q82" t="e">
        <f>AND(medidas!BF180,"AAAAAG+f7hA=")</f>
        <v>#VALUE!</v>
      </c>
      <c r="R82" t="e">
        <f>AND(medidas!BG180,"AAAAAG+f7hE=")</f>
        <v>#VALUE!</v>
      </c>
      <c r="S82" t="e">
        <f>AND(medidas!BH180,"AAAAAG+f7hI=")</f>
        <v>#VALUE!</v>
      </c>
      <c r="T82" t="e">
        <f>AND(medidas!BI180,"AAAAAG+f7hM=")</f>
        <v>#VALUE!</v>
      </c>
      <c r="U82" t="e">
        <f>AND(medidas!BJ180,"AAAAAG+f7hQ=")</f>
        <v>#VALUE!</v>
      </c>
      <c r="V82" t="e">
        <f>AND(medidas!BK180,"AAAAAG+f7hU=")</f>
        <v>#VALUE!</v>
      </c>
      <c r="W82" t="e">
        <f>AND(medidas!BL180,"AAAAAG+f7hY=")</f>
        <v>#VALUE!</v>
      </c>
      <c r="X82" t="e">
        <f>AND(medidas!BM180,"AAAAAG+f7hc=")</f>
        <v>#VALUE!</v>
      </c>
      <c r="Y82" t="e">
        <f>AND(medidas!BN180,"AAAAAG+f7hg=")</f>
        <v>#VALUE!</v>
      </c>
      <c r="Z82" t="e">
        <f>AND(medidas!BO180,"AAAAAG+f7hk=")</f>
        <v>#VALUE!</v>
      </c>
      <c r="AA82" t="e">
        <f>AND(medidas!BP180,"AAAAAG+f7ho=")</f>
        <v>#VALUE!</v>
      </c>
      <c r="AB82" t="e">
        <f>AND(medidas!BQ180,"AAAAAG+f7hs=")</f>
        <v>#VALUE!</v>
      </c>
      <c r="AC82" t="e">
        <f>AND(medidas!BR180,"AAAAAG+f7hw=")</f>
        <v>#VALUE!</v>
      </c>
      <c r="AD82" t="e">
        <f>AND(medidas!BS180,"AAAAAG+f7h0=")</f>
        <v>#VALUE!</v>
      </c>
      <c r="AE82" t="e">
        <f>AND(medidas!BT180,"AAAAAG+f7h4=")</f>
        <v>#VALUE!</v>
      </c>
      <c r="AF82" t="e">
        <f>AND(medidas!BU180,"AAAAAG+f7h8=")</f>
        <v>#VALUE!</v>
      </c>
      <c r="AG82" t="e">
        <f>AND(medidas!BV180,"AAAAAG+f7iA=")</f>
        <v>#VALUE!</v>
      </c>
      <c r="AH82" t="e">
        <f>AND(medidas!BW180,"AAAAAG+f7iE=")</f>
        <v>#VALUE!</v>
      </c>
      <c r="AI82" t="e">
        <f>AND(medidas!BX180,"AAAAAG+f7iI=")</f>
        <v>#VALUE!</v>
      </c>
      <c r="AJ82" t="e">
        <f>AND(medidas!BY180,"AAAAAG+f7iM=")</f>
        <v>#VALUE!</v>
      </c>
      <c r="AK82">
        <f>IF(medidas!181:181,"AAAAAG+f7iQ=",0)</f>
        <v>0</v>
      </c>
      <c r="AL82" t="e">
        <f>AND(medidas!B181,"AAAAAG+f7iU=")</f>
        <v>#VALUE!</v>
      </c>
      <c r="AM82" t="e">
        <f>AND(medidas!C181,"AAAAAG+f7iY=")</f>
        <v>#VALUE!</v>
      </c>
      <c r="AN82" t="e">
        <f>AND(medidas!D181,"AAAAAG+f7ic=")</f>
        <v>#VALUE!</v>
      </c>
      <c r="AO82" t="e">
        <f>AND(medidas!E181,"AAAAAG+f7ig=")</f>
        <v>#VALUE!</v>
      </c>
      <c r="AP82" t="e">
        <f>AND(medidas!F181,"AAAAAG+f7ik=")</f>
        <v>#VALUE!</v>
      </c>
      <c r="AQ82" t="e">
        <f>AND(medidas!G181,"AAAAAG+f7io=")</f>
        <v>#VALUE!</v>
      </c>
      <c r="AR82" t="e">
        <f>AND(medidas!H181,"AAAAAG+f7is=")</f>
        <v>#VALUE!</v>
      </c>
      <c r="AS82" t="e">
        <f>AND(medidas!I181,"AAAAAG+f7iw=")</f>
        <v>#VALUE!</v>
      </c>
      <c r="AT82" t="e">
        <f>AND(medidas!J181,"AAAAAG+f7i0=")</f>
        <v>#VALUE!</v>
      </c>
      <c r="AU82" t="e">
        <f>AND(medidas!K181,"AAAAAG+f7i4=")</f>
        <v>#VALUE!</v>
      </c>
      <c r="AV82" t="e">
        <f>AND(medidas!L181,"AAAAAG+f7i8=")</f>
        <v>#VALUE!</v>
      </c>
      <c r="AW82" t="e">
        <f>AND(medidas!M181,"AAAAAG+f7jA=")</f>
        <v>#VALUE!</v>
      </c>
      <c r="AX82" t="e">
        <f>AND(medidas!N181,"AAAAAG+f7jE=")</f>
        <v>#VALUE!</v>
      </c>
      <c r="AY82" t="e">
        <f>AND(medidas!O181,"AAAAAG+f7jI=")</f>
        <v>#VALUE!</v>
      </c>
      <c r="AZ82" t="e">
        <f>AND(medidas!P181,"AAAAAG+f7jM=")</f>
        <v>#VALUE!</v>
      </c>
      <c r="BA82" t="e">
        <f>AND(medidas!Q181,"AAAAAG+f7jQ=")</f>
        <v>#VALUE!</v>
      </c>
      <c r="BB82" t="e">
        <f>AND(medidas!R181,"AAAAAG+f7jU=")</f>
        <v>#VALUE!</v>
      </c>
      <c r="BC82" t="e">
        <f>AND(medidas!S181,"AAAAAG+f7jY=")</f>
        <v>#VALUE!</v>
      </c>
      <c r="BD82" t="e">
        <f>AND(medidas!T181,"AAAAAG+f7jc=")</f>
        <v>#VALUE!</v>
      </c>
      <c r="BE82" t="e">
        <f>AND(medidas!U181,"AAAAAG+f7jg=")</f>
        <v>#VALUE!</v>
      </c>
      <c r="BF82" t="e">
        <f>AND(medidas!V181,"AAAAAG+f7jk=")</f>
        <v>#VALUE!</v>
      </c>
      <c r="BG82" t="e">
        <f>AND(medidas!W181,"AAAAAG+f7jo=")</f>
        <v>#VALUE!</v>
      </c>
      <c r="BH82" t="e">
        <f>AND(medidas!X181,"AAAAAG+f7js=")</f>
        <v>#VALUE!</v>
      </c>
      <c r="BI82" t="e">
        <f>AND(medidas!Y181,"AAAAAG+f7jw=")</f>
        <v>#VALUE!</v>
      </c>
      <c r="BJ82" t="e">
        <f>AND(medidas!Z181,"AAAAAG+f7j0=")</f>
        <v>#VALUE!</v>
      </c>
      <c r="BK82" t="e">
        <f>AND(medidas!AA181,"AAAAAG+f7j4=")</f>
        <v>#VALUE!</v>
      </c>
      <c r="BL82" t="e">
        <f>AND(medidas!AB181,"AAAAAG+f7j8=")</f>
        <v>#VALUE!</v>
      </c>
      <c r="BM82" t="e">
        <f>AND(medidas!AC181,"AAAAAG+f7kA=")</f>
        <v>#VALUE!</v>
      </c>
      <c r="BN82" t="e">
        <f>AND(medidas!AD181,"AAAAAG+f7kE=")</f>
        <v>#VALUE!</v>
      </c>
      <c r="BO82" t="e">
        <f>AND(medidas!AE181,"AAAAAG+f7kI=")</f>
        <v>#VALUE!</v>
      </c>
      <c r="BP82" t="e">
        <f>AND(medidas!AF181,"AAAAAG+f7kM=")</f>
        <v>#VALUE!</v>
      </c>
      <c r="BQ82" t="e">
        <f>AND(medidas!AG181,"AAAAAG+f7kQ=")</f>
        <v>#VALUE!</v>
      </c>
      <c r="BR82" t="e">
        <f>AND(medidas!AH181,"AAAAAG+f7kU=")</f>
        <v>#VALUE!</v>
      </c>
      <c r="BS82" t="e">
        <f>AND(medidas!AI181,"AAAAAG+f7kY=")</f>
        <v>#VALUE!</v>
      </c>
      <c r="BT82" t="e">
        <f>AND(medidas!AJ181,"AAAAAG+f7kc=")</f>
        <v>#VALUE!</v>
      </c>
      <c r="BU82" t="e">
        <f>AND(medidas!AK181,"AAAAAG+f7kg=")</f>
        <v>#VALUE!</v>
      </c>
      <c r="BV82" t="e">
        <f>AND(medidas!AL181,"AAAAAG+f7kk=")</f>
        <v>#VALUE!</v>
      </c>
      <c r="BW82" t="e">
        <f>AND(medidas!AM181,"AAAAAG+f7ko=")</f>
        <v>#VALUE!</v>
      </c>
      <c r="BX82" t="e">
        <f>AND(medidas!AN181,"AAAAAG+f7ks=")</f>
        <v>#VALUE!</v>
      </c>
      <c r="BY82" t="e">
        <f>AND(medidas!AO181,"AAAAAG+f7kw=")</f>
        <v>#VALUE!</v>
      </c>
      <c r="BZ82" t="e">
        <f>AND(medidas!AP181,"AAAAAG+f7k0=")</f>
        <v>#VALUE!</v>
      </c>
      <c r="CA82" t="e">
        <f>AND(medidas!AQ181,"AAAAAG+f7k4=")</f>
        <v>#VALUE!</v>
      </c>
      <c r="CB82" t="e">
        <f>AND(medidas!AR181,"AAAAAG+f7k8=")</f>
        <v>#VALUE!</v>
      </c>
      <c r="CC82" t="e">
        <f>AND(medidas!AS181,"AAAAAG+f7lA=")</f>
        <v>#VALUE!</v>
      </c>
      <c r="CD82" t="e">
        <f>AND(medidas!AT181,"AAAAAG+f7lE=")</f>
        <v>#VALUE!</v>
      </c>
      <c r="CE82" t="e">
        <f>AND(medidas!AU181,"AAAAAG+f7lI=")</f>
        <v>#VALUE!</v>
      </c>
      <c r="CF82" t="e">
        <f>AND(medidas!AV181,"AAAAAG+f7lM=")</f>
        <v>#VALUE!</v>
      </c>
      <c r="CG82" t="e">
        <f>AND(medidas!AW181,"AAAAAG+f7lQ=")</f>
        <v>#VALUE!</v>
      </c>
      <c r="CH82" t="e">
        <f>AND(medidas!AX181,"AAAAAG+f7lU=")</f>
        <v>#VALUE!</v>
      </c>
      <c r="CI82" t="e">
        <f>AND(medidas!AY181,"AAAAAG+f7lY=")</f>
        <v>#VALUE!</v>
      </c>
      <c r="CJ82" t="e">
        <f>AND(medidas!AZ181,"AAAAAG+f7lc=")</f>
        <v>#VALUE!</v>
      </c>
      <c r="CK82" t="e">
        <f>AND(medidas!BA181,"AAAAAG+f7lg=")</f>
        <v>#VALUE!</v>
      </c>
      <c r="CL82" t="e">
        <f>AND(medidas!BB181,"AAAAAG+f7lk=")</f>
        <v>#VALUE!</v>
      </c>
      <c r="CM82" t="e">
        <f>AND(medidas!BC181,"AAAAAG+f7lo=")</f>
        <v>#VALUE!</v>
      </c>
      <c r="CN82" t="e">
        <f>AND(medidas!BD181,"AAAAAG+f7ls=")</f>
        <v>#VALUE!</v>
      </c>
      <c r="CO82" t="e">
        <f>AND(medidas!BE181,"AAAAAG+f7lw=")</f>
        <v>#VALUE!</v>
      </c>
      <c r="CP82" t="e">
        <f>AND(medidas!BF181,"AAAAAG+f7l0=")</f>
        <v>#VALUE!</v>
      </c>
      <c r="CQ82" t="e">
        <f>AND(medidas!BG181,"AAAAAG+f7l4=")</f>
        <v>#VALUE!</v>
      </c>
      <c r="CR82" t="e">
        <f>AND(medidas!BH181,"AAAAAG+f7l8=")</f>
        <v>#VALUE!</v>
      </c>
      <c r="CS82" t="e">
        <f>AND(medidas!BI181,"AAAAAG+f7mA=")</f>
        <v>#VALUE!</v>
      </c>
      <c r="CT82" t="e">
        <f>AND(medidas!BJ181,"AAAAAG+f7mE=")</f>
        <v>#VALUE!</v>
      </c>
      <c r="CU82" t="e">
        <f>AND(medidas!BK181,"AAAAAG+f7mI=")</f>
        <v>#VALUE!</v>
      </c>
      <c r="CV82" t="e">
        <f>AND(medidas!BL181,"AAAAAG+f7mM=")</f>
        <v>#VALUE!</v>
      </c>
      <c r="CW82" t="e">
        <f>AND(medidas!BM181,"AAAAAG+f7mQ=")</f>
        <v>#VALUE!</v>
      </c>
      <c r="CX82" t="e">
        <f>AND(medidas!BN181,"AAAAAG+f7mU=")</f>
        <v>#VALUE!</v>
      </c>
      <c r="CY82" t="e">
        <f>AND(medidas!BO181,"AAAAAG+f7mY=")</f>
        <v>#VALUE!</v>
      </c>
      <c r="CZ82" t="e">
        <f>AND(medidas!BP181,"AAAAAG+f7mc=")</f>
        <v>#VALUE!</v>
      </c>
      <c r="DA82" t="e">
        <f>AND(medidas!BQ181,"AAAAAG+f7mg=")</f>
        <v>#VALUE!</v>
      </c>
      <c r="DB82" t="e">
        <f>AND(medidas!BR181,"AAAAAG+f7mk=")</f>
        <v>#VALUE!</v>
      </c>
      <c r="DC82" t="e">
        <f>AND(medidas!BS181,"AAAAAG+f7mo=")</f>
        <v>#VALUE!</v>
      </c>
      <c r="DD82" t="e">
        <f>AND(medidas!BT181,"AAAAAG+f7ms=")</f>
        <v>#VALUE!</v>
      </c>
      <c r="DE82" t="e">
        <f>AND(medidas!BU181,"AAAAAG+f7mw=")</f>
        <v>#VALUE!</v>
      </c>
      <c r="DF82" t="e">
        <f>AND(medidas!BV181,"AAAAAG+f7m0=")</f>
        <v>#VALUE!</v>
      </c>
      <c r="DG82" t="e">
        <f>AND(medidas!BW181,"AAAAAG+f7m4=")</f>
        <v>#VALUE!</v>
      </c>
      <c r="DH82" t="e">
        <f>AND(medidas!BX181,"AAAAAG+f7m8=")</f>
        <v>#VALUE!</v>
      </c>
      <c r="DI82" t="e">
        <f>AND(medidas!BY181,"AAAAAG+f7nA=")</f>
        <v>#VALUE!</v>
      </c>
      <c r="DJ82">
        <f>IF(medidas!182:182,"AAAAAG+f7nE=",0)</f>
        <v>0</v>
      </c>
      <c r="DK82" t="e">
        <f>AND(medidas!B182,"AAAAAG+f7nI=")</f>
        <v>#VALUE!</v>
      </c>
      <c r="DL82" t="e">
        <f>AND(medidas!C182,"AAAAAG+f7nM=")</f>
        <v>#VALUE!</v>
      </c>
      <c r="DM82" t="e">
        <f>AND(medidas!D182,"AAAAAG+f7nQ=")</f>
        <v>#VALUE!</v>
      </c>
      <c r="DN82" t="e">
        <f>AND(medidas!E182,"AAAAAG+f7nU=")</f>
        <v>#VALUE!</v>
      </c>
      <c r="DO82" t="e">
        <f>AND(medidas!F182,"AAAAAG+f7nY=")</f>
        <v>#VALUE!</v>
      </c>
      <c r="DP82" t="e">
        <f>AND(medidas!G182,"AAAAAG+f7nc=")</f>
        <v>#VALUE!</v>
      </c>
      <c r="DQ82" t="e">
        <f>AND(medidas!H182,"AAAAAG+f7ng=")</f>
        <v>#VALUE!</v>
      </c>
      <c r="DR82" t="e">
        <f>AND(medidas!I182,"AAAAAG+f7nk=")</f>
        <v>#VALUE!</v>
      </c>
      <c r="DS82" t="e">
        <f>AND(medidas!J182,"AAAAAG+f7no=")</f>
        <v>#VALUE!</v>
      </c>
      <c r="DT82" t="e">
        <f>AND(medidas!K182,"AAAAAG+f7ns=")</f>
        <v>#VALUE!</v>
      </c>
      <c r="DU82" t="e">
        <f>AND(medidas!L182,"AAAAAG+f7nw=")</f>
        <v>#VALUE!</v>
      </c>
      <c r="DV82" t="e">
        <f>AND(medidas!M182,"AAAAAG+f7n0=")</f>
        <v>#VALUE!</v>
      </c>
      <c r="DW82" t="e">
        <f>AND(medidas!N182,"AAAAAG+f7n4=")</f>
        <v>#VALUE!</v>
      </c>
      <c r="DX82" t="e">
        <f>AND(medidas!O182,"AAAAAG+f7n8=")</f>
        <v>#VALUE!</v>
      </c>
      <c r="DY82" t="e">
        <f>AND(medidas!P182,"AAAAAG+f7oA=")</f>
        <v>#VALUE!</v>
      </c>
      <c r="DZ82" t="e">
        <f>AND(medidas!Q182,"AAAAAG+f7oE=")</f>
        <v>#VALUE!</v>
      </c>
      <c r="EA82" t="e">
        <f>AND(medidas!R182,"AAAAAG+f7oI=")</f>
        <v>#VALUE!</v>
      </c>
      <c r="EB82" t="e">
        <f>AND(medidas!S182,"AAAAAG+f7oM=")</f>
        <v>#VALUE!</v>
      </c>
      <c r="EC82" t="e">
        <f>AND(medidas!T182,"AAAAAG+f7oQ=")</f>
        <v>#VALUE!</v>
      </c>
      <c r="ED82" t="e">
        <f>AND(medidas!U182,"AAAAAG+f7oU=")</f>
        <v>#VALUE!</v>
      </c>
      <c r="EE82" t="e">
        <f>AND(medidas!V182,"AAAAAG+f7oY=")</f>
        <v>#VALUE!</v>
      </c>
      <c r="EF82" t="e">
        <f>AND(medidas!W182,"AAAAAG+f7oc=")</f>
        <v>#VALUE!</v>
      </c>
      <c r="EG82" t="e">
        <f>AND(medidas!X182,"AAAAAG+f7og=")</f>
        <v>#VALUE!</v>
      </c>
      <c r="EH82" t="e">
        <f>AND(medidas!Y182,"AAAAAG+f7ok=")</f>
        <v>#VALUE!</v>
      </c>
      <c r="EI82" t="e">
        <f>AND(medidas!Z182,"AAAAAG+f7oo=")</f>
        <v>#VALUE!</v>
      </c>
      <c r="EJ82" t="e">
        <f>AND(medidas!AA182,"AAAAAG+f7os=")</f>
        <v>#VALUE!</v>
      </c>
      <c r="EK82" t="e">
        <f>AND(medidas!AB182,"AAAAAG+f7ow=")</f>
        <v>#VALUE!</v>
      </c>
      <c r="EL82" t="e">
        <f>AND(medidas!AC182,"AAAAAG+f7o0=")</f>
        <v>#VALUE!</v>
      </c>
      <c r="EM82" t="e">
        <f>AND(medidas!AD182,"AAAAAG+f7o4=")</f>
        <v>#VALUE!</v>
      </c>
      <c r="EN82" t="e">
        <f>AND(medidas!AE182,"AAAAAG+f7o8=")</f>
        <v>#VALUE!</v>
      </c>
      <c r="EO82" t="e">
        <f>AND(medidas!AF182,"AAAAAG+f7pA=")</f>
        <v>#VALUE!</v>
      </c>
      <c r="EP82" t="e">
        <f>AND(medidas!AG182,"AAAAAG+f7pE=")</f>
        <v>#VALUE!</v>
      </c>
      <c r="EQ82" t="e">
        <f>AND(medidas!AH182,"AAAAAG+f7pI=")</f>
        <v>#VALUE!</v>
      </c>
      <c r="ER82" t="e">
        <f>AND(medidas!AI182,"AAAAAG+f7pM=")</f>
        <v>#VALUE!</v>
      </c>
      <c r="ES82" t="e">
        <f>AND(medidas!AJ182,"AAAAAG+f7pQ=")</f>
        <v>#VALUE!</v>
      </c>
      <c r="ET82" t="e">
        <f>AND(medidas!AK182,"AAAAAG+f7pU=")</f>
        <v>#VALUE!</v>
      </c>
      <c r="EU82" t="e">
        <f>AND(medidas!AL182,"AAAAAG+f7pY=")</f>
        <v>#VALUE!</v>
      </c>
      <c r="EV82" t="e">
        <f>AND(medidas!AM182,"AAAAAG+f7pc=")</f>
        <v>#VALUE!</v>
      </c>
      <c r="EW82" t="e">
        <f>AND(medidas!AN182,"AAAAAG+f7pg=")</f>
        <v>#VALUE!</v>
      </c>
      <c r="EX82" t="e">
        <f>AND(medidas!AO182,"AAAAAG+f7pk=")</f>
        <v>#VALUE!</v>
      </c>
      <c r="EY82" t="e">
        <f>AND(medidas!AP182,"AAAAAG+f7po=")</f>
        <v>#VALUE!</v>
      </c>
      <c r="EZ82" t="e">
        <f>AND(medidas!AQ182,"AAAAAG+f7ps=")</f>
        <v>#VALUE!</v>
      </c>
      <c r="FA82" t="e">
        <f>AND(medidas!AR182,"AAAAAG+f7pw=")</f>
        <v>#VALUE!</v>
      </c>
      <c r="FB82" t="e">
        <f>AND(medidas!AS182,"AAAAAG+f7p0=")</f>
        <v>#VALUE!</v>
      </c>
      <c r="FC82" t="e">
        <f>AND(medidas!AT182,"AAAAAG+f7p4=")</f>
        <v>#VALUE!</v>
      </c>
      <c r="FD82" t="e">
        <f>AND(medidas!AU182,"AAAAAG+f7p8=")</f>
        <v>#VALUE!</v>
      </c>
      <c r="FE82" t="e">
        <f>AND(medidas!AV182,"AAAAAG+f7qA=")</f>
        <v>#VALUE!</v>
      </c>
      <c r="FF82" t="e">
        <f>AND(medidas!AW182,"AAAAAG+f7qE=")</f>
        <v>#VALUE!</v>
      </c>
      <c r="FG82" t="e">
        <f>AND(medidas!AX182,"AAAAAG+f7qI=")</f>
        <v>#VALUE!</v>
      </c>
      <c r="FH82" t="e">
        <f>AND(medidas!AY182,"AAAAAG+f7qM=")</f>
        <v>#VALUE!</v>
      </c>
      <c r="FI82" t="e">
        <f>AND(medidas!AZ182,"AAAAAG+f7qQ=")</f>
        <v>#VALUE!</v>
      </c>
      <c r="FJ82" t="e">
        <f>AND(medidas!BA182,"AAAAAG+f7qU=")</f>
        <v>#VALUE!</v>
      </c>
      <c r="FK82" t="e">
        <f>AND(medidas!BB182,"AAAAAG+f7qY=")</f>
        <v>#VALUE!</v>
      </c>
      <c r="FL82" t="e">
        <f>AND(medidas!BC182,"AAAAAG+f7qc=")</f>
        <v>#VALUE!</v>
      </c>
      <c r="FM82" t="e">
        <f>AND(medidas!BD182,"AAAAAG+f7qg=")</f>
        <v>#VALUE!</v>
      </c>
      <c r="FN82" t="e">
        <f>AND(medidas!BE182,"AAAAAG+f7qk=")</f>
        <v>#VALUE!</v>
      </c>
      <c r="FO82" t="e">
        <f>AND(medidas!BF182,"AAAAAG+f7qo=")</f>
        <v>#VALUE!</v>
      </c>
      <c r="FP82" t="e">
        <f>AND(medidas!BG182,"AAAAAG+f7qs=")</f>
        <v>#VALUE!</v>
      </c>
      <c r="FQ82" t="e">
        <f>AND(medidas!BH182,"AAAAAG+f7qw=")</f>
        <v>#VALUE!</v>
      </c>
      <c r="FR82" t="e">
        <f>AND(medidas!BI182,"AAAAAG+f7q0=")</f>
        <v>#VALUE!</v>
      </c>
      <c r="FS82" t="e">
        <f>AND(medidas!BJ182,"AAAAAG+f7q4=")</f>
        <v>#VALUE!</v>
      </c>
      <c r="FT82" t="e">
        <f>AND(medidas!BK182,"AAAAAG+f7q8=")</f>
        <v>#VALUE!</v>
      </c>
      <c r="FU82" t="e">
        <f>AND(medidas!BL182,"AAAAAG+f7rA=")</f>
        <v>#VALUE!</v>
      </c>
      <c r="FV82" t="e">
        <f>AND(medidas!BM182,"AAAAAG+f7rE=")</f>
        <v>#VALUE!</v>
      </c>
      <c r="FW82" t="e">
        <f>AND(medidas!BN182,"AAAAAG+f7rI=")</f>
        <v>#VALUE!</v>
      </c>
      <c r="FX82" t="e">
        <f>AND(medidas!BO182,"AAAAAG+f7rM=")</f>
        <v>#VALUE!</v>
      </c>
      <c r="FY82" t="e">
        <f>AND(medidas!BP182,"AAAAAG+f7rQ=")</f>
        <v>#VALUE!</v>
      </c>
      <c r="FZ82" t="e">
        <f>AND(medidas!BQ182,"AAAAAG+f7rU=")</f>
        <v>#VALUE!</v>
      </c>
      <c r="GA82" t="e">
        <f>AND(medidas!BR182,"AAAAAG+f7rY=")</f>
        <v>#VALUE!</v>
      </c>
      <c r="GB82" t="e">
        <f>AND(medidas!BS182,"AAAAAG+f7rc=")</f>
        <v>#VALUE!</v>
      </c>
      <c r="GC82" t="e">
        <f>AND(medidas!BT182,"AAAAAG+f7rg=")</f>
        <v>#VALUE!</v>
      </c>
      <c r="GD82" t="e">
        <f>AND(medidas!BU182,"AAAAAG+f7rk=")</f>
        <v>#VALUE!</v>
      </c>
      <c r="GE82" t="e">
        <f>AND(medidas!BV182,"AAAAAG+f7ro=")</f>
        <v>#VALUE!</v>
      </c>
      <c r="GF82" t="e">
        <f>AND(medidas!BW182,"AAAAAG+f7rs=")</f>
        <v>#VALUE!</v>
      </c>
      <c r="GG82" t="e">
        <f>AND(medidas!BX182,"AAAAAG+f7rw=")</f>
        <v>#VALUE!</v>
      </c>
      <c r="GH82" t="e">
        <f>AND(medidas!BY182,"AAAAAG+f7r0=")</f>
        <v>#VALUE!</v>
      </c>
      <c r="GI82">
        <f>IF(medidas!183:183,"AAAAAG+f7r4=",0)</f>
        <v>0</v>
      </c>
      <c r="GJ82" t="e">
        <f>AND(medidas!B183,"AAAAAG+f7r8=")</f>
        <v>#VALUE!</v>
      </c>
      <c r="GK82" t="e">
        <f>AND(medidas!C183,"AAAAAG+f7sA=")</f>
        <v>#VALUE!</v>
      </c>
      <c r="GL82" t="e">
        <f>AND(medidas!D183,"AAAAAG+f7sE=")</f>
        <v>#VALUE!</v>
      </c>
      <c r="GM82" t="e">
        <f>AND(medidas!E183,"AAAAAG+f7sI=")</f>
        <v>#VALUE!</v>
      </c>
      <c r="GN82" t="e">
        <f>AND(medidas!F183,"AAAAAG+f7sM=")</f>
        <v>#VALUE!</v>
      </c>
      <c r="GO82" t="e">
        <f>AND(medidas!G183,"AAAAAG+f7sQ=")</f>
        <v>#VALUE!</v>
      </c>
      <c r="GP82" t="e">
        <f>AND(medidas!H183,"AAAAAG+f7sU=")</f>
        <v>#VALUE!</v>
      </c>
      <c r="GQ82" t="e">
        <f>AND(medidas!I183,"AAAAAG+f7sY=")</f>
        <v>#VALUE!</v>
      </c>
      <c r="GR82" t="e">
        <f>AND(medidas!J183,"AAAAAG+f7sc=")</f>
        <v>#VALUE!</v>
      </c>
      <c r="GS82" t="e">
        <f>AND(medidas!K183,"AAAAAG+f7sg=")</f>
        <v>#VALUE!</v>
      </c>
      <c r="GT82" t="e">
        <f>AND(medidas!L183,"AAAAAG+f7sk=")</f>
        <v>#VALUE!</v>
      </c>
      <c r="GU82" t="e">
        <f>AND(medidas!M183,"AAAAAG+f7so=")</f>
        <v>#VALUE!</v>
      </c>
      <c r="GV82" t="e">
        <f>AND(medidas!N183,"AAAAAG+f7ss=")</f>
        <v>#VALUE!</v>
      </c>
      <c r="GW82" t="e">
        <f>AND(medidas!O183,"AAAAAG+f7sw=")</f>
        <v>#VALUE!</v>
      </c>
      <c r="GX82" t="e">
        <f>AND(medidas!P183,"AAAAAG+f7s0=")</f>
        <v>#VALUE!</v>
      </c>
      <c r="GY82" t="e">
        <f>AND(medidas!Q183,"AAAAAG+f7s4=")</f>
        <v>#VALUE!</v>
      </c>
      <c r="GZ82" t="e">
        <f>AND(medidas!R183,"AAAAAG+f7s8=")</f>
        <v>#VALUE!</v>
      </c>
      <c r="HA82" t="e">
        <f>AND(medidas!S183,"AAAAAG+f7tA=")</f>
        <v>#VALUE!</v>
      </c>
      <c r="HB82" t="e">
        <f>AND(medidas!T183,"AAAAAG+f7tE=")</f>
        <v>#VALUE!</v>
      </c>
      <c r="HC82" t="e">
        <f>AND(medidas!U183,"AAAAAG+f7tI=")</f>
        <v>#VALUE!</v>
      </c>
      <c r="HD82" t="e">
        <f>AND(medidas!V183,"AAAAAG+f7tM=")</f>
        <v>#VALUE!</v>
      </c>
      <c r="HE82" t="e">
        <f>AND(medidas!W183,"AAAAAG+f7tQ=")</f>
        <v>#VALUE!</v>
      </c>
      <c r="HF82" t="e">
        <f>AND(medidas!X183,"AAAAAG+f7tU=")</f>
        <v>#VALUE!</v>
      </c>
      <c r="HG82" t="e">
        <f>AND(medidas!Y183,"AAAAAG+f7tY=")</f>
        <v>#VALUE!</v>
      </c>
      <c r="HH82" t="e">
        <f>AND(medidas!Z183,"AAAAAG+f7tc=")</f>
        <v>#VALUE!</v>
      </c>
      <c r="HI82" t="e">
        <f>AND(medidas!AA183,"AAAAAG+f7tg=")</f>
        <v>#VALUE!</v>
      </c>
      <c r="HJ82" t="e">
        <f>AND(medidas!AB183,"AAAAAG+f7tk=")</f>
        <v>#VALUE!</v>
      </c>
      <c r="HK82" t="e">
        <f>AND(medidas!AC183,"AAAAAG+f7to=")</f>
        <v>#VALUE!</v>
      </c>
      <c r="HL82" t="e">
        <f>AND(medidas!AD183,"AAAAAG+f7ts=")</f>
        <v>#VALUE!</v>
      </c>
      <c r="HM82" t="e">
        <f>AND(medidas!AE183,"AAAAAG+f7tw=")</f>
        <v>#VALUE!</v>
      </c>
      <c r="HN82" t="e">
        <f>AND(medidas!AF183,"AAAAAG+f7t0=")</f>
        <v>#VALUE!</v>
      </c>
      <c r="HO82" t="e">
        <f>AND(medidas!AG183,"AAAAAG+f7t4=")</f>
        <v>#VALUE!</v>
      </c>
      <c r="HP82" t="e">
        <f>AND(medidas!AH183,"AAAAAG+f7t8=")</f>
        <v>#VALUE!</v>
      </c>
      <c r="HQ82" t="e">
        <f>AND(medidas!AI183,"AAAAAG+f7uA=")</f>
        <v>#VALUE!</v>
      </c>
      <c r="HR82" t="e">
        <f>AND(medidas!AJ183,"AAAAAG+f7uE=")</f>
        <v>#VALUE!</v>
      </c>
      <c r="HS82" t="e">
        <f>AND(medidas!AK183,"AAAAAG+f7uI=")</f>
        <v>#VALUE!</v>
      </c>
      <c r="HT82" t="e">
        <f>AND(medidas!AL183,"AAAAAG+f7uM=")</f>
        <v>#VALUE!</v>
      </c>
      <c r="HU82" t="e">
        <f>AND(medidas!AM183,"AAAAAG+f7uQ=")</f>
        <v>#VALUE!</v>
      </c>
      <c r="HV82" t="e">
        <f>AND(medidas!AN183,"AAAAAG+f7uU=")</f>
        <v>#VALUE!</v>
      </c>
      <c r="HW82" t="e">
        <f>AND(medidas!AO183,"AAAAAG+f7uY=")</f>
        <v>#VALUE!</v>
      </c>
      <c r="HX82" t="e">
        <f>AND(medidas!AP183,"AAAAAG+f7uc=")</f>
        <v>#VALUE!</v>
      </c>
      <c r="HY82" t="e">
        <f>AND(medidas!AQ183,"AAAAAG+f7ug=")</f>
        <v>#VALUE!</v>
      </c>
      <c r="HZ82" t="e">
        <f>AND(medidas!AR183,"AAAAAG+f7uk=")</f>
        <v>#VALUE!</v>
      </c>
      <c r="IA82" t="e">
        <f>AND(medidas!AS183,"AAAAAG+f7uo=")</f>
        <v>#VALUE!</v>
      </c>
      <c r="IB82" t="e">
        <f>AND(medidas!AT183,"AAAAAG+f7us=")</f>
        <v>#VALUE!</v>
      </c>
      <c r="IC82" t="e">
        <f>AND(medidas!AU183,"AAAAAG+f7uw=")</f>
        <v>#VALUE!</v>
      </c>
      <c r="ID82" t="e">
        <f>AND(medidas!AV183,"AAAAAG+f7u0=")</f>
        <v>#VALUE!</v>
      </c>
      <c r="IE82" t="e">
        <f>AND(medidas!AW183,"AAAAAG+f7u4=")</f>
        <v>#VALUE!</v>
      </c>
      <c r="IF82" t="e">
        <f>AND(medidas!AX183,"AAAAAG+f7u8=")</f>
        <v>#VALUE!</v>
      </c>
      <c r="IG82" t="e">
        <f>AND(medidas!AY183,"AAAAAG+f7vA=")</f>
        <v>#VALUE!</v>
      </c>
      <c r="IH82" t="e">
        <f>AND(medidas!AZ183,"AAAAAG+f7vE=")</f>
        <v>#VALUE!</v>
      </c>
      <c r="II82" t="e">
        <f>AND(medidas!BA183,"AAAAAG+f7vI=")</f>
        <v>#VALUE!</v>
      </c>
      <c r="IJ82" t="e">
        <f>AND(medidas!BB183,"AAAAAG+f7vM=")</f>
        <v>#VALUE!</v>
      </c>
      <c r="IK82" t="e">
        <f>AND(medidas!BC183,"AAAAAG+f7vQ=")</f>
        <v>#VALUE!</v>
      </c>
      <c r="IL82" t="e">
        <f>AND(medidas!BD183,"AAAAAG+f7vU=")</f>
        <v>#VALUE!</v>
      </c>
      <c r="IM82" t="e">
        <f>AND(medidas!BE183,"AAAAAG+f7vY=")</f>
        <v>#VALUE!</v>
      </c>
      <c r="IN82" t="e">
        <f>AND(medidas!BF183,"AAAAAG+f7vc=")</f>
        <v>#VALUE!</v>
      </c>
      <c r="IO82" t="e">
        <f>AND(medidas!BG183,"AAAAAG+f7vg=")</f>
        <v>#VALUE!</v>
      </c>
      <c r="IP82" t="e">
        <f>AND(medidas!BH183,"AAAAAG+f7vk=")</f>
        <v>#VALUE!</v>
      </c>
      <c r="IQ82" t="e">
        <f>AND(medidas!BI183,"AAAAAG+f7vo=")</f>
        <v>#VALUE!</v>
      </c>
      <c r="IR82" t="e">
        <f>AND(medidas!BJ183,"AAAAAG+f7vs=")</f>
        <v>#VALUE!</v>
      </c>
      <c r="IS82" t="e">
        <f>AND(medidas!BK183,"AAAAAG+f7vw=")</f>
        <v>#VALUE!</v>
      </c>
      <c r="IT82" t="e">
        <f>AND(medidas!BL183,"AAAAAG+f7v0=")</f>
        <v>#VALUE!</v>
      </c>
      <c r="IU82" t="e">
        <f>AND(medidas!BM183,"AAAAAG+f7v4=")</f>
        <v>#VALUE!</v>
      </c>
      <c r="IV82" t="e">
        <f>AND(medidas!BN183,"AAAAAG+f7v8=")</f>
        <v>#VALUE!</v>
      </c>
    </row>
    <row r="83" spans="1:256" x14ac:dyDescent="0.2">
      <c r="A83" t="e">
        <f>AND(medidas!BO183,"AAAAAG397gA=")</f>
        <v>#VALUE!</v>
      </c>
      <c r="B83" t="e">
        <f>AND(medidas!BP183,"AAAAAG397gE=")</f>
        <v>#VALUE!</v>
      </c>
      <c r="C83" t="e">
        <f>AND(medidas!BQ183,"AAAAAG397gI=")</f>
        <v>#VALUE!</v>
      </c>
      <c r="D83" t="e">
        <f>AND(medidas!BR183,"AAAAAG397gM=")</f>
        <v>#VALUE!</v>
      </c>
      <c r="E83" t="e">
        <f>AND(medidas!BS183,"AAAAAG397gQ=")</f>
        <v>#VALUE!</v>
      </c>
      <c r="F83" t="e">
        <f>AND(medidas!BT183,"AAAAAG397gU=")</f>
        <v>#VALUE!</v>
      </c>
      <c r="G83" t="e">
        <f>AND(medidas!BU183,"AAAAAG397gY=")</f>
        <v>#VALUE!</v>
      </c>
      <c r="H83" t="e">
        <f>AND(medidas!BV183,"AAAAAG397gc=")</f>
        <v>#VALUE!</v>
      </c>
      <c r="I83" t="e">
        <f>AND(medidas!BW183,"AAAAAG397gg=")</f>
        <v>#VALUE!</v>
      </c>
      <c r="J83" t="e">
        <f>AND(medidas!BX183,"AAAAAG397gk=")</f>
        <v>#VALUE!</v>
      </c>
      <c r="K83" t="e">
        <f>AND(medidas!BY183,"AAAAAG397go=")</f>
        <v>#VALUE!</v>
      </c>
      <c r="L83" t="e">
        <f>IF(medidas!184:184,"AAAAAG397gs=",0)</f>
        <v>#VALUE!</v>
      </c>
      <c r="M83" t="e">
        <f>AND(medidas!B184,"AAAAAG397gw=")</f>
        <v>#VALUE!</v>
      </c>
      <c r="N83" t="e">
        <f>AND(medidas!C184,"AAAAAG397g0=")</f>
        <v>#VALUE!</v>
      </c>
      <c r="O83" t="e">
        <f>AND(medidas!D184,"AAAAAG397g4=")</f>
        <v>#VALUE!</v>
      </c>
      <c r="P83" t="e">
        <f>AND(medidas!E184,"AAAAAG397g8=")</f>
        <v>#VALUE!</v>
      </c>
      <c r="Q83" t="e">
        <f>AND(medidas!F184,"AAAAAG397hA=")</f>
        <v>#VALUE!</v>
      </c>
      <c r="R83" t="e">
        <f>AND(medidas!G184,"AAAAAG397hE=")</f>
        <v>#VALUE!</v>
      </c>
      <c r="S83" t="e">
        <f>AND(medidas!H184,"AAAAAG397hI=")</f>
        <v>#VALUE!</v>
      </c>
      <c r="T83" t="e">
        <f>AND(medidas!I184,"AAAAAG397hM=")</f>
        <v>#VALUE!</v>
      </c>
      <c r="U83" t="e">
        <f>AND(medidas!J184,"AAAAAG397hQ=")</f>
        <v>#VALUE!</v>
      </c>
      <c r="V83" t="e">
        <f>AND(medidas!K184,"AAAAAG397hU=")</f>
        <v>#VALUE!</v>
      </c>
      <c r="W83" t="e">
        <f>AND(medidas!L184,"AAAAAG397hY=")</f>
        <v>#VALUE!</v>
      </c>
      <c r="X83" t="e">
        <f>AND(medidas!M184,"AAAAAG397hc=")</f>
        <v>#VALUE!</v>
      </c>
      <c r="Y83" t="e">
        <f>AND(medidas!N184,"AAAAAG397hg=")</f>
        <v>#VALUE!</v>
      </c>
      <c r="Z83" t="e">
        <f>AND(medidas!O184,"AAAAAG397hk=")</f>
        <v>#VALUE!</v>
      </c>
      <c r="AA83" t="e">
        <f>AND(medidas!P184,"AAAAAG397ho=")</f>
        <v>#VALUE!</v>
      </c>
      <c r="AB83" t="e">
        <f>AND(medidas!Q184,"AAAAAG397hs=")</f>
        <v>#VALUE!</v>
      </c>
      <c r="AC83" t="e">
        <f>AND(medidas!R184,"AAAAAG397hw=")</f>
        <v>#VALUE!</v>
      </c>
      <c r="AD83" t="e">
        <f>AND(medidas!S184,"AAAAAG397h0=")</f>
        <v>#VALUE!</v>
      </c>
      <c r="AE83" t="e">
        <f>AND(medidas!T184,"AAAAAG397h4=")</f>
        <v>#VALUE!</v>
      </c>
      <c r="AF83" t="e">
        <f>AND(medidas!U184,"AAAAAG397h8=")</f>
        <v>#VALUE!</v>
      </c>
      <c r="AG83" t="e">
        <f>AND(medidas!V184,"AAAAAG397iA=")</f>
        <v>#VALUE!</v>
      </c>
      <c r="AH83" t="e">
        <f>AND(medidas!W184,"AAAAAG397iE=")</f>
        <v>#VALUE!</v>
      </c>
      <c r="AI83" t="e">
        <f>AND(medidas!X184,"AAAAAG397iI=")</f>
        <v>#VALUE!</v>
      </c>
      <c r="AJ83" t="e">
        <f>AND(medidas!Y184,"AAAAAG397iM=")</f>
        <v>#VALUE!</v>
      </c>
      <c r="AK83" t="e">
        <f>AND(medidas!Z184,"AAAAAG397iQ=")</f>
        <v>#VALUE!</v>
      </c>
      <c r="AL83" t="e">
        <f>AND(medidas!AA184,"AAAAAG397iU=")</f>
        <v>#VALUE!</v>
      </c>
      <c r="AM83" t="e">
        <f>AND(medidas!AB184,"AAAAAG397iY=")</f>
        <v>#VALUE!</v>
      </c>
      <c r="AN83" t="e">
        <f>AND(medidas!AC184,"AAAAAG397ic=")</f>
        <v>#VALUE!</v>
      </c>
      <c r="AO83" t="e">
        <f>AND(medidas!AD184,"AAAAAG397ig=")</f>
        <v>#VALUE!</v>
      </c>
      <c r="AP83" t="e">
        <f>AND(medidas!AE184,"AAAAAG397ik=")</f>
        <v>#VALUE!</v>
      </c>
      <c r="AQ83" t="e">
        <f>AND(medidas!AF184,"AAAAAG397io=")</f>
        <v>#VALUE!</v>
      </c>
      <c r="AR83" t="e">
        <f>AND(medidas!AG184,"AAAAAG397is=")</f>
        <v>#VALUE!</v>
      </c>
      <c r="AS83" t="e">
        <f>AND(medidas!AH184,"AAAAAG397iw=")</f>
        <v>#VALUE!</v>
      </c>
      <c r="AT83" t="e">
        <f>AND(medidas!AI184,"AAAAAG397i0=")</f>
        <v>#VALUE!</v>
      </c>
      <c r="AU83" t="e">
        <f>AND(medidas!AJ184,"AAAAAG397i4=")</f>
        <v>#VALUE!</v>
      </c>
      <c r="AV83" t="e">
        <f>AND(medidas!AK184,"AAAAAG397i8=")</f>
        <v>#VALUE!</v>
      </c>
      <c r="AW83" t="e">
        <f>AND(medidas!AL184,"AAAAAG397jA=")</f>
        <v>#VALUE!</v>
      </c>
      <c r="AX83" t="e">
        <f>AND(medidas!AM184,"AAAAAG397jE=")</f>
        <v>#VALUE!</v>
      </c>
      <c r="AY83" t="e">
        <f>AND(medidas!AN184,"AAAAAG397jI=")</f>
        <v>#VALUE!</v>
      </c>
      <c r="AZ83" t="e">
        <f>AND(medidas!AO184,"AAAAAG397jM=")</f>
        <v>#VALUE!</v>
      </c>
      <c r="BA83" t="e">
        <f>AND(medidas!AP184,"AAAAAG397jQ=")</f>
        <v>#VALUE!</v>
      </c>
      <c r="BB83" t="e">
        <f>AND(medidas!AQ184,"AAAAAG397jU=")</f>
        <v>#VALUE!</v>
      </c>
      <c r="BC83" t="e">
        <f>AND(medidas!AR184,"AAAAAG397jY=")</f>
        <v>#VALUE!</v>
      </c>
      <c r="BD83" t="e">
        <f>AND(medidas!AS184,"AAAAAG397jc=")</f>
        <v>#VALUE!</v>
      </c>
      <c r="BE83" t="e">
        <f>AND(medidas!AT184,"AAAAAG397jg=")</f>
        <v>#VALUE!</v>
      </c>
      <c r="BF83" t="e">
        <f>AND(medidas!AU184,"AAAAAG397jk=")</f>
        <v>#VALUE!</v>
      </c>
      <c r="BG83" t="e">
        <f>AND(medidas!AV184,"AAAAAG397jo=")</f>
        <v>#VALUE!</v>
      </c>
      <c r="BH83" t="e">
        <f>AND(medidas!AW184,"AAAAAG397js=")</f>
        <v>#VALUE!</v>
      </c>
      <c r="BI83" t="e">
        <f>AND(medidas!AX184,"AAAAAG397jw=")</f>
        <v>#VALUE!</v>
      </c>
      <c r="BJ83" t="e">
        <f>AND(medidas!AY184,"AAAAAG397j0=")</f>
        <v>#VALUE!</v>
      </c>
      <c r="BK83" t="e">
        <f>AND(medidas!AZ184,"AAAAAG397j4=")</f>
        <v>#VALUE!</v>
      </c>
      <c r="BL83" t="e">
        <f>AND(medidas!BA184,"AAAAAG397j8=")</f>
        <v>#VALUE!</v>
      </c>
      <c r="BM83" t="e">
        <f>AND(medidas!BB184,"AAAAAG397kA=")</f>
        <v>#VALUE!</v>
      </c>
      <c r="BN83" t="e">
        <f>AND(medidas!BC184,"AAAAAG397kE=")</f>
        <v>#VALUE!</v>
      </c>
      <c r="BO83" t="e">
        <f>AND(medidas!BD184,"AAAAAG397kI=")</f>
        <v>#VALUE!</v>
      </c>
      <c r="BP83" t="e">
        <f>AND(medidas!BE184,"AAAAAG397kM=")</f>
        <v>#VALUE!</v>
      </c>
      <c r="BQ83" t="e">
        <f>AND(medidas!BF184,"AAAAAG397kQ=")</f>
        <v>#VALUE!</v>
      </c>
      <c r="BR83" t="e">
        <f>AND(medidas!BG184,"AAAAAG397kU=")</f>
        <v>#VALUE!</v>
      </c>
      <c r="BS83" t="e">
        <f>AND(medidas!BH184,"AAAAAG397kY=")</f>
        <v>#VALUE!</v>
      </c>
      <c r="BT83" t="e">
        <f>AND(medidas!BI184,"AAAAAG397kc=")</f>
        <v>#VALUE!</v>
      </c>
      <c r="BU83" t="e">
        <f>AND(medidas!BJ184,"AAAAAG397kg=")</f>
        <v>#VALUE!</v>
      </c>
      <c r="BV83" t="e">
        <f>AND(medidas!BK184,"AAAAAG397kk=")</f>
        <v>#VALUE!</v>
      </c>
      <c r="BW83" t="e">
        <f>AND(medidas!BL184,"AAAAAG397ko=")</f>
        <v>#VALUE!</v>
      </c>
      <c r="BX83" t="e">
        <f>AND(medidas!BM184,"AAAAAG397ks=")</f>
        <v>#VALUE!</v>
      </c>
      <c r="BY83" t="e">
        <f>AND(medidas!BN184,"AAAAAG397kw=")</f>
        <v>#VALUE!</v>
      </c>
      <c r="BZ83" t="e">
        <f>AND(medidas!BO184,"AAAAAG397k0=")</f>
        <v>#VALUE!</v>
      </c>
      <c r="CA83" t="e">
        <f>AND(medidas!BP184,"AAAAAG397k4=")</f>
        <v>#VALUE!</v>
      </c>
      <c r="CB83" t="e">
        <f>AND(medidas!BQ184,"AAAAAG397k8=")</f>
        <v>#VALUE!</v>
      </c>
      <c r="CC83" t="e">
        <f>AND(medidas!BR184,"AAAAAG397lA=")</f>
        <v>#VALUE!</v>
      </c>
      <c r="CD83" t="e">
        <f>AND(medidas!BS184,"AAAAAG397lE=")</f>
        <v>#VALUE!</v>
      </c>
      <c r="CE83" t="e">
        <f>AND(medidas!BT184,"AAAAAG397lI=")</f>
        <v>#VALUE!</v>
      </c>
      <c r="CF83" t="e">
        <f>AND(medidas!BU184,"AAAAAG397lM=")</f>
        <v>#VALUE!</v>
      </c>
      <c r="CG83" t="e">
        <f>AND(medidas!BV184,"AAAAAG397lQ=")</f>
        <v>#VALUE!</v>
      </c>
      <c r="CH83" t="e">
        <f>AND(medidas!BW184,"AAAAAG397lU=")</f>
        <v>#VALUE!</v>
      </c>
      <c r="CI83" t="e">
        <f>AND(medidas!BX184,"AAAAAG397lY=")</f>
        <v>#VALUE!</v>
      </c>
      <c r="CJ83" t="e">
        <f>AND(medidas!BY184,"AAAAAG397lc=")</f>
        <v>#VALUE!</v>
      </c>
      <c r="CK83">
        <f>IF(medidas!185:185,"AAAAAG397lg=",0)</f>
        <v>0</v>
      </c>
      <c r="CL83" t="e">
        <f>AND(medidas!B185,"AAAAAG397lk=")</f>
        <v>#VALUE!</v>
      </c>
      <c r="CM83" t="e">
        <f>AND(medidas!C185,"AAAAAG397lo=")</f>
        <v>#VALUE!</v>
      </c>
      <c r="CN83" t="e">
        <f>AND(medidas!D185,"AAAAAG397ls=")</f>
        <v>#VALUE!</v>
      </c>
      <c r="CO83" t="e">
        <f>AND(medidas!E185,"AAAAAG397lw=")</f>
        <v>#VALUE!</v>
      </c>
      <c r="CP83" t="e">
        <f>AND(medidas!F185,"AAAAAG397l0=")</f>
        <v>#VALUE!</v>
      </c>
      <c r="CQ83" t="e">
        <f>AND(medidas!G185,"AAAAAG397l4=")</f>
        <v>#VALUE!</v>
      </c>
      <c r="CR83" t="e">
        <f>AND(medidas!H185,"AAAAAG397l8=")</f>
        <v>#VALUE!</v>
      </c>
      <c r="CS83" t="e">
        <f>AND(medidas!I185,"AAAAAG397mA=")</f>
        <v>#VALUE!</v>
      </c>
      <c r="CT83" t="e">
        <f>AND(medidas!J185,"AAAAAG397mE=")</f>
        <v>#VALUE!</v>
      </c>
      <c r="CU83" t="e">
        <f>AND(medidas!K185,"AAAAAG397mI=")</f>
        <v>#VALUE!</v>
      </c>
      <c r="CV83" t="e">
        <f>AND(medidas!L185,"AAAAAG397mM=")</f>
        <v>#VALUE!</v>
      </c>
      <c r="CW83" t="e">
        <f>AND(medidas!M185,"AAAAAG397mQ=")</f>
        <v>#VALUE!</v>
      </c>
      <c r="CX83" t="e">
        <f>AND(medidas!N185,"AAAAAG397mU=")</f>
        <v>#VALUE!</v>
      </c>
      <c r="CY83" t="e">
        <f>AND(medidas!O185,"AAAAAG397mY=")</f>
        <v>#VALUE!</v>
      </c>
      <c r="CZ83" t="e">
        <f>AND(medidas!P185,"AAAAAG397mc=")</f>
        <v>#VALUE!</v>
      </c>
      <c r="DA83" t="e">
        <f>AND(medidas!Q185,"AAAAAG397mg=")</f>
        <v>#VALUE!</v>
      </c>
      <c r="DB83" t="e">
        <f>AND(medidas!R185,"AAAAAG397mk=")</f>
        <v>#VALUE!</v>
      </c>
      <c r="DC83" t="e">
        <f>AND(medidas!S185,"AAAAAG397mo=")</f>
        <v>#VALUE!</v>
      </c>
      <c r="DD83" t="e">
        <f>AND(medidas!T185,"AAAAAG397ms=")</f>
        <v>#VALUE!</v>
      </c>
      <c r="DE83" t="e">
        <f>AND(medidas!U185,"AAAAAG397mw=")</f>
        <v>#VALUE!</v>
      </c>
      <c r="DF83" t="e">
        <f>AND(medidas!V185,"AAAAAG397m0=")</f>
        <v>#VALUE!</v>
      </c>
      <c r="DG83" t="e">
        <f>AND(medidas!W185,"AAAAAG397m4=")</f>
        <v>#VALUE!</v>
      </c>
      <c r="DH83" t="e">
        <f>AND(medidas!X185,"AAAAAG397m8=")</f>
        <v>#VALUE!</v>
      </c>
      <c r="DI83" t="e">
        <f>AND(medidas!Y185,"AAAAAG397nA=")</f>
        <v>#VALUE!</v>
      </c>
      <c r="DJ83" t="e">
        <f>AND(medidas!Z185,"AAAAAG397nE=")</f>
        <v>#VALUE!</v>
      </c>
      <c r="DK83" t="e">
        <f>AND(medidas!AA185,"AAAAAG397nI=")</f>
        <v>#VALUE!</v>
      </c>
      <c r="DL83" t="e">
        <f>AND(medidas!AB185,"AAAAAG397nM=")</f>
        <v>#VALUE!</v>
      </c>
      <c r="DM83" t="e">
        <f>AND(medidas!AC185,"AAAAAG397nQ=")</f>
        <v>#VALUE!</v>
      </c>
      <c r="DN83" t="e">
        <f>AND(medidas!AD185,"AAAAAG397nU=")</f>
        <v>#VALUE!</v>
      </c>
      <c r="DO83" t="e">
        <f>AND(medidas!AE185,"AAAAAG397nY=")</f>
        <v>#VALUE!</v>
      </c>
      <c r="DP83" t="e">
        <f>AND(medidas!AF185,"AAAAAG397nc=")</f>
        <v>#VALUE!</v>
      </c>
      <c r="DQ83" t="e">
        <f>AND(medidas!AG185,"AAAAAG397ng=")</f>
        <v>#VALUE!</v>
      </c>
      <c r="DR83" t="e">
        <f>AND(medidas!AH185,"AAAAAG397nk=")</f>
        <v>#VALUE!</v>
      </c>
      <c r="DS83" t="e">
        <f>AND(medidas!AI185,"AAAAAG397no=")</f>
        <v>#VALUE!</v>
      </c>
      <c r="DT83" t="e">
        <f>AND(medidas!AJ185,"AAAAAG397ns=")</f>
        <v>#VALUE!</v>
      </c>
      <c r="DU83" t="e">
        <f>AND(medidas!AK185,"AAAAAG397nw=")</f>
        <v>#VALUE!</v>
      </c>
      <c r="DV83" t="e">
        <f>AND(medidas!AL185,"AAAAAG397n0=")</f>
        <v>#VALUE!</v>
      </c>
      <c r="DW83" t="e">
        <f>AND(medidas!AM185,"AAAAAG397n4=")</f>
        <v>#VALUE!</v>
      </c>
      <c r="DX83" t="e">
        <f>AND(medidas!AN185,"AAAAAG397n8=")</f>
        <v>#VALUE!</v>
      </c>
      <c r="DY83" t="e">
        <f>AND(medidas!AO185,"AAAAAG397oA=")</f>
        <v>#VALUE!</v>
      </c>
      <c r="DZ83" t="e">
        <f>AND(medidas!AP185,"AAAAAG397oE=")</f>
        <v>#VALUE!</v>
      </c>
      <c r="EA83" t="e">
        <f>AND(medidas!AQ185,"AAAAAG397oI=")</f>
        <v>#VALUE!</v>
      </c>
      <c r="EB83" t="e">
        <f>AND(medidas!AR185,"AAAAAG397oM=")</f>
        <v>#VALUE!</v>
      </c>
      <c r="EC83" t="e">
        <f>AND(medidas!AS185,"AAAAAG397oQ=")</f>
        <v>#VALUE!</v>
      </c>
      <c r="ED83" t="e">
        <f>AND(medidas!AT185,"AAAAAG397oU=")</f>
        <v>#VALUE!</v>
      </c>
      <c r="EE83" t="e">
        <f>AND(medidas!AU185,"AAAAAG397oY=")</f>
        <v>#VALUE!</v>
      </c>
      <c r="EF83" t="e">
        <f>AND(medidas!AV185,"AAAAAG397oc=")</f>
        <v>#VALUE!</v>
      </c>
      <c r="EG83" t="e">
        <f>AND(medidas!AW185,"AAAAAG397og=")</f>
        <v>#VALUE!</v>
      </c>
      <c r="EH83" t="e">
        <f>AND(medidas!AX185,"AAAAAG397ok=")</f>
        <v>#VALUE!</v>
      </c>
      <c r="EI83" t="e">
        <f>AND(medidas!AY185,"AAAAAG397oo=")</f>
        <v>#VALUE!</v>
      </c>
      <c r="EJ83" t="e">
        <f>AND(medidas!AZ185,"AAAAAG397os=")</f>
        <v>#VALUE!</v>
      </c>
      <c r="EK83" t="e">
        <f>AND(medidas!BA185,"AAAAAG397ow=")</f>
        <v>#VALUE!</v>
      </c>
      <c r="EL83" t="e">
        <f>AND(medidas!BB185,"AAAAAG397o0=")</f>
        <v>#VALUE!</v>
      </c>
      <c r="EM83" t="e">
        <f>AND(medidas!BC185,"AAAAAG397o4=")</f>
        <v>#VALUE!</v>
      </c>
      <c r="EN83" t="e">
        <f>AND(medidas!BD185,"AAAAAG397o8=")</f>
        <v>#VALUE!</v>
      </c>
      <c r="EO83" t="e">
        <f>AND(medidas!BE185,"AAAAAG397pA=")</f>
        <v>#VALUE!</v>
      </c>
      <c r="EP83" t="e">
        <f>AND(medidas!BF185,"AAAAAG397pE=")</f>
        <v>#VALUE!</v>
      </c>
      <c r="EQ83" t="e">
        <f>AND(medidas!BG185,"AAAAAG397pI=")</f>
        <v>#VALUE!</v>
      </c>
      <c r="ER83" t="e">
        <f>AND(medidas!BH185,"AAAAAG397pM=")</f>
        <v>#VALUE!</v>
      </c>
      <c r="ES83" t="e">
        <f>AND(medidas!BI185,"AAAAAG397pQ=")</f>
        <v>#VALUE!</v>
      </c>
      <c r="ET83" t="e">
        <f>AND(medidas!BJ185,"AAAAAG397pU=")</f>
        <v>#VALUE!</v>
      </c>
      <c r="EU83" t="e">
        <f>AND(medidas!BK185,"AAAAAG397pY=")</f>
        <v>#VALUE!</v>
      </c>
      <c r="EV83" t="e">
        <f>AND(medidas!BL185,"AAAAAG397pc=")</f>
        <v>#VALUE!</v>
      </c>
      <c r="EW83" t="e">
        <f>AND(medidas!BM185,"AAAAAG397pg=")</f>
        <v>#VALUE!</v>
      </c>
      <c r="EX83" t="e">
        <f>AND(medidas!BN185,"AAAAAG397pk=")</f>
        <v>#VALUE!</v>
      </c>
      <c r="EY83" t="e">
        <f>AND(medidas!BO185,"AAAAAG397po=")</f>
        <v>#VALUE!</v>
      </c>
      <c r="EZ83" t="e">
        <f>AND(medidas!BP185,"AAAAAG397ps=")</f>
        <v>#VALUE!</v>
      </c>
      <c r="FA83" t="e">
        <f>AND(medidas!BQ185,"AAAAAG397pw=")</f>
        <v>#VALUE!</v>
      </c>
      <c r="FB83" t="e">
        <f>AND(medidas!BR185,"AAAAAG397p0=")</f>
        <v>#VALUE!</v>
      </c>
      <c r="FC83" t="e">
        <f>AND(medidas!BS185,"AAAAAG397p4=")</f>
        <v>#VALUE!</v>
      </c>
      <c r="FD83" t="e">
        <f>AND(medidas!BT185,"AAAAAG397p8=")</f>
        <v>#VALUE!</v>
      </c>
      <c r="FE83" t="e">
        <f>AND(medidas!BU185,"AAAAAG397qA=")</f>
        <v>#VALUE!</v>
      </c>
      <c r="FF83" t="e">
        <f>AND(medidas!BV185,"AAAAAG397qE=")</f>
        <v>#VALUE!</v>
      </c>
      <c r="FG83" t="e">
        <f>AND(medidas!BW185,"AAAAAG397qI=")</f>
        <v>#VALUE!</v>
      </c>
      <c r="FH83" t="e">
        <f>AND(medidas!BX185,"AAAAAG397qM=")</f>
        <v>#VALUE!</v>
      </c>
      <c r="FI83" t="e">
        <f>AND(medidas!BY185,"AAAAAG397qQ=")</f>
        <v>#VALUE!</v>
      </c>
      <c r="FJ83">
        <f>IF(medidas!186:186,"AAAAAG397qU=",0)</f>
        <v>0</v>
      </c>
      <c r="FK83" t="e">
        <f>AND(medidas!B186,"AAAAAG397qY=")</f>
        <v>#VALUE!</v>
      </c>
      <c r="FL83" t="e">
        <f>AND(medidas!C186,"AAAAAG397qc=")</f>
        <v>#VALUE!</v>
      </c>
      <c r="FM83" t="e">
        <f>AND(medidas!D186,"AAAAAG397qg=")</f>
        <v>#VALUE!</v>
      </c>
      <c r="FN83" t="e">
        <f>AND(medidas!E186,"AAAAAG397qk=")</f>
        <v>#VALUE!</v>
      </c>
      <c r="FO83" t="e">
        <f>AND(medidas!F186,"AAAAAG397qo=")</f>
        <v>#VALUE!</v>
      </c>
      <c r="FP83" t="e">
        <f>AND(medidas!G186,"AAAAAG397qs=")</f>
        <v>#VALUE!</v>
      </c>
      <c r="FQ83" t="e">
        <f>AND(medidas!H186,"AAAAAG397qw=")</f>
        <v>#VALUE!</v>
      </c>
      <c r="FR83" t="e">
        <f>AND(medidas!I186,"AAAAAG397q0=")</f>
        <v>#VALUE!</v>
      </c>
      <c r="FS83" t="e">
        <f>AND(medidas!J186,"AAAAAG397q4=")</f>
        <v>#VALUE!</v>
      </c>
      <c r="FT83" t="e">
        <f>AND(medidas!K186,"AAAAAG397q8=")</f>
        <v>#VALUE!</v>
      </c>
      <c r="FU83" t="e">
        <f>AND(medidas!L186,"AAAAAG397rA=")</f>
        <v>#VALUE!</v>
      </c>
      <c r="FV83" t="e">
        <f>AND(medidas!M186,"AAAAAG397rE=")</f>
        <v>#VALUE!</v>
      </c>
      <c r="FW83" t="e">
        <f>AND(medidas!N186,"AAAAAG397rI=")</f>
        <v>#VALUE!</v>
      </c>
      <c r="FX83" t="e">
        <f>AND(medidas!O186,"AAAAAG397rM=")</f>
        <v>#VALUE!</v>
      </c>
      <c r="FY83" t="e">
        <f>AND(medidas!P186,"AAAAAG397rQ=")</f>
        <v>#VALUE!</v>
      </c>
      <c r="FZ83" t="e">
        <f>AND(medidas!Q186,"AAAAAG397rU=")</f>
        <v>#VALUE!</v>
      </c>
      <c r="GA83" t="e">
        <f>AND(medidas!R186,"AAAAAG397rY=")</f>
        <v>#VALUE!</v>
      </c>
      <c r="GB83" t="e">
        <f>AND(medidas!S186,"AAAAAG397rc=")</f>
        <v>#VALUE!</v>
      </c>
      <c r="GC83" t="e">
        <f>AND(medidas!T186,"AAAAAG397rg=")</f>
        <v>#VALUE!</v>
      </c>
      <c r="GD83" t="e">
        <f>AND(medidas!U186,"AAAAAG397rk=")</f>
        <v>#VALUE!</v>
      </c>
      <c r="GE83" t="e">
        <f>AND(medidas!V186,"AAAAAG397ro=")</f>
        <v>#VALUE!</v>
      </c>
      <c r="GF83" t="e">
        <f>AND(medidas!W186,"AAAAAG397rs=")</f>
        <v>#VALUE!</v>
      </c>
      <c r="GG83" t="e">
        <f>AND(medidas!X186,"AAAAAG397rw=")</f>
        <v>#VALUE!</v>
      </c>
      <c r="GH83" t="e">
        <f>AND(medidas!Y186,"AAAAAG397r0=")</f>
        <v>#VALUE!</v>
      </c>
      <c r="GI83" t="e">
        <f>AND(medidas!Z186,"AAAAAG397r4=")</f>
        <v>#VALUE!</v>
      </c>
      <c r="GJ83" t="e">
        <f>AND(medidas!AA186,"AAAAAG397r8=")</f>
        <v>#VALUE!</v>
      </c>
      <c r="GK83" t="e">
        <f>AND(medidas!AB186,"AAAAAG397sA=")</f>
        <v>#VALUE!</v>
      </c>
      <c r="GL83" t="e">
        <f>AND(medidas!AC186,"AAAAAG397sE=")</f>
        <v>#VALUE!</v>
      </c>
      <c r="GM83" t="e">
        <f>AND(medidas!AD186,"AAAAAG397sI=")</f>
        <v>#VALUE!</v>
      </c>
      <c r="GN83" t="e">
        <f>AND(medidas!AE186,"AAAAAG397sM=")</f>
        <v>#VALUE!</v>
      </c>
      <c r="GO83" t="e">
        <f>AND(medidas!AF186,"AAAAAG397sQ=")</f>
        <v>#VALUE!</v>
      </c>
      <c r="GP83" t="e">
        <f>AND(medidas!AG186,"AAAAAG397sU=")</f>
        <v>#VALUE!</v>
      </c>
      <c r="GQ83" t="e">
        <f>AND(medidas!AH186,"AAAAAG397sY=")</f>
        <v>#VALUE!</v>
      </c>
      <c r="GR83" t="e">
        <f>AND(medidas!AI186,"AAAAAG397sc=")</f>
        <v>#VALUE!</v>
      </c>
      <c r="GS83" t="e">
        <f>AND(medidas!AJ186,"AAAAAG397sg=")</f>
        <v>#VALUE!</v>
      </c>
      <c r="GT83" t="e">
        <f>AND(medidas!AK186,"AAAAAG397sk=")</f>
        <v>#VALUE!</v>
      </c>
      <c r="GU83" t="e">
        <f>AND(medidas!AL186,"AAAAAG397so=")</f>
        <v>#VALUE!</v>
      </c>
      <c r="GV83" t="e">
        <f>AND(medidas!AM186,"AAAAAG397ss=")</f>
        <v>#VALUE!</v>
      </c>
      <c r="GW83" t="e">
        <f>AND(medidas!AN186,"AAAAAG397sw=")</f>
        <v>#VALUE!</v>
      </c>
      <c r="GX83" t="e">
        <f>AND(medidas!AO186,"AAAAAG397s0=")</f>
        <v>#VALUE!</v>
      </c>
      <c r="GY83" t="e">
        <f>AND(medidas!AP186,"AAAAAG397s4=")</f>
        <v>#VALUE!</v>
      </c>
      <c r="GZ83" t="e">
        <f>AND(medidas!AQ186,"AAAAAG397s8=")</f>
        <v>#VALUE!</v>
      </c>
      <c r="HA83" t="e">
        <f>AND(medidas!AR186,"AAAAAG397tA=")</f>
        <v>#VALUE!</v>
      </c>
      <c r="HB83" t="e">
        <f>AND(medidas!AS186,"AAAAAG397tE=")</f>
        <v>#VALUE!</v>
      </c>
      <c r="HC83" t="e">
        <f>AND(medidas!AT186,"AAAAAG397tI=")</f>
        <v>#VALUE!</v>
      </c>
      <c r="HD83" t="e">
        <f>AND(medidas!AU186,"AAAAAG397tM=")</f>
        <v>#VALUE!</v>
      </c>
      <c r="HE83" t="e">
        <f>AND(medidas!AV186,"AAAAAG397tQ=")</f>
        <v>#VALUE!</v>
      </c>
      <c r="HF83" t="e">
        <f>AND(medidas!AW186,"AAAAAG397tU=")</f>
        <v>#VALUE!</v>
      </c>
      <c r="HG83" t="e">
        <f>AND(medidas!AX186,"AAAAAG397tY=")</f>
        <v>#VALUE!</v>
      </c>
      <c r="HH83" t="e">
        <f>AND(medidas!AY186,"AAAAAG397tc=")</f>
        <v>#VALUE!</v>
      </c>
      <c r="HI83" t="e">
        <f>AND(medidas!AZ186,"AAAAAG397tg=")</f>
        <v>#VALUE!</v>
      </c>
      <c r="HJ83" t="e">
        <f>AND(medidas!BA186,"AAAAAG397tk=")</f>
        <v>#VALUE!</v>
      </c>
      <c r="HK83" t="e">
        <f>AND(medidas!BB186,"AAAAAG397to=")</f>
        <v>#VALUE!</v>
      </c>
      <c r="HL83" t="e">
        <f>AND(medidas!BC186,"AAAAAG397ts=")</f>
        <v>#VALUE!</v>
      </c>
      <c r="HM83" t="e">
        <f>AND(medidas!BD186,"AAAAAG397tw=")</f>
        <v>#VALUE!</v>
      </c>
      <c r="HN83" t="e">
        <f>AND(medidas!BE186,"AAAAAG397t0=")</f>
        <v>#VALUE!</v>
      </c>
      <c r="HO83" t="e">
        <f>AND(medidas!BF186,"AAAAAG397t4=")</f>
        <v>#VALUE!</v>
      </c>
      <c r="HP83" t="e">
        <f>AND(medidas!BG186,"AAAAAG397t8=")</f>
        <v>#VALUE!</v>
      </c>
      <c r="HQ83" t="e">
        <f>AND(medidas!BH186,"AAAAAG397uA=")</f>
        <v>#VALUE!</v>
      </c>
      <c r="HR83" t="e">
        <f>AND(medidas!BI186,"AAAAAG397uE=")</f>
        <v>#VALUE!</v>
      </c>
      <c r="HS83" t="e">
        <f>AND(medidas!BJ186,"AAAAAG397uI=")</f>
        <v>#VALUE!</v>
      </c>
      <c r="HT83" t="e">
        <f>AND(medidas!BK186,"AAAAAG397uM=")</f>
        <v>#VALUE!</v>
      </c>
      <c r="HU83" t="e">
        <f>AND(medidas!BL186,"AAAAAG397uQ=")</f>
        <v>#VALUE!</v>
      </c>
      <c r="HV83" t="e">
        <f>AND(medidas!BM186,"AAAAAG397uU=")</f>
        <v>#VALUE!</v>
      </c>
      <c r="HW83" t="e">
        <f>AND(medidas!BN186,"AAAAAG397uY=")</f>
        <v>#VALUE!</v>
      </c>
      <c r="HX83" t="e">
        <f>AND(medidas!BO186,"AAAAAG397uc=")</f>
        <v>#VALUE!</v>
      </c>
      <c r="HY83" t="e">
        <f>AND(medidas!BP186,"AAAAAG397ug=")</f>
        <v>#VALUE!</v>
      </c>
      <c r="HZ83" t="e">
        <f>AND(medidas!BQ186,"AAAAAG397uk=")</f>
        <v>#VALUE!</v>
      </c>
      <c r="IA83" t="e">
        <f>AND(medidas!BR186,"AAAAAG397uo=")</f>
        <v>#VALUE!</v>
      </c>
      <c r="IB83" t="e">
        <f>AND(medidas!BS186,"AAAAAG397us=")</f>
        <v>#VALUE!</v>
      </c>
      <c r="IC83" t="e">
        <f>AND(medidas!BT186,"AAAAAG397uw=")</f>
        <v>#VALUE!</v>
      </c>
      <c r="ID83" t="e">
        <f>AND(medidas!BU186,"AAAAAG397u0=")</f>
        <v>#VALUE!</v>
      </c>
      <c r="IE83" t="e">
        <f>AND(medidas!BV186,"AAAAAG397u4=")</f>
        <v>#VALUE!</v>
      </c>
      <c r="IF83" t="e">
        <f>AND(medidas!BW186,"AAAAAG397u8=")</f>
        <v>#VALUE!</v>
      </c>
      <c r="IG83" t="e">
        <f>AND(medidas!BX186,"AAAAAG397vA=")</f>
        <v>#VALUE!</v>
      </c>
      <c r="IH83" t="e">
        <f>AND(medidas!BY186,"AAAAAG397vE=")</f>
        <v>#VALUE!</v>
      </c>
      <c r="II83">
        <f>IF(medidas!187:187,"AAAAAG397vI=",0)</f>
        <v>0</v>
      </c>
      <c r="IJ83" t="e">
        <f>AND(medidas!B187,"AAAAAG397vM=")</f>
        <v>#VALUE!</v>
      </c>
      <c r="IK83" t="e">
        <f>AND(medidas!C187,"AAAAAG397vQ=")</f>
        <v>#VALUE!</v>
      </c>
      <c r="IL83" t="e">
        <f>AND(medidas!D187,"AAAAAG397vU=")</f>
        <v>#VALUE!</v>
      </c>
      <c r="IM83" t="e">
        <f>AND(medidas!E187,"AAAAAG397vY=")</f>
        <v>#VALUE!</v>
      </c>
      <c r="IN83" t="e">
        <f>AND(medidas!F187,"AAAAAG397vc=")</f>
        <v>#VALUE!</v>
      </c>
      <c r="IO83" t="e">
        <f>AND(medidas!G187,"AAAAAG397vg=")</f>
        <v>#VALUE!</v>
      </c>
      <c r="IP83" t="e">
        <f>AND(medidas!H187,"AAAAAG397vk=")</f>
        <v>#VALUE!</v>
      </c>
      <c r="IQ83" t="e">
        <f>AND(medidas!I187,"AAAAAG397vo=")</f>
        <v>#VALUE!</v>
      </c>
      <c r="IR83" t="e">
        <f>AND(medidas!J187,"AAAAAG397vs=")</f>
        <v>#VALUE!</v>
      </c>
      <c r="IS83" t="e">
        <f>AND(medidas!K187,"AAAAAG397vw=")</f>
        <v>#VALUE!</v>
      </c>
      <c r="IT83" t="e">
        <f>AND(medidas!L187,"AAAAAG397v0=")</f>
        <v>#VALUE!</v>
      </c>
      <c r="IU83" t="e">
        <f>AND(medidas!M187,"AAAAAG397v4=")</f>
        <v>#VALUE!</v>
      </c>
      <c r="IV83" t="e">
        <f>AND(medidas!N187,"AAAAAG397v8=")</f>
        <v>#VALUE!</v>
      </c>
    </row>
    <row r="84" spans="1:256" x14ac:dyDescent="0.2">
      <c r="A84" t="e">
        <f>AND(medidas!O187,"AAAAAD+9dQA=")</f>
        <v>#VALUE!</v>
      </c>
      <c r="B84" t="e">
        <f>AND(medidas!P187,"AAAAAD+9dQE=")</f>
        <v>#VALUE!</v>
      </c>
      <c r="C84" t="e">
        <f>AND(medidas!Q187,"AAAAAD+9dQI=")</f>
        <v>#VALUE!</v>
      </c>
      <c r="D84" t="e">
        <f>AND(medidas!R187,"AAAAAD+9dQM=")</f>
        <v>#VALUE!</v>
      </c>
      <c r="E84" t="e">
        <f>AND(medidas!S187,"AAAAAD+9dQQ=")</f>
        <v>#VALUE!</v>
      </c>
      <c r="F84" t="e">
        <f>AND(medidas!T187,"AAAAAD+9dQU=")</f>
        <v>#VALUE!</v>
      </c>
      <c r="G84" t="e">
        <f>AND(medidas!U187,"AAAAAD+9dQY=")</f>
        <v>#VALUE!</v>
      </c>
      <c r="H84" t="e">
        <f>AND(medidas!V187,"AAAAAD+9dQc=")</f>
        <v>#VALUE!</v>
      </c>
      <c r="I84" t="e">
        <f>AND(medidas!W187,"AAAAAD+9dQg=")</f>
        <v>#VALUE!</v>
      </c>
      <c r="J84" t="e">
        <f>AND(medidas!X187,"AAAAAD+9dQk=")</f>
        <v>#VALUE!</v>
      </c>
      <c r="K84" t="e">
        <f>AND(medidas!Y187,"AAAAAD+9dQo=")</f>
        <v>#VALUE!</v>
      </c>
      <c r="L84" t="e">
        <f>AND(medidas!Z187,"AAAAAD+9dQs=")</f>
        <v>#VALUE!</v>
      </c>
      <c r="M84" t="e">
        <f>AND(medidas!AA187,"AAAAAD+9dQw=")</f>
        <v>#VALUE!</v>
      </c>
      <c r="N84" t="e">
        <f>AND(medidas!AB187,"AAAAAD+9dQ0=")</f>
        <v>#VALUE!</v>
      </c>
      <c r="O84" t="e">
        <f>AND(medidas!AC187,"AAAAAD+9dQ4=")</f>
        <v>#VALUE!</v>
      </c>
      <c r="P84" t="e">
        <f>AND(medidas!AD187,"AAAAAD+9dQ8=")</f>
        <v>#VALUE!</v>
      </c>
      <c r="Q84" t="e">
        <f>AND(medidas!AE187,"AAAAAD+9dRA=")</f>
        <v>#VALUE!</v>
      </c>
      <c r="R84" t="e">
        <f>AND(medidas!AF187,"AAAAAD+9dRE=")</f>
        <v>#VALUE!</v>
      </c>
      <c r="S84" t="e">
        <f>AND(medidas!AG187,"AAAAAD+9dRI=")</f>
        <v>#VALUE!</v>
      </c>
      <c r="T84" t="e">
        <f>AND(medidas!AH187,"AAAAAD+9dRM=")</f>
        <v>#VALUE!</v>
      </c>
      <c r="U84" t="e">
        <f>AND(medidas!AI187,"AAAAAD+9dRQ=")</f>
        <v>#VALUE!</v>
      </c>
      <c r="V84" t="e">
        <f>AND(medidas!AJ187,"AAAAAD+9dRU=")</f>
        <v>#VALUE!</v>
      </c>
      <c r="W84" t="e">
        <f>AND(medidas!AK187,"AAAAAD+9dRY=")</f>
        <v>#VALUE!</v>
      </c>
      <c r="X84" t="e">
        <f>AND(medidas!AL187,"AAAAAD+9dRc=")</f>
        <v>#VALUE!</v>
      </c>
      <c r="Y84" t="e">
        <f>AND(medidas!AM187,"AAAAAD+9dRg=")</f>
        <v>#VALUE!</v>
      </c>
      <c r="Z84" t="e">
        <f>AND(medidas!AN187,"AAAAAD+9dRk=")</f>
        <v>#VALUE!</v>
      </c>
      <c r="AA84" t="e">
        <f>AND(medidas!AO187,"AAAAAD+9dRo=")</f>
        <v>#VALUE!</v>
      </c>
      <c r="AB84" t="e">
        <f>AND(medidas!AP187,"AAAAAD+9dRs=")</f>
        <v>#VALUE!</v>
      </c>
      <c r="AC84" t="e">
        <f>AND(medidas!AQ187,"AAAAAD+9dRw=")</f>
        <v>#VALUE!</v>
      </c>
      <c r="AD84" t="e">
        <f>AND(medidas!AR187,"AAAAAD+9dR0=")</f>
        <v>#VALUE!</v>
      </c>
      <c r="AE84" t="e">
        <f>AND(medidas!AS187,"AAAAAD+9dR4=")</f>
        <v>#VALUE!</v>
      </c>
      <c r="AF84" t="e">
        <f>AND(medidas!AT187,"AAAAAD+9dR8=")</f>
        <v>#VALUE!</v>
      </c>
      <c r="AG84" t="e">
        <f>AND(medidas!AU187,"AAAAAD+9dSA=")</f>
        <v>#VALUE!</v>
      </c>
      <c r="AH84" t="e">
        <f>AND(medidas!AV187,"AAAAAD+9dSE=")</f>
        <v>#VALUE!</v>
      </c>
      <c r="AI84" t="e">
        <f>AND(medidas!AW187,"AAAAAD+9dSI=")</f>
        <v>#VALUE!</v>
      </c>
      <c r="AJ84" t="e">
        <f>AND(medidas!AX187,"AAAAAD+9dSM=")</f>
        <v>#VALUE!</v>
      </c>
      <c r="AK84" t="e">
        <f>AND(medidas!AY187,"AAAAAD+9dSQ=")</f>
        <v>#VALUE!</v>
      </c>
      <c r="AL84" t="e">
        <f>AND(medidas!AZ187,"AAAAAD+9dSU=")</f>
        <v>#VALUE!</v>
      </c>
      <c r="AM84" t="e">
        <f>AND(medidas!BA187,"AAAAAD+9dSY=")</f>
        <v>#VALUE!</v>
      </c>
      <c r="AN84" t="e">
        <f>AND(medidas!BB187,"AAAAAD+9dSc=")</f>
        <v>#VALUE!</v>
      </c>
      <c r="AO84" t="e">
        <f>AND(medidas!BC187,"AAAAAD+9dSg=")</f>
        <v>#VALUE!</v>
      </c>
      <c r="AP84" t="e">
        <f>AND(medidas!BD187,"AAAAAD+9dSk=")</f>
        <v>#VALUE!</v>
      </c>
      <c r="AQ84" t="e">
        <f>AND(medidas!BE187,"AAAAAD+9dSo=")</f>
        <v>#VALUE!</v>
      </c>
      <c r="AR84" t="e">
        <f>AND(medidas!BF187,"AAAAAD+9dSs=")</f>
        <v>#VALUE!</v>
      </c>
      <c r="AS84" t="e">
        <f>AND(medidas!BG187,"AAAAAD+9dSw=")</f>
        <v>#VALUE!</v>
      </c>
      <c r="AT84" t="e">
        <f>AND(medidas!BH187,"AAAAAD+9dS0=")</f>
        <v>#VALUE!</v>
      </c>
      <c r="AU84" t="e">
        <f>AND(medidas!BI187,"AAAAAD+9dS4=")</f>
        <v>#VALUE!</v>
      </c>
      <c r="AV84" t="e">
        <f>AND(medidas!BJ187,"AAAAAD+9dS8=")</f>
        <v>#VALUE!</v>
      </c>
      <c r="AW84" t="e">
        <f>AND(medidas!BK187,"AAAAAD+9dTA=")</f>
        <v>#VALUE!</v>
      </c>
      <c r="AX84" t="e">
        <f>AND(medidas!BL187,"AAAAAD+9dTE=")</f>
        <v>#VALUE!</v>
      </c>
      <c r="AY84" t="e">
        <f>AND(medidas!BM187,"AAAAAD+9dTI=")</f>
        <v>#VALUE!</v>
      </c>
      <c r="AZ84" t="e">
        <f>AND(medidas!BN187,"AAAAAD+9dTM=")</f>
        <v>#VALUE!</v>
      </c>
      <c r="BA84" t="e">
        <f>AND(medidas!BO187,"AAAAAD+9dTQ=")</f>
        <v>#VALUE!</v>
      </c>
      <c r="BB84" t="e">
        <f>AND(medidas!BP187,"AAAAAD+9dTU=")</f>
        <v>#VALUE!</v>
      </c>
      <c r="BC84" t="e">
        <f>AND(medidas!BQ187,"AAAAAD+9dTY=")</f>
        <v>#VALUE!</v>
      </c>
      <c r="BD84" t="e">
        <f>AND(medidas!BR187,"AAAAAD+9dTc=")</f>
        <v>#VALUE!</v>
      </c>
      <c r="BE84" t="e">
        <f>AND(medidas!BS187,"AAAAAD+9dTg=")</f>
        <v>#VALUE!</v>
      </c>
      <c r="BF84" t="e">
        <f>AND(medidas!BT187,"AAAAAD+9dTk=")</f>
        <v>#VALUE!</v>
      </c>
      <c r="BG84" t="e">
        <f>AND(medidas!BU187,"AAAAAD+9dTo=")</f>
        <v>#VALUE!</v>
      </c>
      <c r="BH84" t="e">
        <f>AND(medidas!BV187,"AAAAAD+9dTs=")</f>
        <v>#VALUE!</v>
      </c>
      <c r="BI84" t="e">
        <f>AND(medidas!BW187,"AAAAAD+9dTw=")</f>
        <v>#VALUE!</v>
      </c>
      <c r="BJ84" t="e">
        <f>AND(medidas!BX187,"AAAAAD+9dT0=")</f>
        <v>#VALUE!</v>
      </c>
      <c r="BK84" t="e">
        <f>AND(medidas!BY187,"AAAAAD+9dT4=")</f>
        <v>#VALUE!</v>
      </c>
      <c r="BL84">
        <f>IF(medidas!188:188,"AAAAAD+9dT8=",0)</f>
        <v>0</v>
      </c>
      <c r="BM84" t="e">
        <f>AND(medidas!B188,"AAAAAD+9dUA=")</f>
        <v>#VALUE!</v>
      </c>
      <c r="BN84" t="e">
        <f>AND(medidas!C188,"AAAAAD+9dUE=")</f>
        <v>#VALUE!</v>
      </c>
      <c r="BO84" t="e">
        <f>AND(medidas!D188,"AAAAAD+9dUI=")</f>
        <v>#VALUE!</v>
      </c>
      <c r="BP84" t="e">
        <f>AND(medidas!E188,"AAAAAD+9dUM=")</f>
        <v>#VALUE!</v>
      </c>
      <c r="BQ84" t="e">
        <f>AND(medidas!F188,"AAAAAD+9dUQ=")</f>
        <v>#VALUE!</v>
      </c>
      <c r="BR84" t="e">
        <f>AND(medidas!G188,"AAAAAD+9dUU=")</f>
        <v>#VALUE!</v>
      </c>
      <c r="BS84" t="e">
        <f>AND(medidas!H188,"AAAAAD+9dUY=")</f>
        <v>#VALUE!</v>
      </c>
      <c r="BT84" t="e">
        <f>AND(medidas!I188,"AAAAAD+9dUc=")</f>
        <v>#VALUE!</v>
      </c>
      <c r="BU84" t="e">
        <f>AND(medidas!J188,"AAAAAD+9dUg=")</f>
        <v>#VALUE!</v>
      </c>
      <c r="BV84" t="e">
        <f>AND(medidas!K188,"AAAAAD+9dUk=")</f>
        <v>#VALUE!</v>
      </c>
      <c r="BW84" t="e">
        <f>AND(medidas!L188,"AAAAAD+9dUo=")</f>
        <v>#VALUE!</v>
      </c>
      <c r="BX84" t="e">
        <f>AND(medidas!M188,"AAAAAD+9dUs=")</f>
        <v>#VALUE!</v>
      </c>
      <c r="BY84" t="e">
        <f>AND(medidas!N188,"AAAAAD+9dUw=")</f>
        <v>#VALUE!</v>
      </c>
      <c r="BZ84" t="e">
        <f>AND(medidas!O188,"AAAAAD+9dU0=")</f>
        <v>#VALUE!</v>
      </c>
      <c r="CA84" t="e">
        <f>AND(medidas!P188,"AAAAAD+9dU4=")</f>
        <v>#VALUE!</v>
      </c>
      <c r="CB84" t="e">
        <f>AND(medidas!Q188,"AAAAAD+9dU8=")</f>
        <v>#VALUE!</v>
      </c>
      <c r="CC84" t="e">
        <f>AND(medidas!R188,"AAAAAD+9dVA=")</f>
        <v>#VALUE!</v>
      </c>
      <c r="CD84" t="e">
        <f>AND(medidas!S188,"AAAAAD+9dVE=")</f>
        <v>#VALUE!</v>
      </c>
      <c r="CE84" t="e">
        <f>AND(medidas!T188,"AAAAAD+9dVI=")</f>
        <v>#VALUE!</v>
      </c>
      <c r="CF84" t="e">
        <f>AND(medidas!U188,"AAAAAD+9dVM=")</f>
        <v>#VALUE!</v>
      </c>
      <c r="CG84" t="e">
        <f>AND(medidas!V188,"AAAAAD+9dVQ=")</f>
        <v>#VALUE!</v>
      </c>
      <c r="CH84" t="e">
        <f>AND(medidas!W188,"AAAAAD+9dVU=")</f>
        <v>#VALUE!</v>
      </c>
      <c r="CI84" t="e">
        <f>AND(medidas!X188,"AAAAAD+9dVY=")</f>
        <v>#VALUE!</v>
      </c>
      <c r="CJ84" t="e">
        <f>AND(medidas!Y188,"AAAAAD+9dVc=")</f>
        <v>#VALUE!</v>
      </c>
      <c r="CK84" t="e">
        <f>AND(medidas!Z188,"AAAAAD+9dVg=")</f>
        <v>#VALUE!</v>
      </c>
      <c r="CL84" t="e">
        <f>AND(medidas!AA188,"AAAAAD+9dVk=")</f>
        <v>#VALUE!</v>
      </c>
      <c r="CM84" t="e">
        <f>AND(medidas!AB188,"AAAAAD+9dVo=")</f>
        <v>#VALUE!</v>
      </c>
      <c r="CN84" t="e">
        <f>AND(medidas!AC188,"AAAAAD+9dVs=")</f>
        <v>#VALUE!</v>
      </c>
      <c r="CO84" t="e">
        <f>AND(medidas!AD188,"AAAAAD+9dVw=")</f>
        <v>#VALUE!</v>
      </c>
      <c r="CP84" t="e">
        <f>AND(medidas!AE188,"AAAAAD+9dV0=")</f>
        <v>#VALUE!</v>
      </c>
      <c r="CQ84" t="e">
        <f>AND(medidas!AF188,"AAAAAD+9dV4=")</f>
        <v>#VALUE!</v>
      </c>
      <c r="CR84" t="e">
        <f>AND(medidas!AG188,"AAAAAD+9dV8=")</f>
        <v>#VALUE!</v>
      </c>
      <c r="CS84" t="e">
        <f>AND(medidas!AH188,"AAAAAD+9dWA=")</f>
        <v>#VALUE!</v>
      </c>
      <c r="CT84" t="e">
        <f>AND(medidas!AI188,"AAAAAD+9dWE=")</f>
        <v>#VALUE!</v>
      </c>
      <c r="CU84" t="e">
        <f>AND(medidas!AJ188,"AAAAAD+9dWI=")</f>
        <v>#VALUE!</v>
      </c>
      <c r="CV84" t="e">
        <f>AND(medidas!AK188,"AAAAAD+9dWM=")</f>
        <v>#VALUE!</v>
      </c>
      <c r="CW84" t="e">
        <f>AND(medidas!AL188,"AAAAAD+9dWQ=")</f>
        <v>#VALUE!</v>
      </c>
      <c r="CX84" t="e">
        <f>AND(medidas!AM188,"AAAAAD+9dWU=")</f>
        <v>#VALUE!</v>
      </c>
      <c r="CY84" t="e">
        <f>AND(medidas!AN188,"AAAAAD+9dWY=")</f>
        <v>#VALUE!</v>
      </c>
      <c r="CZ84" t="e">
        <f>AND(medidas!AO188,"AAAAAD+9dWc=")</f>
        <v>#VALUE!</v>
      </c>
      <c r="DA84" t="e">
        <f>AND(medidas!AP188,"AAAAAD+9dWg=")</f>
        <v>#VALUE!</v>
      </c>
      <c r="DB84" t="e">
        <f>AND(medidas!AQ188,"AAAAAD+9dWk=")</f>
        <v>#VALUE!</v>
      </c>
      <c r="DC84" t="e">
        <f>AND(medidas!AR188,"AAAAAD+9dWo=")</f>
        <v>#VALUE!</v>
      </c>
      <c r="DD84" t="e">
        <f>AND(medidas!AS188,"AAAAAD+9dWs=")</f>
        <v>#VALUE!</v>
      </c>
      <c r="DE84" t="e">
        <f>AND(medidas!AT188,"AAAAAD+9dWw=")</f>
        <v>#VALUE!</v>
      </c>
      <c r="DF84" t="e">
        <f>AND(medidas!AU188,"AAAAAD+9dW0=")</f>
        <v>#VALUE!</v>
      </c>
      <c r="DG84" t="e">
        <f>AND(medidas!AV188,"AAAAAD+9dW4=")</f>
        <v>#VALUE!</v>
      </c>
      <c r="DH84" t="e">
        <f>AND(medidas!AW188,"AAAAAD+9dW8=")</f>
        <v>#VALUE!</v>
      </c>
      <c r="DI84" t="e">
        <f>AND(medidas!AX188,"AAAAAD+9dXA=")</f>
        <v>#VALUE!</v>
      </c>
      <c r="DJ84" t="e">
        <f>AND(medidas!AY188,"AAAAAD+9dXE=")</f>
        <v>#VALUE!</v>
      </c>
      <c r="DK84" t="e">
        <f>AND(medidas!AZ188,"AAAAAD+9dXI=")</f>
        <v>#VALUE!</v>
      </c>
      <c r="DL84" t="e">
        <f>AND(medidas!BA188,"AAAAAD+9dXM=")</f>
        <v>#VALUE!</v>
      </c>
      <c r="DM84" t="e">
        <f>AND(medidas!BB188,"AAAAAD+9dXQ=")</f>
        <v>#VALUE!</v>
      </c>
      <c r="DN84" t="e">
        <f>AND(medidas!BC188,"AAAAAD+9dXU=")</f>
        <v>#VALUE!</v>
      </c>
      <c r="DO84" t="e">
        <f>AND(medidas!BD188,"AAAAAD+9dXY=")</f>
        <v>#VALUE!</v>
      </c>
      <c r="DP84" t="e">
        <f>AND(medidas!BE188,"AAAAAD+9dXc=")</f>
        <v>#VALUE!</v>
      </c>
      <c r="DQ84" t="e">
        <f>AND(medidas!BF188,"AAAAAD+9dXg=")</f>
        <v>#VALUE!</v>
      </c>
      <c r="DR84" t="e">
        <f>AND(medidas!BG188,"AAAAAD+9dXk=")</f>
        <v>#VALUE!</v>
      </c>
      <c r="DS84" t="e">
        <f>AND(medidas!BH188,"AAAAAD+9dXo=")</f>
        <v>#VALUE!</v>
      </c>
      <c r="DT84" t="e">
        <f>AND(medidas!BI188,"AAAAAD+9dXs=")</f>
        <v>#VALUE!</v>
      </c>
      <c r="DU84" t="e">
        <f>AND(medidas!BJ188,"AAAAAD+9dXw=")</f>
        <v>#VALUE!</v>
      </c>
      <c r="DV84" t="e">
        <f>AND(medidas!BK188,"AAAAAD+9dX0=")</f>
        <v>#VALUE!</v>
      </c>
      <c r="DW84" t="e">
        <f>AND(medidas!BL188,"AAAAAD+9dX4=")</f>
        <v>#VALUE!</v>
      </c>
      <c r="DX84" t="e">
        <f>AND(medidas!BM188,"AAAAAD+9dX8=")</f>
        <v>#VALUE!</v>
      </c>
      <c r="DY84" t="e">
        <f>AND(medidas!BN188,"AAAAAD+9dYA=")</f>
        <v>#VALUE!</v>
      </c>
      <c r="DZ84" t="e">
        <f>AND(medidas!BO188,"AAAAAD+9dYE=")</f>
        <v>#VALUE!</v>
      </c>
      <c r="EA84" t="e">
        <f>AND(medidas!BP188,"AAAAAD+9dYI=")</f>
        <v>#VALUE!</v>
      </c>
      <c r="EB84" t="e">
        <f>AND(medidas!BQ188,"AAAAAD+9dYM=")</f>
        <v>#VALUE!</v>
      </c>
      <c r="EC84" t="e">
        <f>AND(medidas!BR188,"AAAAAD+9dYQ=")</f>
        <v>#VALUE!</v>
      </c>
      <c r="ED84" t="e">
        <f>AND(medidas!BS188,"AAAAAD+9dYU=")</f>
        <v>#VALUE!</v>
      </c>
      <c r="EE84" t="e">
        <f>AND(medidas!BT188,"AAAAAD+9dYY=")</f>
        <v>#VALUE!</v>
      </c>
      <c r="EF84" t="e">
        <f>AND(medidas!BU188,"AAAAAD+9dYc=")</f>
        <v>#VALUE!</v>
      </c>
      <c r="EG84" t="e">
        <f>AND(medidas!BV188,"AAAAAD+9dYg=")</f>
        <v>#VALUE!</v>
      </c>
      <c r="EH84" t="e">
        <f>AND(medidas!BW188,"AAAAAD+9dYk=")</f>
        <v>#VALUE!</v>
      </c>
      <c r="EI84" t="e">
        <f>AND(medidas!BX188,"AAAAAD+9dYo=")</f>
        <v>#VALUE!</v>
      </c>
      <c r="EJ84" t="e">
        <f>AND(medidas!BY188,"AAAAAD+9dYs=")</f>
        <v>#VALUE!</v>
      </c>
      <c r="EK84">
        <f>IF(medidas!189:189,"AAAAAD+9dYw=",0)</f>
        <v>0</v>
      </c>
      <c r="EL84" t="e">
        <f>AND(medidas!B189,"AAAAAD+9dY0=")</f>
        <v>#VALUE!</v>
      </c>
      <c r="EM84" t="e">
        <f>AND(medidas!C189,"AAAAAD+9dY4=")</f>
        <v>#VALUE!</v>
      </c>
      <c r="EN84" t="e">
        <f>AND(medidas!D189,"AAAAAD+9dY8=")</f>
        <v>#VALUE!</v>
      </c>
      <c r="EO84" t="e">
        <f>AND(medidas!E189,"AAAAAD+9dZA=")</f>
        <v>#VALUE!</v>
      </c>
      <c r="EP84" t="e">
        <f>AND(medidas!F189,"AAAAAD+9dZE=")</f>
        <v>#VALUE!</v>
      </c>
      <c r="EQ84" t="e">
        <f>AND(medidas!G189,"AAAAAD+9dZI=")</f>
        <v>#VALUE!</v>
      </c>
      <c r="ER84" t="e">
        <f>AND(medidas!H189,"AAAAAD+9dZM=")</f>
        <v>#VALUE!</v>
      </c>
      <c r="ES84" t="e">
        <f>AND(medidas!I189,"AAAAAD+9dZQ=")</f>
        <v>#VALUE!</v>
      </c>
      <c r="ET84" t="e">
        <f>AND(medidas!J189,"AAAAAD+9dZU=")</f>
        <v>#VALUE!</v>
      </c>
      <c r="EU84" t="e">
        <f>AND(medidas!K189,"AAAAAD+9dZY=")</f>
        <v>#VALUE!</v>
      </c>
      <c r="EV84" t="e">
        <f>AND(medidas!L189,"AAAAAD+9dZc=")</f>
        <v>#VALUE!</v>
      </c>
      <c r="EW84" t="e">
        <f>AND(medidas!M189,"AAAAAD+9dZg=")</f>
        <v>#VALUE!</v>
      </c>
      <c r="EX84" t="e">
        <f>AND(medidas!N189,"AAAAAD+9dZk=")</f>
        <v>#VALUE!</v>
      </c>
      <c r="EY84" t="e">
        <f>AND(medidas!O189,"AAAAAD+9dZo=")</f>
        <v>#VALUE!</v>
      </c>
      <c r="EZ84" t="e">
        <f>AND(medidas!P189,"AAAAAD+9dZs=")</f>
        <v>#VALUE!</v>
      </c>
      <c r="FA84" t="e">
        <f>AND(medidas!Q189,"AAAAAD+9dZw=")</f>
        <v>#VALUE!</v>
      </c>
      <c r="FB84" t="e">
        <f>AND(medidas!R189,"AAAAAD+9dZ0=")</f>
        <v>#VALUE!</v>
      </c>
      <c r="FC84" t="e">
        <f>AND(medidas!S189,"AAAAAD+9dZ4=")</f>
        <v>#VALUE!</v>
      </c>
      <c r="FD84" t="e">
        <f>AND(medidas!T189,"AAAAAD+9dZ8=")</f>
        <v>#VALUE!</v>
      </c>
      <c r="FE84" t="e">
        <f>AND(medidas!U189,"AAAAAD+9daA=")</f>
        <v>#VALUE!</v>
      </c>
      <c r="FF84" t="e">
        <f>AND(medidas!V189,"AAAAAD+9daE=")</f>
        <v>#VALUE!</v>
      </c>
      <c r="FG84" t="e">
        <f>AND(medidas!W189,"AAAAAD+9daI=")</f>
        <v>#VALUE!</v>
      </c>
      <c r="FH84" t="e">
        <f>AND(medidas!X189,"AAAAAD+9daM=")</f>
        <v>#VALUE!</v>
      </c>
      <c r="FI84" t="e">
        <f>AND(medidas!Y189,"AAAAAD+9daQ=")</f>
        <v>#VALUE!</v>
      </c>
      <c r="FJ84" t="e">
        <f>AND(medidas!Z189,"AAAAAD+9daU=")</f>
        <v>#VALUE!</v>
      </c>
      <c r="FK84" t="e">
        <f>AND(medidas!AA189,"AAAAAD+9daY=")</f>
        <v>#VALUE!</v>
      </c>
      <c r="FL84" t="e">
        <f>AND(medidas!AB189,"AAAAAD+9dac=")</f>
        <v>#VALUE!</v>
      </c>
      <c r="FM84" t="e">
        <f>AND(medidas!AC189,"AAAAAD+9dag=")</f>
        <v>#VALUE!</v>
      </c>
      <c r="FN84" t="e">
        <f>AND(medidas!AD189,"AAAAAD+9dak=")</f>
        <v>#VALUE!</v>
      </c>
      <c r="FO84" t="e">
        <f>AND(medidas!AE189,"AAAAAD+9dao=")</f>
        <v>#VALUE!</v>
      </c>
      <c r="FP84" t="e">
        <f>AND(medidas!AF189,"AAAAAD+9das=")</f>
        <v>#VALUE!</v>
      </c>
      <c r="FQ84" t="e">
        <f>AND(medidas!AG189,"AAAAAD+9daw=")</f>
        <v>#VALUE!</v>
      </c>
      <c r="FR84" t="e">
        <f>AND(medidas!AH189,"AAAAAD+9da0=")</f>
        <v>#VALUE!</v>
      </c>
      <c r="FS84" t="e">
        <f>AND(medidas!AI189,"AAAAAD+9da4=")</f>
        <v>#VALUE!</v>
      </c>
      <c r="FT84" t="e">
        <f>AND(medidas!AJ189,"AAAAAD+9da8=")</f>
        <v>#VALUE!</v>
      </c>
      <c r="FU84" t="e">
        <f>AND(medidas!AK189,"AAAAAD+9dbA=")</f>
        <v>#VALUE!</v>
      </c>
      <c r="FV84" t="e">
        <f>AND(medidas!AL189,"AAAAAD+9dbE=")</f>
        <v>#VALUE!</v>
      </c>
      <c r="FW84" t="e">
        <f>AND(medidas!AM189,"AAAAAD+9dbI=")</f>
        <v>#VALUE!</v>
      </c>
      <c r="FX84" t="e">
        <f>AND(medidas!AN189,"AAAAAD+9dbM=")</f>
        <v>#VALUE!</v>
      </c>
      <c r="FY84" t="e">
        <f>AND(medidas!AO189,"AAAAAD+9dbQ=")</f>
        <v>#VALUE!</v>
      </c>
      <c r="FZ84" t="e">
        <f>AND(medidas!AP189,"AAAAAD+9dbU=")</f>
        <v>#VALUE!</v>
      </c>
      <c r="GA84" t="e">
        <f>AND(medidas!AQ189,"AAAAAD+9dbY=")</f>
        <v>#VALUE!</v>
      </c>
      <c r="GB84" t="e">
        <f>AND(medidas!AR189,"AAAAAD+9dbc=")</f>
        <v>#VALUE!</v>
      </c>
      <c r="GC84" t="e">
        <f>AND(medidas!AS189,"AAAAAD+9dbg=")</f>
        <v>#VALUE!</v>
      </c>
      <c r="GD84" t="e">
        <f>AND(medidas!AT189,"AAAAAD+9dbk=")</f>
        <v>#VALUE!</v>
      </c>
      <c r="GE84" t="e">
        <f>AND(medidas!AU189,"AAAAAD+9dbo=")</f>
        <v>#VALUE!</v>
      </c>
      <c r="GF84" t="e">
        <f>AND(medidas!AV189,"AAAAAD+9dbs=")</f>
        <v>#VALUE!</v>
      </c>
      <c r="GG84" t="e">
        <f>AND(medidas!AW189,"AAAAAD+9dbw=")</f>
        <v>#VALUE!</v>
      </c>
      <c r="GH84" t="e">
        <f>AND(medidas!AX189,"AAAAAD+9db0=")</f>
        <v>#VALUE!</v>
      </c>
      <c r="GI84" t="e">
        <f>AND(medidas!AY189,"AAAAAD+9db4=")</f>
        <v>#VALUE!</v>
      </c>
      <c r="GJ84" t="e">
        <f>AND(medidas!AZ189,"AAAAAD+9db8=")</f>
        <v>#VALUE!</v>
      </c>
      <c r="GK84" t="e">
        <f>AND(medidas!BA189,"AAAAAD+9dcA=")</f>
        <v>#VALUE!</v>
      </c>
      <c r="GL84" t="e">
        <f>AND(medidas!BB189,"AAAAAD+9dcE=")</f>
        <v>#VALUE!</v>
      </c>
      <c r="GM84" t="e">
        <f>AND(medidas!BC189,"AAAAAD+9dcI=")</f>
        <v>#VALUE!</v>
      </c>
      <c r="GN84" t="e">
        <f>AND(medidas!BD189,"AAAAAD+9dcM=")</f>
        <v>#VALUE!</v>
      </c>
      <c r="GO84" t="e">
        <f>AND(medidas!BE189,"AAAAAD+9dcQ=")</f>
        <v>#VALUE!</v>
      </c>
      <c r="GP84" t="e">
        <f>AND(medidas!BF189,"AAAAAD+9dcU=")</f>
        <v>#VALUE!</v>
      </c>
      <c r="GQ84" t="e">
        <f>AND(medidas!BG189,"AAAAAD+9dcY=")</f>
        <v>#VALUE!</v>
      </c>
      <c r="GR84" t="e">
        <f>AND(medidas!BH189,"AAAAAD+9dcc=")</f>
        <v>#VALUE!</v>
      </c>
      <c r="GS84" t="e">
        <f>AND(medidas!BI189,"AAAAAD+9dcg=")</f>
        <v>#VALUE!</v>
      </c>
      <c r="GT84" t="e">
        <f>AND(medidas!BJ189,"AAAAAD+9dck=")</f>
        <v>#VALUE!</v>
      </c>
      <c r="GU84" t="e">
        <f>AND(medidas!BK189,"AAAAAD+9dco=")</f>
        <v>#VALUE!</v>
      </c>
      <c r="GV84" t="e">
        <f>AND(medidas!BL189,"AAAAAD+9dcs=")</f>
        <v>#VALUE!</v>
      </c>
      <c r="GW84" t="e">
        <f>AND(medidas!BM189,"AAAAAD+9dcw=")</f>
        <v>#VALUE!</v>
      </c>
      <c r="GX84" t="e">
        <f>AND(medidas!BN189,"AAAAAD+9dc0=")</f>
        <v>#VALUE!</v>
      </c>
      <c r="GY84" t="e">
        <f>AND(medidas!BO189,"AAAAAD+9dc4=")</f>
        <v>#VALUE!</v>
      </c>
      <c r="GZ84" t="e">
        <f>AND(medidas!BP189,"AAAAAD+9dc8=")</f>
        <v>#VALUE!</v>
      </c>
      <c r="HA84" t="e">
        <f>AND(medidas!BQ189,"AAAAAD+9ddA=")</f>
        <v>#VALUE!</v>
      </c>
      <c r="HB84" t="e">
        <f>AND(medidas!BR189,"AAAAAD+9ddE=")</f>
        <v>#VALUE!</v>
      </c>
      <c r="HC84" t="e">
        <f>AND(medidas!BS189,"AAAAAD+9ddI=")</f>
        <v>#VALUE!</v>
      </c>
      <c r="HD84" t="e">
        <f>AND(medidas!BT189,"AAAAAD+9ddM=")</f>
        <v>#VALUE!</v>
      </c>
      <c r="HE84" t="e">
        <f>AND(medidas!BU189,"AAAAAD+9ddQ=")</f>
        <v>#VALUE!</v>
      </c>
      <c r="HF84" t="e">
        <f>AND(medidas!BV189,"AAAAAD+9ddU=")</f>
        <v>#VALUE!</v>
      </c>
      <c r="HG84" t="e">
        <f>AND(medidas!BW189,"AAAAAD+9ddY=")</f>
        <v>#VALUE!</v>
      </c>
      <c r="HH84" t="e">
        <f>AND(medidas!BX189,"AAAAAD+9ddc=")</f>
        <v>#VALUE!</v>
      </c>
      <c r="HI84" t="e">
        <f>AND(medidas!BY189,"AAAAAD+9ddg=")</f>
        <v>#VALUE!</v>
      </c>
      <c r="HJ84">
        <f>IF(medidas!190:190,"AAAAAD+9ddk=",0)</f>
        <v>0</v>
      </c>
      <c r="HK84" t="e">
        <f>AND(medidas!B190,"AAAAAD+9ddo=")</f>
        <v>#VALUE!</v>
      </c>
      <c r="HL84" t="e">
        <f>AND(medidas!C190,"AAAAAD+9dds=")</f>
        <v>#VALUE!</v>
      </c>
      <c r="HM84" t="e">
        <f>AND(medidas!D190,"AAAAAD+9ddw=")</f>
        <v>#VALUE!</v>
      </c>
      <c r="HN84" t="e">
        <f>AND(medidas!E190,"AAAAAD+9dd0=")</f>
        <v>#VALUE!</v>
      </c>
      <c r="HO84" t="e">
        <f>AND(medidas!F190,"AAAAAD+9dd4=")</f>
        <v>#VALUE!</v>
      </c>
      <c r="HP84" t="e">
        <f>AND(medidas!G190,"AAAAAD+9dd8=")</f>
        <v>#VALUE!</v>
      </c>
      <c r="HQ84" t="e">
        <f>AND(medidas!H190,"AAAAAD+9deA=")</f>
        <v>#VALUE!</v>
      </c>
      <c r="HR84" t="e">
        <f>AND(medidas!I190,"AAAAAD+9deE=")</f>
        <v>#VALUE!</v>
      </c>
      <c r="HS84" t="e">
        <f>AND(medidas!J190,"AAAAAD+9deI=")</f>
        <v>#VALUE!</v>
      </c>
      <c r="HT84" t="e">
        <f>AND(medidas!K190,"AAAAAD+9deM=")</f>
        <v>#VALUE!</v>
      </c>
      <c r="HU84" t="e">
        <f>AND(medidas!L190,"AAAAAD+9deQ=")</f>
        <v>#VALUE!</v>
      </c>
      <c r="HV84" t="e">
        <f>AND(medidas!M190,"AAAAAD+9deU=")</f>
        <v>#VALUE!</v>
      </c>
      <c r="HW84" t="e">
        <f>AND(medidas!N190,"AAAAAD+9deY=")</f>
        <v>#VALUE!</v>
      </c>
      <c r="HX84" t="e">
        <f>AND(medidas!O190,"AAAAAD+9dec=")</f>
        <v>#VALUE!</v>
      </c>
      <c r="HY84" t="e">
        <f>AND(medidas!P190,"AAAAAD+9deg=")</f>
        <v>#VALUE!</v>
      </c>
      <c r="HZ84" t="e">
        <f>AND(medidas!Q190,"AAAAAD+9dek=")</f>
        <v>#VALUE!</v>
      </c>
      <c r="IA84" t="e">
        <f>AND(medidas!R190,"AAAAAD+9deo=")</f>
        <v>#VALUE!</v>
      </c>
      <c r="IB84" t="e">
        <f>AND(medidas!S190,"AAAAAD+9des=")</f>
        <v>#VALUE!</v>
      </c>
      <c r="IC84" t="e">
        <f>AND(medidas!T190,"AAAAAD+9dew=")</f>
        <v>#VALUE!</v>
      </c>
      <c r="ID84" t="e">
        <f>AND(medidas!U190,"AAAAAD+9de0=")</f>
        <v>#VALUE!</v>
      </c>
      <c r="IE84" t="e">
        <f>AND(medidas!V190,"AAAAAD+9de4=")</f>
        <v>#VALUE!</v>
      </c>
      <c r="IF84" t="e">
        <f>AND(medidas!W190,"AAAAAD+9de8=")</f>
        <v>#VALUE!</v>
      </c>
      <c r="IG84" t="e">
        <f>AND(medidas!X190,"AAAAAD+9dfA=")</f>
        <v>#VALUE!</v>
      </c>
      <c r="IH84" t="e">
        <f>AND(medidas!Y190,"AAAAAD+9dfE=")</f>
        <v>#VALUE!</v>
      </c>
      <c r="II84" t="e">
        <f>AND(medidas!Z190,"AAAAAD+9dfI=")</f>
        <v>#VALUE!</v>
      </c>
      <c r="IJ84" t="e">
        <f>AND(medidas!AA190,"AAAAAD+9dfM=")</f>
        <v>#VALUE!</v>
      </c>
      <c r="IK84" t="e">
        <f>AND(medidas!AB190,"AAAAAD+9dfQ=")</f>
        <v>#VALUE!</v>
      </c>
      <c r="IL84" t="e">
        <f>AND(medidas!AC190,"AAAAAD+9dfU=")</f>
        <v>#VALUE!</v>
      </c>
      <c r="IM84" t="e">
        <f>AND(medidas!AD190,"AAAAAD+9dfY=")</f>
        <v>#VALUE!</v>
      </c>
      <c r="IN84" t="e">
        <f>AND(medidas!AE190,"AAAAAD+9dfc=")</f>
        <v>#VALUE!</v>
      </c>
      <c r="IO84" t="e">
        <f>AND(medidas!AF190,"AAAAAD+9dfg=")</f>
        <v>#VALUE!</v>
      </c>
      <c r="IP84" t="e">
        <f>AND(medidas!AG190,"AAAAAD+9dfk=")</f>
        <v>#VALUE!</v>
      </c>
      <c r="IQ84" t="e">
        <f>AND(medidas!AH190,"AAAAAD+9dfo=")</f>
        <v>#VALUE!</v>
      </c>
      <c r="IR84" t="e">
        <f>AND(medidas!AI190,"AAAAAD+9dfs=")</f>
        <v>#VALUE!</v>
      </c>
      <c r="IS84" t="e">
        <f>AND(medidas!AJ190,"AAAAAD+9dfw=")</f>
        <v>#VALUE!</v>
      </c>
      <c r="IT84" t="e">
        <f>AND(medidas!AK190,"AAAAAD+9df0=")</f>
        <v>#VALUE!</v>
      </c>
      <c r="IU84" t="e">
        <f>AND(medidas!AL190,"AAAAAD+9df4=")</f>
        <v>#VALUE!</v>
      </c>
      <c r="IV84" t="e">
        <f>AND(medidas!AM190,"AAAAAD+9df8=")</f>
        <v>#VALUE!</v>
      </c>
    </row>
    <row r="85" spans="1:256" x14ac:dyDescent="0.2">
      <c r="A85" t="e">
        <f>AND(medidas!AN190,"AAAAAD6vnQA=")</f>
        <v>#VALUE!</v>
      </c>
      <c r="B85" t="e">
        <f>AND(medidas!AO190,"AAAAAD6vnQE=")</f>
        <v>#VALUE!</v>
      </c>
      <c r="C85" t="e">
        <f>AND(medidas!AP190,"AAAAAD6vnQI=")</f>
        <v>#VALUE!</v>
      </c>
      <c r="D85" t="e">
        <f>AND(medidas!AQ190,"AAAAAD6vnQM=")</f>
        <v>#VALUE!</v>
      </c>
      <c r="E85" t="e">
        <f>AND(medidas!AR190,"AAAAAD6vnQQ=")</f>
        <v>#VALUE!</v>
      </c>
      <c r="F85" t="e">
        <f>AND(medidas!AS190,"AAAAAD6vnQU=")</f>
        <v>#VALUE!</v>
      </c>
      <c r="G85" t="e">
        <f>AND(medidas!AT190,"AAAAAD6vnQY=")</f>
        <v>#VALUE!</v>
      </c>
      <c r="H85" t="e">
        <f>AND(medidas!AU190,"AAAAAD6vnQc=")</f>
        <v>#VALUE!</v>
      </c>
      <c r="I85" t="e">
        <f>AND(medidas!AV190,"AAAAAD6vnQg=")</f>
        <v>#VALUE!</v>
      </c>
      <c r="J85" t="e">
        <f>AND(medidas!AW190,"AAAAAD6vnQk=")</f>
        <v>#VALUE!</v>
      </c>
      <c r="K85" t="e">
        <f>AND(medidas!AX190,"AAAAAD6vnQo=")</f>
        <v>#VALUE!</v>
      </c>
      <c r="L85" t="e">
        <f>AND(medidas!AY190,"AAAAAD6vnQs=")</f>
        <v>#VALUE!</v>
      </c>
      <c r="M85" t="e">
        <f>AND(medidas!AZ190,"AAAAAD6vnQw=")</f>
        <v>#VALUE!</v>
      </c>
      <c r="N85" t="e">
        <f>AND(medidas!BA190,"AAAAAD6vnQ0=")</f>
        <v>#VALUE!</v>
      </c>
      <c r="O85" t="e">
        <f>AND(medidas!BB190,"AAAAAD6vnQ4=")</f>
        <v>#VALUE!</v>
      </c>
      <c r="P85" t="e">
        <f>AND(medidas!BC190,"AAAAAD6vnQ8=")</f>
        <v>#VALUE!</v>
      </c>
      <c r="Q85" t="e">
        <f>AND(medidas!BD190,"AAAAAD6vnRA=")</f>
        <v>#VALUE!</v>
      </c>
      <c r="R85" t="e">
        <f>AND(medidas!BE190,"AAAAAD6vnRE=")</f>
        <v>#VALUE!</v>
      </c>
      <c r="S85" t="e">
        <f>AND(medidas!BF190,"AAAAAD6vnRI=")</f>
        <v>#VALUE!</v>
      </c>
      <c r="T85" t="e">
        <f>AND(medidas!BG190,"AAAAAD6vnRM=")</f>
        <v>#VALUE!</v>
      </c>
      <c r="U85" t="e">
        <f>AND(medidas!BH190,"AAAAAD6vnRQ=")</f>
        <v>#VALUE!</v>
      </c>
      <c r="V85" t="e">
        <f>AND(medidas!BI190,"AAAAAD6vnRU=")</f>
        <v>#VALUE!</v>
      </c>
      <c r="W85" t="e">
        <f>AND(medidas!BJ190,"AAAAAD6vnRY=")</f>
        <v>#VALUE!</v>
      </c>
      <c r="X85" t="e">
        <f>AND(medidas!BK190,"AAAAAD6vnRc=")</f>
        <v>#VALUE!</v>
      </c>
      <c r="Y85" t="e">
        <f>AND(medidas!BL190,"AAAAAD6vnRg=")</f>
        <v>#VALUE!</v>
      </c>
      <c r="Z85" t="e">
        <f>AND(medidas!BM190,"AAAAAD6vnRk=")</f>
        <v>#VALUE!</v>
      </c>
      <c r="AA85" t="e">
        <f>AND(medidas!BN190,"AAAAAD6vnRo=")</f>
        <v>#VALUE!</v>
      </c>
      <c r="AB85" t="e">
        <f>AND(medidas!BO190,"AAAAAD6vnRs=")</f>
        <v>#VALUE!</v>
      </c>
      <c r="AC85" t="e">
        <f>AND(medidas!BP190,"AAAAAD6vnRw=")</f>
        <v>#VALUE!</v>
      </c>
      <c r="AD85" t="e">
        <f>AND(medidas!BQ190,"AAAAAD6vnR0=")</f>
        <v>#VALUE!</v>
      </c>
      <c r="AE85" t="e">
        <f>AND(medidas!BR190,"AAAAAD6vnR4=")</f>
        <v>#VALUE!</v>
      </c>
      <c r="AF85" t="e">
        <f>AND(medidas!BS190,"AAAAAD6vnR8=")</f>
        <v>#VALUE!</v>
      </c>
      <c r="AG85" t="e">
        <f>AND(medidas!BT190,"AAAAAD6vnSA=")</f>
        <v>#VALUE!</v>
      </c>
      <c r="AH85" t="e">
        <f>AND(medidas!BU190,"AAAAAD6vnSE=")</f>
        <v>#VALUE!</v>
      </c>
      <c r="AI85" t="e">
        <f>AND(medidas!BV190,"AAAAAD6vnSI=")</f>
        <v>#VALUE!</v>
      </c>
      <c r="AJ85" t="e">
        <f>AND(medidas!BW190,"AAAAAD6vnSM=")</f>
        <v>#VALUE!</v>
      </c>
      <c r="AK85" t="e">
        <f>AND(medidas!BX190,"AAAAAD6vnSQ=")</f>
        <v>#VALUE!</v>
      </c>
      <c r="AL85" t="e">
        <f>AND(medidas!BY190,"AAAAAD6vnSU=")</f>
        <v>#VALUE!</v>
      </c>
      <c r="AM85">
        <f>IF(medidas!191:191,"AAAAAD6vnSY=",0)</f>
        <v>0</v>
      </c>
      <c r="AN85" t="e">
        <f>AND(medidas!B191,"AAAAAD6vnSc=")</f>
        <v>#VALUE!</v>
      </c>
      <c r="AO85" t="e">
        <f>AND(medidas!C191,"AAAAAD6vnSg=")</f>
        <v>#VALUE!</v>
      </c>
      <c r="AP85" t="e">
        <f>AND(medidas!D191,"AAAAAD6vnSk=")</f>
        <v>#VALUE!</v>
      </c>
      <c r="AQ85" t="e">
        <f>AND(medidas!E191,"AAAAAD6vnSo=")</f>
        <v>#VALUE!</v>
      </c>
      <c r="AR85" t="e">
        <f>AND(medidas!F191,"AAAAAD6vnSs=")</f>
        <v>#VALUE!</v>
      </c>
      <c r="AS85" t="e">
        <f>AND(medidas!G191,"AAAAAD6vnSw=")</f>
        <v>#VALUE!</v>
      </c>
      <c r="AT85" t="e">
        <f>AND(medidas!H191,"AAAAAD6vnS0=")</f>
        <v>#VALUE!</v>
      </c>
      <c r="AU85" t="e">
        <f>AND(medidas!I191,"AAAAAD6vnS4=")</f>
        <v>#VALUE!</v>
      </c>
      <c r="AV85" t="e">
        <f>AND(medidas!J191,"AAAAAD6vnS8=")</f>
        <v>#VALUE!</v>
      </c>
      <c r="AW85" t="e">
        <f>AND(medidas!K191,"AAAAAD6vnTA=")</f>
        <v>#VALUE!</v>
      </c>
      <c r="AX85" t="e">
        <f>AND(medidas!L191,"AAAAAD6vnTE=")</f>
        <v>#VALUE!</v>
      </c>
      <c r="AY85" t="e">
        <f>AND(medidas!M191,"AAAAAD6vnTI=")</f>
        <v>#VALUE!</v>
      </c>
      <c r="AZ85" t="e">
        <f>AND(medidas!N191,"AAAAAD6vnTM=")</f>
        <v>#VALUE!</v>
      </c>
      <c r="BA85" t="e">
        <f>AND(medidas!O191,"AAAAAD6vnTQ=")</f>
        <v>#VALUE!</v>
      </c>
      <c r="BB85" t="e">
        <f>AND(medidas!P191,"AAAAAD6vnTU=")</f>
        <v>#VALUE!</v>
      </c>
      <c r="BC85" t="e">
        <f>AND(medidas!Q191,"AAAAAD6vnTY=")</f>
        <v>#VALUE!</v>
      </c>
      <c r="BD85" t="e">
        <f>AND(medidas!R191,"AAAAAD6vnTc=")</f>
        <v>#VALUE!</v>
      </c>
      <c r="BE85" t="e">
        <f>AND(medidas!S191,"AAAAAD6vnTg=")</f>
        <v>#VALUE!</v>
      </c>
      <c r="BF85" t="e">
        <f>AND(medidas!T191,"AAAAAD6vnTk=")</f>
        <v>#VALUE!</v>
      </c>
      <c r="BG85" t="e">
        <f>AND(medidas!U191,"AAAAAD6vnTo=")</f>
        <v>#VALUE!</v>
      </c>
      <c r="BH85" t="e">
        <f>AND(medidas!V191,"AAAAAD6vnTs=")</f>
        <v>#VALUE!</v>
      </c>
      <c r="BI85" t="e">
        <f>AND(medidas!W191,"AAAAAD6vnTw=")</f>
        <v>#VALUE!</v>
      </c>
      <c r="BJ85" t="e">
        <f>AND(medidas!X191,"AAAAAD6vnT0=")</f>
        <v>#VALUE!</v>
      </c>
      <c r="BK85" t="e">
        <f>AND(medidas!Y191,"AAAAAD6vnT4=")</f>
        <v>#VALUE!</v>
      </c>
      <c r="BL85" t="e">
        <f>AND(medidas!Z191,"AAAAAD6vnT8=")</f>
        <v>#VALUE!</v>
      </c>
      <c r="BM85" t="e">
        <f>AND(medidas!AA191,"AAAAAD6vnUA=")</f>
        <v>#VALUE!</v>
      </c>
      <c r="BN85" t="e">
        <f>AND(medidas!AB191,"AAAAAD6vnUE=")</f>
        <v>#VALUE!</v>
      </c>
      <c r="BO85" t="e">
        <f>AND(medidas!AC191,"AAAAAD6vnUI=")</f>
        <v>#VALUE!</v>
      </c>
      <c r="BP85" t="e">
        <f>AND(medidas!AD191,"AAAAAD6vnUM=")</f>
        <v>#VALUE!</v>
      </c>
      <c r="BQ85" t="e">
        <f>AND(medidas!AE191,"AAAAAD6vnUQ=")</f>
        <v>#VALUE!</v>
      </c>
      <c r="BR85" t="e">
        <f>AND(medidas!AF191,"AAAAAD6vnUU=")</f>
        <v>#VALUE!</v>
      </c>
      <c r="BS85" t="e">
        <f>AND(medidas!AG191,"AAAAAD6vnUY=")</f>
        <v>#VALUE!</v>
      </c>
      <c r="BT85" t="e">
        <f>AND(medidas!AH191,"AAAAAD6vnUc=")</f>
        <v>#VALUE!</v>
      </c>
      <c r="BU85" t="e">
        <f>AND(medidas!AI191,"AAAAAD6vnUg=")</f>
        <v>#VALUE!</v>
      </c>
      <c r="BV85" t="e">
        <f>AND(medidas!AJ191,"AAAAAD6vnUk=")</f>
        <v>#VALUE!</v>
      </c>
      <c r="BW85" t="e">
        <f>AND(medidas!AK191,"AAAAAD6vnUo=")</f>
        <v>#VALUE!</v>
      </c>
      <c r="BX85" t="e">
        <f>AND(medidas!AL191,"AAAAAD6vnUs=")</f>
        <v>#VALUE!</v>
      </c>
      <c r="BY85" t="e">
        <f>AND(medidas!AM191,"AAAAAD6vnUw=")</f>
        <v>#VALUE!</v>
      </c>
      <c r="BZ85" t="e">
        <f>AND(medidas!AN191,"AAAAAD6vnU0=")</f>
        <v>#VALUE!</v>
      </c>
      <c r="CA85" t="e">
        <f>AND(medidas!AO191,"AAAAAD6vnU4=")</f>
        <v>#VALUE!</v>
      </c>
      <c r="CB85" t="e">
        <f>AND(medidas!AP191,"AAAAAD6vnU8=")</f>
        <v>#VALUE!</v>
      </c>
      <c r="CC85" t="e">
        <f>AND(medidas!AQ191,"AAAAAD6vnVA=")</f>
        <v>#VALUE!</v>
      </c>
      <c r="CD85" t="e">
        <f>AND(medidas!AR191,"AAAAAD6vnVE=")</f>
        <v>#VALUE!</v>
      </c>
      <c r="CE85" t="e">
        <f>AND(medidas!AS191,"AAAAAD6vnVI=")</f>
        <v>#VALUE!</v>
      </c>
      <c r="CF85" t="e">
        <f>AND(medidas!AT191,"AAAAAD6vnVM=")</f>
        <v>#VALUE!</v>
      </c>
      <c r="CG85" t="e">
        <f>AND(medidas!AU191,"AAAAAD6vnVQ=")</f>
        <v>#VALUE!</v>
      </c>
      <c r="CH85" t="e">
        <f>AND(medidas!AV191,"AAAAAD6vnVU=")</f>
        <v>#VALUE!</v>
      </c>
      <c r="CI85" t="e">
        <f>AND(medidas!AW191,"AAAAAD6vnVY=")</f>
        <v>#VALUE!</v>
      </c>
      <c r="CJ85" t="e">
        <f>AND(medidas!AX191,"AAAAAD6vnVc=")</f>
        <v>#VALUE!</v>
      </c>
      <c r="CK85" t="e">
        <f>AND(medidas!AY191,"AAAAAD6vnVg=")</f>
        <v>#VALUE!</v>
      </c>
      <c r="CL85" t="e">
        <f>AND(medidas!AZ191,"AAAAAD6vnVk=")</f>
        <v>#VALUE!</v>
      </c>
      <c r="CM85" t="e">
        <f>AND(medidas!BA191,"AAAAAD6vnVo=")</f>
        <v>#VALUE!</v>
      </c>
      <c r="CN85" t="e">
        <f>AND(medidas!BB191,"AAAAAD6vnVs=")</f>
        <v>#VALUE!</v>
      </c>
      <c r="CO85" t="e">
        <f>AND(medidas!BC191,"AAAAAD6vnVw=")</f>
        <v>#VALUE!</v>
      </c>
      <c r="CP85" t="e">
        <f>AND(medidas!BD191,"AAAAAD6vnV0=")</f>
        <v>#VALUE!</v>
      </c>
      <c r="CQ85" t="e">
        <f>AND(medidas!BE191,"AAAAAD6vnV4=")</f>
        <v>#VALUE!</v>
      </c>
      <c r="CR85" t="e">
        <f>AND(medidas!BF191,"AAAAAD6vnV8=")</f>
        <v>#VALUE!</v>
      </c>
      <c r="CS85" t="e">
        <f>AND(medidas!BG191,"AAAAAD6vnWA=")</f>
        <v>#VALUE!</v>
      </c>
      <c r="CT85" t="e">
        <f>AND(medidas!BH191,"AAAAAD6vnWE=")</f>
        <v>#VALUE!</v>
      </c>
      <c r="CU85" t="e">
        <f>AND(medidas!BI191,"AAAAAD6vnWI=")</f>
        <v>#VALUE!</v>
      </c>
      <c r="CV85" t="e">
        <f>AND(medidas!BJ191,"AAAAAD6vnWM=")</f>
        <v>#VALUE!</v>
      </c>
      <c r="CW85" t="e">
        <f>AND(medidas!BK191,"AAAAAD6vnWQ=")</f>
        <v>#VALUE!</v>
      </c>
      <c r="CX85" t="e">
        <f>AND(medidas!BL191,"AAAAAD6vnWU=")</f>
        <v>#VALUE!</v>
      </c>
      <c r="CY85" t="e">
        <f>AND(medidas!BM191,"AAAAAD6vnWY=")</f>
        <v>#VALUE!</v>
      </c>
      <c r="CZ85" t="e">
        <f>AND(medidas!BN191,"AAAAAD6vnWc=")</f>
        <v>#VALUE!</v>
      </c>
      <c r="DA85" t="e">
        <f>AND(medidas!BO191,"AAAAAD6vnWg=")</f>
        <v>#VALUE!</v>
      </c>
      <c r="DB85" t="e">
        <f>AND(medidas!BP191,"AAAAAD6vnWk=")</f>
        <v>#VALUE!</v>
      </c>
      <c r="DC85" t="e">
        <f>AND(medidas!BQ191,"AAAAAD6vnWo=")</f>
        <v>#VALUE!</v>
      </c>
      <c r="DD85" t="e">
        <f>AND(medidas!BR191,"AAAAAD6vnWs=")</f>
        <v>#VALUE!</v>
      </c>
      <c r="DE85" t="e">
        <f>AND(medidas!BS191,"AAAAAD6vnWw=")</f>
        <v>#VALUE!</v>
      </c>
      <c r="DF85" t="e">
        <f>AND(medidas!BT191,"AAAAAD6vnW0=")</f>
        <v>#VALUE!</v>
      </c>
      <c r="DG85" t="e">
        <f>AND(medidas!BU191,"AAAAAD6vnW4=")</f>
        <v>#VALUE!</v>
      </c>
      <c r="DH85" t="e">
        <f>AND(medidas!BV191,"AAAAAD6vnW8=")</f>
        <v>#VALUE!</v>
      </c>
      <c r="DI85" t="e">
        <f>AND(medidas!BW191,"AAAAAD6vnXA=")</f>
        <v>#VALUE!</v>
      </c>
      <c r="DJ85" t="e">
        <f>AND(medidas!BX191,"AAAAAD6vnXE=")</f>
        <v>#VALUE!</v>
      </c>
      <c r="DK85" t="e">
        <f>AND(medidas!BY191,"AAAAAD6vnXI=")</f>
        <v>#VALUE!</v>
      </c>
      <c r="DL85">
        <f>IF(medidas!192:192,"AAAAAD6vnXM=",0)</f>
        <v>0</v>
      </c>
      <c r="DM85" t="e">
        <f>AND(medidas!B192,"AAAAAD6vnXQ=")</f>
        <v>#VALUE!</v>
      </c>
      <c r="DN85" t="e">
        <f>AND(medidas!C192,"AAAAAD6vnXU=")</f>
        <v>#VALUE!</v>
      </c>
      <c r="DO85" t="e">
        <f>AND(medidas!D192,"AAAAAD6vnXY=")</f>
        <v>#VALUE!</v>
      </c>
      <c r="DP85" t="e">
        <f>AND(medidas!E192,"AAAAAD6vnXc=")</f>
        <v>#VALUE!</v>
      </c>
      <c r="DQ85" t="e">
        <f>AND(medidas!F192,"AAAAAD6vnXg=")</f>
        <v>#VALUE!</v>
      </c>
      <c r="DR85" t="e">
        <f>AND(medidas!G192,"AAAAAD6vnXk=")</f>
        <v>#VALUE!</v>
      </c>
      <c r="DS85" t="e">
        <f>AND(medidas!H192,"AAAAAD6vnXo=")</f>
        <v>#VALUE!</v>
      </c>
      <c r="DT85" t="e">
        <f>AND(medidas!I192,"AAAAAD6vnXs=")</f>
        <v>#VALUE!</v>
      </c>
      <c r="DU85" t="e">
        <f>AND(medidas!J192,"AAAAAD6vnXw=")</f>
        <v>#VALUE!</v>
      </c>
      <c r="DV85" t="e">
        <f>AND(medidas!K192,"AAAAAD6vnX0=")</f>
        <v>#VALUE!</v>
      </c>
      <c r="DW85" t="e">
        <f>AND(medidas!L192,"AAAAAD6vnX4=")</f>
        <v>#VALUE!</v>
      </c>
      <c r="DX85" t="e">
        <f>AND(medidas!M192,"AAAAAD6vnX8=")</f>
        <v>#VALUE!</v>
      </c>
      <c r="DY85" t="e">
        <f>AND(medidas!N192,"AAAAAD6vnYA=")</f>
        <v>#VALUE!</v>
      </c>
      <c r="DZ85" t="e">
        <f>AND(medidas!O192,"AAAAAD6vnYE=")</f>
        <v>#VALUE!</v>
      </c>
      <c r="EA85" t="e">
        <f>AND(medidas!P192,"AAAAAD6vnYI=")</f>
        <v>#VALUE!</v>
      </c>
      <c r="EB85" t="e">
        <f>AND(medidas!Q192,"AAAAAD6vnYM=")</f>
        <v>#VALUE!</v>
      </c>
      <c r="EC85" t="e">
        <f>AND(medidas!R192,"AAAAAD6vnYQ=")</f>
        <v>#VALUE!</v>
      </c>
      <c r="ED85" t="e">
        <f>AND(medidas!S192,"AAAAAD6vnYU=")</f>
        <v>#VALUE!</v>
      </c>
      <c r="EE85" t="e">
        <f>AND(medidas!T192,"AAAAAD6vnYY=")</f>
        <v>#VALUE!</v>
      </c>
      <c r="EF85" t="e">
        <f>AND(medidas!U192,"AAAAAD6vnYc=")</f>
        <v>#VALUE!</v>
      </c>
      <c r="EG85" t="e">
        <f>AND(medidas!V192,"AAAAAD6vnYg=")</f>
        <v>#VALUE!</v>
      </c>
      <c r="EH85" t="e">
        <f>AND(medidas!W192,"AAAAAD6vnYk=")</f>
        <v>#VALUE!</v>
      </c>
      <c r="EI85" t="e">
        <f>AND(medidas!X192,"AAAAAD6vnYo=")</f>
        <v>#VALUE!</v>
      </c>
      <c r="EJ85" t="e">
        <f>AND(medidas!Y192,"AAAAAD6vnYs=")</f>
        <v>#VALUE!</v>
      </c>
      <c r="EK85" t="e">
        <f>AND(medidas!Z192,"AAAAAD6vnYw=")</f>
        <v>#VALUE!</v>
      </c>
      <c r="EL85" t="e">
        <f>AND(medidas!AA192,"AAAAAD6vnY0=")</f>
        <v>#VALUE!</v>
      </c>
      <c r="EM85" t="e">
        <f>AND(medidas!AB192,"AAAAAD6vnY4=")</f>
        <v>#VALUE!</v>
      </c>
      <c r="EN85" t="e">
        <f>AND(medidas!AC192,"AAAAAD6vnY8=")</f>
        <v>#VALUE!</v>
      </c>
      <c r="EO85" t="e">
        <f>AND(medidas!AD192,"AAAAAD6vnZA=")</f>
        <v>#VALUE!</v>
      </c>
      <c r="EP85" t="e">
        <f>AND(medidas!AE192,"AAAAAD6vnZE=")</f>
        <v>#VALUE!</v>
      </c>
      <c r="EQ85" t="e">
        <f>AND(medidas!AF192,"AAAAAD6vnZI=")</f>
        <v>#VALUE!</v>
      </c>
      <c r="ER85" t="e">
        <f>AND(medidas!AG192,"AAAAAD6vnZM=")</f>
        <v>#VALUE!</v>
      </c>
      <c r="ES85" t="e">
        <f>AND(medidas!AH192,"AAAAAD6vnZQ=")</f>
        <v>#VALUE!</v>
      </c>
      <c r="ET85" t="e">
        <f>AND(medidas!AI192,"AAAAAD6vnZU=")</f>
        <v>#VALUE!</v>
      </c>
      <c r="EU85" t="e">
        <f>AND(medidas!AJ192,"AAAAAD6vnZY=")</f>
        <v>#VALUE!</v>
      </c>
      <c r="EV85" t="e">
        <f>AND(medidas!AK192,"AAAAAD6vnZc=")</f>
        <v>#VALUE!</v>
      </c>
      <c r="EW85" t="e">
        <f>AND(medidas!AL192,"AAAAAD6vnZg=")</f>
        <v>#VALUE!</v>
      </c>
      <c r="EX85" t="e">
        <f>AND(medidas!AM192,"AAAAAD6vnZk=")</f>
        <v>#VALUE!</v>
      </c>
      <c r="EY85" t="e">
        <f>AND(medidas!AN192,"AAAAAD6vnZo=")</f>
        <v>#VALUE!</v>
      </c>
      <c r="EZ85" t="e">
        <f>AND(medidas!AO192,"AAAAAD6vnZs=")</f>
        <v>#VALUE!</v>
      </c>
      <c r="FA85" t="e">
        <f>AND(medidas!AP192,"AAAAAD6vnZw=")</f>
        <v>#VALUE!</v>
      </c>
      <c r="FB85" t="e">
        <f>AND(medidas!AQ192,"AAAAAD6vnZ0=")</f>
        <v>#VALUE!</v>
      </c>
      <c r="FC85" t="e">
        <f>AND(medidas!AR192,"AAAAAD6vnZ4=")</f>
        <v>#VALUE!</v>
      </c>
      <c r="FD85" t="e">
        <f>AND(medidas!AS192,"AAAAAD6vnZ8=")</f>
        <v>#VALUE!</v>
      </c>
      <c r="FE85" t="e">
        <f>AND(medidas!AT192,"AAAAAD6vnaA=")</f>
        <v>#VALUE!</v>
      </c>
      <c r="FF85" t="e">
        <f>AND(medidas!AU192,"AAAAAD6vnaE=")</f>
        <v>#VALUE!</v>
      </c>
      <c r="FG85" t="e">
        <f>AND(medidas!AV192,"AAAAAD6vnaI=")</f>
        <v>#VALUE!</v>
      </c>
      <c r="FH85" t="e">
        <f>AND(medidas!AW192,"AAAAAD6vnaM=")</f>
        <v>#VALUE!</v>
      </c>
      <c r="FI85" t="e">
        <f>AND(medidas!AX192,"AAAAAD6vnaQ=")</f>
        <v>#VALUE!</v>
      </c>
      <c r="FJ85" t="e">
        <f>AND(medidas!AY192,"AAAAAD6vnaU=")</f>
        <v>#VALUE!</v>
      </c>
      <c r="FK85" t="e">
        <f>AND(medidas!AZ192,"AAAAAD6vnaY=")</f>
        <v>#VALUE!</v>
      </c>
      <c r="FL85" t="e">
        <f>AND(medidas!BA192,"AAAAAD6vnac=")</f>
        <v>#VALUE!</v>
      </c>
      <c r="FM85" t="e">
        <f>AND(medidas!BB192,"AAAAAD6vnag=")</f>
        <v>#VALUE!</v>
      </c>
      <c r="FN85" t="e">
        <f>AND(medidas!BC192,"AAAAAD6vnak=")</f>
        <v>#VALUE!</v>
      </c>
      <c r="FO85" t="e">
        <f>AND(medidas!BD192,"AAAAAD6vnao=")</f>
        <v>#VALUE!</v>
      </c>
      <c r="FP85" t="e">
        <f>AND(medidas!BE192,"AAAAAD6vnas=")</f>
        <v>#VALUE!</v>
      </c>
      <c r="FQ85" t="e">
        <f>AND(medidas!BF192,"AAAAAD6vnaw=")</f>
        <v>#VALUE!</v>
      </c>
      <c r="FR85" t="e">
        <f>AND(medidas!BG192,"AAAAAD6vna0=")</f>
        <v>#VALUE!</v>
      </c>
      <c r="FS85" t="e">
        <f>AND(medidas!BH192,"AAAAAD6vna4=")</f>
        <v>#VALUE!</v>
      </c>
      <c r="FT85" t="e">
        <f>AND(medidas!BI192,"AAAAAD6vna8=")</f>
        <v>#VALUE!</v>
      </c>
      <c r="FU85" t="e">
        <f>AND(medidas!BJ192,"AAAAAD6vnbA=")</f>
        <v>#VALUE!</v>
      </c>
      <c r="FV85" t="e">
        <f>AND(medidas!BK192,"AAAAAD6vnbE=")</f>
        <v>#VALUE!</v>
      </c>
      <c r="FW85" t="e">
        <f>AND(medidas!BL192,"AAAAAD6vnbI=")</f>
        <v>#VALUE!</v>
      </c>
      <c r="FX85" t="e">
        <f>AND(medidas!BM192,"AAAAAD6vnbM=")</f>
        <v>#VALUE!</v>
      </c>
      <c r="FY85" t="e">
        <f>AND(medidas!BN192,"AAAAAD6vnbQ=")</f>
        <v>#VALUE!</v>
      </c>
      <c r="FZ85" t="e">
        <f>AND(medidas!BO192,"AAAAAD6vnbU=")</f>
        <v>#VALUE!</v>
      </c>
      <c r="GA85" t="e">
        <f>AND(medidas!BP192,"AAAAAD6vnbY=")</f>
        <v>#VALUE!</v>
      </c>
      <c r="GB85" t="e">
        <f>AND(medidas!BQ192,"AAAAAD6vnbc=")</f>
        <v>#VALUE!</v>
      </c>
      <c r="GC85" t="e">
        <f>AND(medidas!BR192,"AAAAAD6vnbg=")</f>
        <v>#VALUE!</v>
      </c>
      <c r="GD85" t="e">
        <f>AND(medidas!BS192,"AAAAAD6vnbk=")</f>
        <v>#VALUE!</v>
      </c>
      <c r="GE85" t="e">
        <f>AND(medidas!BT192,"AAAAAD6vnbo=")</f>
        <v>#VALUE!</v>
      </c>
      <c r="GF85" t="e">
        <f>AND(medidas!BU192,"AAAAAD6vnbs=")</f>
        <v>#VALUE!</v>
      </c>
      <c r="GG85" t="e">
        <f>AND(medidas!BV192,"AAAAAD6vnbw=")</f>
        <v>#VALUE!</v>
      </c>
      <c r="GH85" t="e">
        <f>AND(medidas!BW192,"AAAAAD6vnb0=")</f>
        <v>#VALUE!</v>
      </c>
      <c r="GI85" t="e">
        <f>AND(medidas!BX192,"AAAAAD6vnb4=")</f>
        <v>#VALUE!</v>
      </c>
      <c r="GJ85" t="e">
        <f>AND(medidas!BY192,"AAAAAD6vnb8=")</f>
        <v>#VALUE!</v>
      </c>
      <c r="GK85">
        <f>IF(medidas!193:193,"AAAAAD6vncA=",0)</f>
        <v>0</v>
      </c>
      <c r="GL85" t="e">
        <f>AND(medidas!B193,"AAAAAD6vncE=")</f>
        <v>#VALUE!</v>
      </c>
      <c r="GM85" t="e">
        <f>AND(medidas!C193,"AAAAAD6vncI=")</f>
        <v>#VALUE!</v>
      </c>
      <c r="GN85" t="e">
        <f>AND(medidas!D193,"AAAAAD6vncM=")</f>
        <v>#VALUE!</v>
      </c>
      <c r="GO85" t="e">
        <f>AND(medidas!E193,"AAAAAD6vncQ=")</f>
        <v>#VALUE!</v>
      </c>
      <c r="GP85" t="e">
        <f>AND(medidas!F193,"AAAAAD6vncU=")</f>
        <v>#VALUE!</v>
      </c>
      <c r="GQ85" t="e">
        <f>AND(medidas!G193,"AAAAAD6vncY=")</f>
        <v>#VALUE!</v>
      </c>
      <c r="GR85" t="e">
        <f>AND(medidas!H193,"AAAAAD6vncc=")</f>
        <v>#VALUE!</v>
      </c>
      <c r="GS85" t="e">
        <f>AND(medidas!I193,"AAAAAD6vncg=")</f>
        <v>#VALUE!</v>
      </c>
      <c r="GT85" t="e">
        <f>AND(medidas!J193,"AAAAAD6vnck=")</f>
        <v>#VALUE!</v>
      </c>
      <c r="GU85" t="e">
        <f>AND(medidas!K193,"AAAAAD6vnco=")</f>
        <v>#VALUE!</v>
      </c>
      <c r="GV85" t="e">
        <f>AND(medidas!L193,"AAAAAD6vncs=")</f>
        <v>#VALUE!</v>
      </c>
      <c r="GW85" t="e">
        <f>AND(medidas!M193,"AAAAAD6vncw=")</f>
        <v>#VALUE!</v>
      </c>
      <c r="GX85" t="e">
        <f>AND(medidas!N193,"AAAAAD6vnc0=")</f>
        <v>#VALUE!</v>
      </c>
      <c r="GY85" t="e">
        <f>AND(medidas!O193,"AAAAAD6vnc4=")</f>
        <v>#VALUE!</v>
      </c>
      <c r="GZ85" t="e">
        <f>AND(medidas!P193,"AAAAAD6vnc8=")</f>
        <v>#VALUE!</v>
      </c>
      <c r="HA85" t="e">
        <f>AND(medidas!Q193,"AAAAAD6vndA=")</f>
        <v>#VALUE!</v>
      </c>
      <c r="HB85" t="e">
        <f>AND(medidas!R193,"AAAAAD6vndE=")</f>
        <v>#VALUE!</v>
      </c>
      <c r="HC85" t="e">
        <f>AND(medidas!S193,"AAAAAD6vndI=")</f>
        <v>#VALUE!</v>
      </c>
      <c r="HD85" t="e">
        <f>AND(medidas!T193,"AAAAAD6vndM=")</f>
        <v>#VALUE!</v>
      </c>
      <c r="HE85" t="e">
        <f>AND(medidas!U193,"AAAAAD6vndQ=")</f>
        <v>#VALUE!</v>
      </c>
      <c r="HF85" t="e">
        <f>AND(medidas!V193,"AAAAAD6vndU=")</f>
        <v>#VALUE!</v>
      </c>
      <c r="HG85" t="e">
        <f>AND(medidas!W193,"AAAAAD6vndY=")</f>
        <v>#VALUE!</v>
      </c>
      <c r="HH85" t="e">
        <f>AND(medidas!X193,"AAAAAD6vndc=")</f>
        <v>#VALUE!</v>
      </c>
      <c r="HI85" t="e">
        <f>AND(medidas!Y193,"AAAAAD6vndg=")</f>
        <v>#VALUE!</v>
      </c>
      <c r="HJ85" t="e">
        <f>AND(medidas!Z193,"AAAAAD6vndk=")</f>
        <v>#VALUE!</v>
      </c>
      <c r="HK85" t="e">
        <f>AND(medidas!AA193,"AAAAAD6vndo=")</f>
        <v>#VALUE!</v>
      </c>
      <c r="HL85" t="e">
        <f>AND(medidas!AB193,"AAAAAD6vnds=")</f>
        <v>#VALUE!</v>
      </c>
      <c r="HM85" t="e">
        <f>AND(medidas!AC193,"AAAAAD6vndw=")</f>
        <v>#VALUE!</v>
      </c>
      <c r="HN85" t="e">
        <f>AND(medidas!AD193,"AAAAAD6vnd0=")</f>
        <v>#VALUE!</v>
      </c>
      <c r="HO85" t="e">
        <f>AND(medidas!AE193,"AAAAAD6vnd4=")</f>
        <v>#VALUE!</v>
      </c>
      <c r="HP85" t="e">
        <f>AND(medidas!AF193,"AAAAAD6vnd8=")</f>
        <v>#VALUE!</v>
      </c>
      <c r="HQ85" t="e">
        <f>AND(medidas!AG193,"AAAAAD6vneA=")</f>
        <v>#VALUE!</v>
      </c>
      <c r="HR85" t="e">
        <f>AND(medidas!AH193,"AAAAAD6vneE=")</f>
        <v>#VALUE!</v>
      </c>
      <c r="HS85" t="e">
        <f>AND(medidas!AI193,"AAAAAD6vneI=")</f>
        <v>#VALUE!</v>
      </c>
      <c r="HT85" t="e">
        <f>AND(medidas!AJ193,"AAAAAD6vneM=")</f>
        <v>#VALUE!</v>
      </c>
      <c r="HU85" t="e">
        <f>AND(medidas!AK193,"AAAAAD6vneQ=")</f>
        <v>#VALUE!</v>
      </c>
      <c r="HV85" t="e">
        <f>AND(medidas!AL193,"AAAAAD6vneU=")</f>
        <v>#VALUE!</v>
      </c>
      <c r="HW85" t="e">
        <f>AND(medidas!AM193,"AAAAAD6vneY=")</f>
        <v>#VALUE!</v>
      </c>
      <c r="HX85" t="e">
        <f>AND(medidas!AN193,"AAAAAD6vnec=")</f>
        <v>#VALUE!</v>
      </c>
      <c r="HY85" t="e">
        <f>AND(medidas!AO193,"AAAAAD6vneg=")</f>
        <v>#VALUE!</v>
      </c>
      <c r="HZ85" t="e">
        <f>AND(medidas!AP193,"AAAAAD6vnek=")</f>
        <v>#VALUE!</v>
      </c>
      <c r="IA85" t="e">
        <f>AND(medidas!AQ193,"AAAAAD6vneo=")</f>
        <v>#VALUE!</v>
      </c>
      <c r="IB85" t="e">
        <f>AND(medidas!AR193,"AAAAAD6vnes=")</f>
        <v>#VALUE!</v>
      </c>
      <c r="IC85" t="e">
        <f>AND(medidas!AS193,"AAAAAD6vnew=")</f>
        <v>#VALUE!</v>
      </c>
      <c r="ID85" t="e">
        <f>AND(medidas!AT193,"AAAAAD6vne0=")</f>
        <v>#VALUE!</v>
      </c>
      <c r="IE85" t="e">
        <f>AND(medidas!AU193,"AAAAAD6vne4=")</f>
        <v>#VALUE!</v>
      </c>
      <c r="IF85" t="e">
        <f>AND(medidas!AV193,"AAAAAD6vne8=")</f>
        <v>#VALUE!</v>
      </c>
      <c r="IG85" t="e">
        <f>AND(medidas!AW193,"AAAAAD6vnfA=")</f>
        <v>#VALUE!</v>
      </c>
      <c r="IH85" t="e">
        <f>AND(medidas!AX193,"AAAAAD6vnfE=")</f>
        <v>#VALUE!</v>
      </c>
      <c r="II85" t="e">
        <f>AND(medidas!AY193,"AAAAAD6vnfI=")</f>
        <v>#VALUE!</v>
      </c>
      <c r="IJ85" t="e">
        <f>AND(medidas!AZ193,"AAAAAD6vnfM=")</f>
        <v>#VALUE!</v>
      </c>
      <c r="IK85" t="e">
        <f>AND(medidas!BA193,"AAAAAD6vnfQ=")</f>
        <v>#VALUE!</v>
      </c>
      <c r="IL85" t="e">
        <f>AND(medidas!BB193,"AAAAAD6vnfU=")</f>
        <v>#VALUE!</v>
      </c>
      <c r="IM85" t="e">
        <f>AND(medidas!BC193,"AAAAAD6vnfY=")</f>
        <v>#VALUE!</v>
      </c>
      <c r="IN85" t="e">
        <f>AND(medidas!BD193,"AAAAAD6vnfc=")</f>
        <v>#VALUE!</v>
      </c>
      <c r="IO85" t="e">
        <f>AND(medidas!BE193,"AAAAAD6vnfg=")</f>
        <v>#VALUE!</v>
      </c>
      <c r="IP85" t="e">
        <f>AND(medidas!BF193,"AAAAAD6vnfk=")</f>
        <v>#VALUE!</v>
      </c>
      <c r="IQ85" t="e">
        <f>AND(medidas!BG193,"AAAAAD6vnfo=")</f>
        <v>#VALUE!</v>
      </c>
      <c r="IR85" t="e">
        <f>AND(medidas!BH193,"AAAAAD6vnfs=")</f>
        <v>#VALUE!</v>
      </c>
      <c r="IS85" t="e">
        <f>AND(medidas!BI193,"AAAAAD6vnfw=")</f>
        <v>#VALUE!</v>
      </c>
      <c r="IT85" t="e">
        <f>AND(medidas!BJ193,"AAAAAD6vnf0=")</f>
        <v>#VALUE!</v>
      </c>
      <c r="IU85" t="e">
        <f>AND(medidas!BK193,"AAAAAD6vnf4=")</f>
        <v>#VALUE!</v>
      </c>
      <c r="IV85" t="e">
        <f>AND(medidas!BL193,"AAAAAD6vnf8=")</f>
        <v>#VALUE!</v>
      </c>
    </row>
    <row r="86" spans="1:256" x14ac:dyDescent="0.2">
      <c r="A86" t="e">
        <f>AND(medidas!BM193,"AAAAAH9X/wA=")</f>
        <v>#VALUE!</v>
      </c>
      <c r="B86" t="e">
        <f>AND(medidas!BN193,"AAAAAH9X/wE=")</f>
        <v>#VALUE!</v>
      </c>
      <c r="C86" t="e">
        <f>AND(medidas!BO193,"AAAAAH9X/wI=")</f>
        <v>#VALUE!</v>
      </c>
      <c r="D86" t="e">
        <f>AND(medidas!BP193,"AAAAAH9X/wM=")</f>
        <v>#VALUE!</v>
      </c>
      <c r="E86" t="e">
        <f>AND(medidas!BQ193,"AAAAAH9X/wQ=")</f>
        <v>#VALUE!</v>
      </c>
      <c r="F86" t="e">
        <f>AND(medidas!BR193,"AAAAAH9X/wU=")</f>
        <v>#VALUE!</v>
      </c>
      <c r="G86" t="e">
        <f>AND(medidas!BS193,"AAAAAH9X/wY=")</f>
        <v>#VALUE!</v>
      </c>
      <c r="H86" t="e">
        <f>AND(medidas!BT193,"AAAAAH9X/wc=")</f>
        <v>#VALUE!</v>
      </c>
      <c r="I86" t="e">
        <f>AND(medidas!BU193,"AAAAAH9X/wg=")</f>
        <v>#VALUE!</v>
      </c>
      <c r="J86" t="e">
        <f>AND(medidas!BV193,"AAAAAH9X/wk=")</f>
        <v>#VALUE!</v>
      </c>
      <c r="K86" t="e">
        <f>AND(medidas!BW193,"AAAAAH9X/wo=")</f>
        <v>#VALUE!</v>
      </c>
      <c r="L86" t="e">
        <f>AND(medidas!BX193,"AAAAAH9X/ws=")</f>
        <v>#VALUE!</v>
      </c>
      <c r="M86" t="e">
        <f>AND(medidas!BY193,"AAAAAH9X/ww=")</f>
        <v>#VALUE!</v>
      </c>
      <c r="N86" t="e">
        <f>IF(medidas!194:194,"AAAAAH9X/w0=",0)</f>
        <v>#VALUE!</v>
      </c>
      <c r="O86" t="e">
        <f>AND(medidas!B194,"AAAAAH9X/w4=")</f>
        <v>#VALUE!</v>
      </c>
      <c r="P86" t="e">
        <f>AND(medidas!C194,"AAAAAH9X/w8=")</f>
        <v>#VALUE!</v>
      </c>
      <c r="Q86" t="e">
        <f>AND(medidas!D194,"AAAAAH9X/xA=")</f>
        <v>#VALUE!</v>
      </c>
      <c r="R86" t="e">
        <f>AND(medidas!E194,"AAAAAH9X/xE=")</f>
        <v>#VALUE!</v>
      </c>
      <c r="S86" t="e">
        <f>AND(medidas!F194,"AAAAAH9X/xI=")</f>
        <v>#VALUE!</v>
      </c>
      <c r="T86" t="e">
        <f>AND(medidas!G194,"AAAAAH9X/xM=")</f>
        <v>#VALUE!</v>
      </c>
      <c r="U86" t="e">
        <f>AND(medidas!H194,"AAAAAH9X/xQ=")</f>
        <v>#VALUE!</v>
      </c>
      <c r="V86" t="e">
        <f>AND(medidas!I194,"AAAAAH9X/xU=")</f>
        <v>#VALUE!</v>
      </c>
      <c r="W86" t="e">
        <f>AND(medidas!J194,"AAAAAH9X/xY=")</f>
        <v>#VALUE!</v>
      </c>
      <c r="X86" t="e">
        <f>AND(medidas!K194,"AAAAAH9X/xc=")</f>
        <v>#VALUE!</v>
      </c>
      <c r="Y86" t="e">
        <f>AND(medidas!L194,"AAAAAH9X/xg=")</f>
        <v>#VALUE!</v>
      </c>
      <c r="Z86" t="e">
        <f>AND(medidas!M194,"AAAAAH9X/xk=")</f>
        <v>#VALUE!</v>
      </c>
      <c r="AA86" t="e">
        <f>AND(medidas!N194,"AAAAAH9X/xo=")</f>
        <v>#VALUE!</v>
      </c>
      <c r="AB86" t="e">
        <f>AND(medidas!O194,"AAAAAH9X/xs=")</f>
        <v>#VALUE!</v>
      </c>
      <c r="AC86" t="e">
        <f>AND(medidas!P194,"AAAAAH9X/xw=")</f>
        <v>#VALUE!</v>
      </c>
      <c r="AD86" t="e">
        <f>AND(medidas!Q194,"AAAAAH9X/x0=")</f>
        <v>#VALUE!</v>
      </c>
      <c r="AE86" t="e">
        <f>AND(medidas!R194,"AAAAAH9X/x4=")</f>
        <v>#VALUE!</v>
      </c>
      <c r="AF86" t="e">
        <f>AND(medidas!S194,"AAAAAH9X/x8=")</f>
        <v>#VALUE!</v>
      </c>
      <c r="AG86" t="e">
        <f>AND(medidas!T194,"AAAAAH9X/yA=")</f>
        <v>#VALUE!</v>
      </c>
      <c r="AH86" t="e">
        <f>AND(medidas!U194,"AAAAAH9X/yE=")</f>
        <v>#VALUE!</v>
      </c>
      <c r="AI86" t="e">
        <f>AND(medidas!V194,"AAAAAH9X/yI=")</f>
        <v>#VALUE!</v>
      </c>
      <c r="AJ86" t="e">
        <f>AND(medidas!W194,"AAAAAH9X/yM=")</f>
        <v>#VALUE!</v>
      </c>
      <c r="AK86" t="e">
        <f>AND(medidas!X194,"AAAAAH9X/yQ=")</f>
        <v>#VALUE!</v>
      </c>
      <c r="AL86" t="e">
        <f>AND(medidas!Y194,"AAAAAH9X/yU=")</f>
        <v>#VALUE!</v>
      </c>
      <c r="AM86" t="e">
        <f>AND(medidas!Z194,"AAAAAH9X/yY=")</f>
        <v>#VALUE!</v>
      </c>
      <c r="AN86" t="e">
        <f>AND(medidas!AA194,"AAAAAH9X/yc=")</f>
        <v>#VALUE!</v>
      </c>
      <c r="AO86" t="e">
        <f>AND(medidas!AB194,"AAAAAH9X/yg=")</f>
        <v>#VALUE!</v>
      </c>
      <c r="AP86" t="e">
        <f>AND(medidas!AC194,"AAAAAH9X/yk=")</f>
        <v>#VALUE!</v>
      </c>
      <c r="AQ86" t="e">
        <f>AND(medidas!AD194,"AAAAAH9X/yo=")</f>
        <v>#VALUE!</v>
      </c>
      <c r="AR86" t="e">
        <f>AND(medidas!AE194,"AAAAAH9X/ys=")</f>
        <v>#VALUE!</v>
      </c>
      <c r="AS86" t="e">
        <f>AND(medidas!AF194,"AAAAAH9X/yw=")</f>
        <v>#VALUE!</v>
      </c>
      <c r="AT86" t="e">
        <f>AND(medidas!AG194,"AAAAAH9X/y0=")</f>
        <v>#VALUE!</v>
      </c>
      <c r="AU86" t="e">
        <f>AND(medidas!AH194,"AAAAAH9X/y4=")</f>
        <v>#VALUE!</v>
      </c>
      <c r="AV86" t="e">
        <f>AND(medidas!AI194,"AAAAAH9X/y8=")</f>
        <v>#VALUE!</v>
      </c>
      <c r="AW86" t="e">
        <f>AND(medidas!AJ194,"AAAAAH9X/zA=")</f>
        <v>#VALUE!</v>
      </c>
      <c r="AX86" t="e">
        <f>AND(medidas!AK194,"AAAAAH9X/zE=")</f>
        <v>#VALUE!</v>
      </c>
      <c r="AY86" t="e">
        <f>AND(medidas!AL194,"AAAAAH9X/zI=")</f>
        <v>#VALUE!</v>
      </c>
      <c r="AZ86" t="e">
        <f>AND(medidas!AM194,"AAAAAH9X/zM=")</f>
        <v>#VALUE!</v>
      </c>
      <c r="BA86" t="e">
        <f>AND(medidas!AN194,"AAAAAH9X/zQ=")</f>
        <v>#VALUE!</v>
      </c>
      <c r="BB86" t="e">
        <f>AND(medidas!AO194,"AAAAAH9X/zU=")</f>
        <v>#VALUE!</v>
      </c>
      <c r="BC86" t="e">
        <f>AND(medidas!AP194,"AAAAAH9X/zY=")</f>
        <v>#VALUE!</v>
      </c>
      <c r="BD86" t="e">
        <f>AND(medidas!AQ194,"AAAAAH9X/zc=")</f>
        <v>#VALUE!</v>
      </c>
      <c r="BE86" t="e">
        <f>AND(medidas!AR194,"AAAAAH9X/zg=")</f>
        <v>#VALUE!</v>
      </c>
      <c r="BF86" t="e">
        <f>AND(medidas!AS194,"AAAAAH9X/zk=")</f>
        <v>#VALUE!</v>
      </c>
      <c r="BG86" t="e">
        <f>AND(medidas!AT194,"AAAAAH9X/zo=")</f>
        <v>#VALUE!</v>
      </c>
      <c r="BH86" t="e">
        <f>AND(medidas!AU194,"AAAAAH9X/zs=")</f>
        <v>#VALUE!</v>
      </c>
      <c r="BI86" t="e">
        <f>AND(medidas!AV194,"AAAAAH9X/zw=")</f>
        <v>#VALUE!</v>
      </c>
      <c r="BJ86" t="e">
        <f>AND(medidas!AW194,"AAAAAH9X/z0=")</f>
        <v>#VALUE!</v>
      </c>
      <c r="BK86" t="e">
        <f>AND(medidas!AX194,"AAAAAH9X/z4=")</f>
        <v>#VALUE!</v>
      </c>
      <c r="BL86" t="e">
        <f>AND(medidas!AY194,"AAAAAH9X/z8=")</f>
        <v>#VALUE!</v>
      </c>
      <c r="BM86" t="e">
        <f>AND(medidas!AZ194,"AAAAAH9X/0A=")</f>
        <v>#VALUE!</v>
      </c>
      <c r="BN86" t="e">
        <f>AND(medidas!BA194,"AAAAAH9X/0E=")</f>
        <v>#VALUE!</v>
      </c>
      <c r="BO86" t="e">
        <f>AND(medidas!BB194,"AAAAAH9X/0I=")</f>
        <v>#VALUE!</v>
      </c>
      <c r="BP86" t="e">
        <f>AND(medidas!BC194,"AAAAAH9X/0M=")</f>
        <v>#VALUE!</v>
      </c>
      <c r="BQ86" t="e">
        <f>AND(medidas!BD194,"AAAAAH9X/0Q=")</f>
        <v>#VALUE!</v>
      </c>
      <c r="BR86" t="e">
        <f>AND(medidas!BE194,"AAAAAH9X/0U=")</f>
        <v>#VALUE!</v>
      </c>
      <c r="BS86" t="e">
        <f>AND(medidas!BF194,"AAAAAH9X/0Y=")</f>
        <v>#VALUE!</v>
      </c>
      <c r="BT86" t="e">
        <f>AND(medidas!BG194,"AAAAAH9X/0c=")</f>
        <v>#VALUE!</v>
      </c>
      <c r="BU86" t="e">
        <f>AND(medidas!BH194,"AAAAAH9X/0g=")</f>
        <v>#VALUE!</v>
      </c>
      <c r="BV86" t="e">
        <f>AND(medidas!BI194,"AAAAAH9X/0k=")</f>
        <v>#VALUE!</v>
      </c>
      <c r="BW86" t="e">
        <f>AND(medidas!BJ194,"AAAAAH9X/0o=")</f>
        <v>#VALUE!</v>
      </c>
      <c r="BX86" t="e">
        <f>AND(medidas!BK194,"AAAAAH9X/0s=")</f>
        <v>#VALUE!</v>
      </c>
      <c r="BY86" t="e">
        <f>AND(medidas!BL194,"AAAAAH9X/0w=")</f>
        <v>#VALUE!</v>
      </c>
      <c r="BZ86" t="e">
        <f>AND(medidas!BM194,"AAAAAH9X/00=")</f>
        <v>#VALUE!</v>
      </c>
      <c r="CA86" t="e">
        <f>AND(medidas!BN194,"AAAAAH9X/04=")</f>
        <v>#VALUE!</v>
      </c>
      <c r="CB86" t="e">
        <f>AND(medidas!BO194,"AAAAAH9X/08=")</f>
        <v>#VALUE!</v>
      </c>
      <c r="CC86" t="e">
        <f>AND(medidas!BP194,"AAAAAH9X/1A=")</f>
        <v>#VALUE!</v>
      </c>
      <c r="CD86" t="e">
        <f>AND(medidas!BQ194,"AAAAAH9X/1E=")</f>
        <v>#VALUE!</v>
      </c>
      <c r="CE86" t="e">
        <f>AND(medidas!BR194,"AAAAAH9X/1I=")</f>
        <v>#VALUE!</v>
      </c>
      <c r="CF86" t="e">
        <f>AND(medidas!BS194,"AAAAAH9X/1M=")</f>
        <v>#VALUE!</v>
      </c>
      <c r="CG86" t="e">
        <f>AND(medidas!BT194,"AAAAAH9X/1Q=")</f>
        <v>#VALUE!</v>
      </c>
      <c r="CH86" t="e">
        <f>AND(medidas!BU194,"AAAAAH9X/1U=")</f>
        <v>#VALUE!</v>
      </c>
      <c r="CI86" t="e">
        <f>AND(medidas!BV194,"AAAAAH9X/1Y=")</f>
        <v>#VALUE!</v>
      </c>
      <c r="CJ86" t="e">
        <f>AND(medidas!BW194,"AAAAAH9X/1c=")</f>
        <v>#VALUE!</v>
      </c>
      <c r="CK86" t="e">
        <f>AND(medidas!BX194,"AAAAAH9X/1g=")</f>
        <v>#VALUE!</v>
      </c>
      <c r="CL86" t="e">
        <f>AND(medidas!BY194,"AAAAAH9X/1k=")</f>
        <v>#VALUE!</v>
      </c>
      <c r="CM86">
        <f>IF(medidas!195:195,"AAAAAH9X/1o=",0)</f>
        <v>0</v>
      </c>
      <c r="CN86" t="e">
        <f>AND(medidas!B195,"AAAAAH9X/1s=")</f>
        <v>#VALUE!</v>
      </c>
      <c r="CO86" t="e">
        <f>AND(medidas!C195,"AAAAAH9X/1w=")</f>
        <v>#VALUE!</v>
      </c>
      <c r="CP86" t="e">
        <f>AND(medidas!D195,"AAAAAH9X/10=")</f>
        <v>#VALUE!</v>
      </c>
      <c r="CQ86" t="e">
        <f>AND(medidas!E195,"AAAAAH9X/14=")</f>
        <v>#VALUE!</v>
      </c>
      <c r="CR86" t="e">
        <f>AND(medidas!F195,"AAAAAH9X/18=")</f>
        <v>#VALUE!</v>
      </c>
      <c r="CS86" t="e">
        <f>AND(medidas!G195,"AAAAAH9X/2A=")</f>
        <v>#VALUE!</v>
      </c>
      <c r="CT86" t="e">
        <f>AND(medidas!H195,"AAAAAH9X/2E=")</f>
        <v>#VALUE!</v>
      </c>
      <c r="CU86" t="e">
        <f>AND(medidas!I195,"AAAAAH9X/2I=")</f>
        <v>#VALUE!</v>
      </c>
      <c r="CV86" t="e">
        <f>AND(medidas!J195,"AAAAAH9X/2M=")</f>
        <v>#VALUE!</v>
      </c>
      <c r="CW86" t="e">
        <f>AND(medidas!K195,"AAAAAH9X/2Q=")</f>
        <v>#VALUE!</v>
      </c>
      <c r="CX86" t="e">
        <f>AND(medidas!L195,"AAAAAH9X/2U=")</f>
        <v>#VALUE!</v>
      </c>
      <c r="CY86" t="e">
        <f>AND(medidas!M195,"AAAAAH9X/2Y=")</f>
        <v>#VALUE!</v>
      </c>
      <c r="CZ86" t="e">
        <f>AND(medidas!N195,"AAAAAH9X/2c=")</f>
        <v>#VALUE!</v>
      </c>
      <c r="DA86" t="e">
        <f>AND(medidas!O195,"AAAAAH9X/2g=")</f>
        <v>#VALUE!</v>
      </c>
      <c r="DB86" t="e">
        <f>AND(medidas!P195,"AAAAAH9X/2k=")</f>
        <v>#VALUE!</v>
      </c>
      <c r="DC86" t="e">
        <f>AND(medidas!Q195,"AAAAAH9X/2o=")</f>
        <v>#VALUE!</v>
      </c>
      <c r="DD86" t="e">
        <f>AND(medidas!R195,"AAAAAH9X/2s=")</f>
        <v>#VALUE!</v>
      </c>
      <c r="DE86" t="e">
        <f>AND(medidas!S195,"AAAAAH9X/2w=")</f>
        <v>#VALUE!</v>
      </c>
      <c r="DF86" t="e">
        <f>AND(medidas!T195,"AAAAAH9X/20=")</f>
        <v>#VALUE!</v>
      </c>
      <c r="DG86" t="e">
        <f>AND(medidas!U195,"AAAAAH9X/24=")</f>
        <v>#VALUE!</v>
      </c>
      <c r="DH86" t="e">
        <f>AND(medidas!V195,"AAAAAH9X/28=")</f>
        <v>#VALUE!</v>
      </c>
      <c r="DI86" t="e">
        <f>AND(medidas!W195,"AAAAAH9X/3A=")</f>
        <v>#VALUE!</v>
      </c>
      <c r="DJ86" t="e">
        <f>AND(medidas!X195,"AAAAAH9X/3E=")</f>
        <v>#VALUE!</v>
      </c>
      <c r="DK86" t="e">
        <f>AND(medidas!Y195,"AAAAAH9X/3I=")</f>
        <v>#VALUE!</v>
      </c>
      <c r="DL86" t="e">
        <f>AND(medidas!Z195,"AAAAAH9X/3M=")</f>
        <v>#VALUE!</v>
      </c>
      <c r="DM86" t="e">
        <f>AND(medidas!AA195,"AAAAAH9X/3Q=")</f>
        <v>#VALUE!</v>
      </c>
      <c r="DN86" t="e">
        <f>AND(medidas!AB195,"AAAAAH9X/3U=")</f>
        <v>#VALUE!</v>
      </c>
      <c r="DO86" t="e">
        <f>AND(medidas!AC195,"AAAAAH9X/3Y=")</f>
        <v>#VALUE!</v>
      </c>
      <c r="DP86" t="e">
        <f>AND(medidas!AD195,"AAAAAH9X/3c=")</f>
        <v>#VALUE!</v>
      </c>
      <c r="DQ86" t="e">
        <f>AND(medidas!AE195,"AAAAAH9X/3g=")</f>
        <v>#VALUE!</v>
      </c>
      <c r="DR86" t="e">
        <f>AND(medidas!AF195,"AAAAAH9X/3k=")</f>
        <v>#VALUE!</v>
      </c>
      <c r="DS86" t="e">
        <f>AND(medidas!AG195,"AAAAAH9X/3o=")</f>
        <v>#VALUE!</v>
      </c>
      <c r="DT86" t="e">
        <f>AND(medidas!AH195,"AAAAAH9X/3s=")</f>
        <v>#VALUE!</v>
      </c>
      <c r="DU86" t="e">
        <f>AND(medidas!AI195,"AAAAAH9X/3w=")</f>
        <v>#VALUE!</v>
      </c>
      <c r="DV86" t="e">
        <f>AND(medidas!AJ195,"AAAAAH9X/30=")</f>
        <v>#VALUE!</v>
      </c>
      <c r="DW86" t="e">
        <f>AND(medidas!AK195,"AAAAAH9X/34=")</f>
        <v>#VALUE!</v>
      </c>
      <c r="DX86" t="e">
        <f>AND(medidas!AL195,"AAAAAH9X/38=")</f>
        <v>#VALUE!</v>
      </c>
      <c r="DY86" t="e">
        <f>AND(medidas!AM195,"AAAAAH9X/4A=")</f>
        <v>#VALUE!</v>
      </c>
      <c r="DZ86" t="e">
        <f>AND(medidas!AN195,"AAAAAH9X/4E=")</f>
        <v>#VALUE!</v>
      </c>
      <c r="EA86" t="e">
        <f>AND(medidas!AO195,"AAAAAH9X/4I=")</f>
        <v>#VALUE!</v>
      </c>
      <c r="EB86" t="e">
        <f>AND(medidas!AP195,"AAAAAH9X/4M=")</f>
        <v>#VALUE!</v>
      </c>
      <c r="EC86" t="e">
        <f>AND(medidas!AQ195,"AAAAAH9X/4Q=")</f>
        <v>#VALUE!</v>
      </c>
      <c r="ED86" t="e">
        <f>AND(medidas!AR195,"AAAAAH9X/4U=")</f>
        <v>#VALUE!</v>
      </c>
      <c r="EE86" t="e">
        <f>AND(medidas!AS195,"AAAAAH9X/4Y=")</f>
        <v>#VALUE!</v>
      </c>
      <c r="EF86" t="e">
        <f>AND(medidas!AT195,"AAAAAH9X/4c=")</f>
        <v>#VALUE!</v>
      </c>
      <c r="EG86" t="e">
        <f>AND(medidas!AU195,"AAAAAH9X/4g=")</f>
        <v>#VALUE!</v>
      </c>
      <c r="EH86" t="e">
        <f>AND(medidas!AV195,"AAAAAH9X/4k=")</f>
        <v>#VALUE!</v>
      </c>
      <c r="EI86" t="e">
        <f>AND(medidas!AW195,"AAAAAH9X/4o=")</f>
        <v>#VALUE!</v>
      </c>
      <c r="EJ86" t="e">
        <f>AND(medidas!AX195,"AAAAAH9X/4s=")</f>
        <v>#VALUE!</v>
      </c>
      <c r="EK86" t="e">
        <f>AND(medidas!AY195,"AAAAAH9X/4w=")</f>
        <v>#VALUE!</v>
      </c>
      <c r="EL86" t="e">
        <f>AND(medidas!AZ195,"AAAAAH9X/40=")</f>
        <v>#VALUE!</v>
      </c>
      <c r="EM86" t="e">
        <f>AND(medidas!BA195,"AAAAAH9X/44=")</f>
        <v>#VALUE!</v>
      </c>
      <c r="EN86" t="e">
        <f>AND(medidas!BB195,"AAAAAH9X/48=")</f>
        <v>#VALUE!</v>
      </c>
      <c r="EO86" t="e">
        <f>AND(medidas!BC195,"AAAAAH9X/5A=")</f>
        <v>#VALUE!</v>
      </c>
      <c r="EP86" t="e">
        <f>AND(medidas!BD195,"AAAAAH9X/5E=")</f>
        <v>#VALUE!</v>
      </c>
      <c r="EQ86" t="e">
        <f>AND(medidas!BE195,"AAAAAH9X/5I=")</f>
        <v>#VALUE!</v>
      </c>
      <c r="ER86" t="e">
        <f>AND(medidas!BF195,"AAAAAH9X/5M=")</f>
        <v>#VALUE!</v>
      </c>
      <c r="ES86" t="e">
        <f>AND(medidas!BG195,"AAAAAH9X/5Q=")</f>
        <v>#VALUE!</v>
      </c>
      <c r="ET86" t="e">
        <f>AND(medidas!BH195,"AAAAAH9X/5U=")</f>
        <v>#VALUE!</v>
      </c>
      <c r="EU86" t="e">
        <f>AND(medidas!BI195,"AAAAAH9X/5Y=")</f>
        <v>#VALUE!</v>
      </c>
      <c r="EV86" t="e">
        <f>AND(medidas!BJ195,"AAAAAH9X/5c=")</f>
        <v>#VALUE!</v>
      </c>
      <c r="EW86" t="e">
        <f>AND(medidas!BK195,"AAAAAH9X/5g=")</f>
        <v>#VALUE!</v>
      </c>
      <c r="EX86" t="e">
        <f>AND(medidas!BL195,"AAAAAH9X/5k=")</f>
        <v>#VALUE!</v>
      </c>
      <c r="EY86" t="e">
        <f>AND(medidas!BM195,"AAAAAH9X/5o=")</f>
        <v>#VALUE!</v>
      </c>
      <c r="EZ86" t="e">
        <f>AND(medidas!BN195,"AAAAAH9X/5s=")</f>
        <v>#VALUE!</v>
      </c>
      <c r="FA86" t="e">
        <f>AND(medidas!BO195,"AAAAAH9X/5w=")</f>
        <v>#VALUE!</v>
      </c>
      <c r="FB86" t="e">
        <f>AND(medidas!BP195,"AAAAAH9X/50=")</f>
        <v>#VALUE!</v>
      </c>
      <c r="FC86" t="e">
        <f>AND(medidas!BQ195,"AAAAAH9X/54=")</f>
        <v>#VALUE!</v>
      </c>
      <c r="FD86" t="e">
        <f>AND(medidas!BR195,"AAAAAH9X/58=")</f>
        <v>#VALUE!</v>
      </c>
      <c r="FE86" t="e">
        <f>AND(medidas!BS195,"AAAAAH9X/6A=")</f>
        <v>#VALUE!</v>
      </c>
      <c r="FF86" t="e">
        <f>AND(medidas!BT195,"AAAAAH9X/6E=")</f>
        <v>#VALUE!</v>
      </c>
      <c r="FG86" t="e">
        <f>AND(medidas!BU195,"AAAAAH9X/6I=")</f>
        <v>#VALUE!</v>
      </c>
      <c r="FH86" t="e">
        <f>AND(medidas!BV195,"AAAAAH9X/6M=")</f>
        <v>#VALUE!</v>
      </c>
      <c r="FI86" t="e">
        <f>AND(medidas!BW195,"AAAAAH9X/6Q=")</f>
        <v>#VALUE!</v>
      </c>
      <c r="FJ86" t="e">
        <f>AND(medidas!BX195,"AAAAAH9X/6U=")</f>
        <v>#VALUE!</v>
      </c>
      <c r="FK86" t="e">
        <f>AND(medidas!BY195,"AAAAAH9X/6Y=")</f>
        <v>#VALUE!</v>
      </c>
      <c r="FL86">
        <f>IF(medidas!196:196,"AAAAAH9X/6c=",0)</f>
        <v>0</v>
      </c>
      <c r="FM86" t="e">
        <f>AND(medidas!B196,"AAAAAH9X/6g=")</f>
        <v>#VALUE!</v>
      </c>
      <c r="FN86" t="e">
        <f>AND(medidas!C196,"AAAAAH9X/6k=")</f>
        <v>#VALUE!</v>
      </c>
      <c r="FO86" t="e">
        <f>AND(medidas!D196,"AAAAAH9X/6o=")</f>
        <v>#VALUE!</v>
      </c>
      <c r="FP86" t="e">
        <f>AND(medidas!E196,"AAAAAH9X/6s=")</f>
        <v>#VALUE!</v>
      </c>
      <c r="FQ86" t="e">
        <f>AND(medidas!F196,"AAAAAH9X/6w=")</f>
        <v>#VALUE!</v>
      </c>
      <c r="FR86" t="e">
        <f>AND(medidas!G196,"AAAAAH9X/60=")</f>
        <v>#VALUE!</v>
      </c>
      <c r="FS86" t="e">
        <f>AND(medidas!H196,"AAAAAH9X/64=")</f>
        <v>#VALUE!</v>
      </c>
      <c r="FT86" t="e">
        <f>AND(medidas!I196,"AAAAAH9X/68=")</f>
        <v>#VALUE!</v>
      </c>
      <c r="FU86" t="e">
        <f>AND(medidas!J196,"AAAAAH9X/7A=")</f>
        <v>#VALUE!</v>
      </c>
      <c r="FV86" t="e">
        <f>AND(medidas!K196,"AAAAAH9X/7E=")</f>
        <v>#VALUE!</v>
      </c>
      <c r="FW86" t="e">
        <f>AND(medidas!L196,"AAAAAH9X/7I=")</f>
        <v>#VALUE!</v>
      </c>
      <c r="FX86" t="e">
        <f>AND(medidas!M196,"AAAAAH9X/7M=")</f>
        <v>#VALUE!</v>
      </c>
      <c r="FY86" t="e">
        <f>AND(medidas!N196,"AAAAAH9X/7Q=")</f>
        <v>#VALUE!</v>
      </c>
      <c r="FZ86" t="e">
        <f>AND(medidas!O196,"AAAAAH9X/7U=")</f>
        <v>#VALUE!</v>
      </c>
      <c r="GA86" t="e">
        <f>AND(medidas!P196,"AAAAAH9X/7Y=")</f>
        <v>#VALUE!</v>
      </c>
      <c r="GB86" t="e">
        <f>AND(medidas!Q196,"AAAAAH9X/7c=")</f>
        <v>#VALUE!</v>
      </c>
      <c r="GC86" t="e">
        <f>AND(medidas!R196,"AAAAAH9X/7g=")</f>
        <v>#VALUE!</v>
      </c>
      <c r="GD86" t="e">
        <f>AND(medidas!S196,"AAAAAH9X/7k=")</f>
        <v>#VALUE!</v>
      </c>
      <c r="GE86" t="e">
        <f>AND(medidas!T196,"AAAAAH9X/7o=")</f>
        <v>#VALUE!</v>
      </c>
      <c r="GF86" t="e">
        <f>AND(medidas!U196,"AAAAAH9X/7s=")</f>
        <v>#VALUE!</v>
      </c>
      <c r="GG86" t="e">
        <f>AND(medidas!V196,"AAAAAH9X/7w=")</f>
        <v>#VALUE!</v>
      </c>
      <c r="GH86" t="e">
        <f>AND(medidas!W196,"AAAAAH9X/70=")</f>
        <v>#VALUE!</v>
      </c>
      <c r="GI86" t="e">
        <f>AND(medidas!X196,"AAAAAH9X/74=")</f>
        <v>#VALUE!</v>
      </c>
      <c r="GJ86" t="e">
        <f>AND(medidas!Y196,"AAAAAH9X/78=")</f>
        <v>#VALUE!</v>
      </c>
      <c r="GK86" t="e">
        <f>AND(medidas!Z196,"AAAAAH9X/8A=")</f>
        <v>#VALUE!</v>
      </c>
      <c r="GL86" t="e">
        <f>AND(medidas!AA196,"AAAAAH9X/8E=")</f>
        <v>#VALUE!</v>
      </c>
      <c r="GM86" t="e">
        <f>AND(medidas!AB196,"AAAAAH9X/8I=")</f>
        <v>#VALUE!</v>
      </c>
      <c r="GN86" t="e">
        <f>AND(medidas!AC196,"AAAAAH9X/8M=")</f>
        <v>#VALUE!</v>
      </c>
      <c r="GO86" t="e">
        <f>AND(medidas!AD196,"AAAAAH9X/8Q=")</f>
        <v>#VALUE!</v>
      </c>
      <c r="GP86" t="e">
        <f>AND(medidas!AE196,"AAAAAH9X/8U=")</f>
        <v>#VALUE!</v>
      </c>
      <c r="GQ86" t="e">
        <f>AND(medidas!AF196,"AAAAAH9X/8Y=")</f>
        <v>#VALUE!</v>
      </c>
      <c r="GR86" t="e">
        <f>AND(medidas!AG196,"AAAAAH9X/8c=")</f>
        <v>#VALUE!</v>
      </c>
      <c r="GS86" t="e">
        <f>AND(medidas!AH196,"AAAAAH9X/8g=")</f>
        <v>#VALUE!</v>
      </c>
      <c r="GT86" t="e">
        <f>AND(medidas!AI196,"AAAAAH9X/8k=")</f>
        <v>#VALUE!</v>
      </c>
      <c r="GU86" t="e">
        <f>AND(medidas!AJ196,"AAAAAH9X/8o=")</f>
        <v>#VALUE!</v>
      </c>
      <c r="GV86" t="e">
        <f>AND(medidas!AK196,"AAAAAH9X/8s=")</f>
        <v>#VALUE!</v>
      </c>
      <c r="GW86" t="e">
        <f>AND(medidas!AL196,"AAAAAH9X/8w=")</f>
        <v>#VALUE!</v>
      </c>
      <c r="GX86" t="e">
        <f>AND(medidas!AM196,"AAAAAH9X/80=")</f>
        <v>#VALUE!</v>
      </c>
      <c r="GY86" t="e">
        <f>AND(medidas!AN196,"AAAAAH9X/84=")</f>
        <v>#VALUE!</v>
      </c>
      <c r="GZ86" t="e">
        <f>AND(medidas!AO196,"AAAAAH9X/88=")</f>
        <v>#VALUE!</v>
      </c>
      <c r="HA86" t="e">
        <f>AND(medidas!AP196,"AAAAAH9X/9A=")</f>
        <v>#VALUE!</v>
      </c>
      <c r="HB86" t="e">
        <f>AND(medidas!AQ196,"AAAAAH9X/9E=")</f>
        <v>#VALUE!</v>
      </c>
      <c r="HC86" t="e">
        <f>AND(medidas!AR196,"AAAAAH9X/9I=")</f>
        <v>#VALUE!</v>
      </c>
      <c r="HD86" t="e">
        <f>AND(medidas!AS196,"AAAAAH9X/9M=")</f>
        <v>#VALUE!</v>
      </c>
      <c r="HE86" t="e">
        <f>AND(medidas!AT196,"AAAAAH9X/9Q=")</f>
        <v>#VALUE!</v>
      </c>
      <c r="HF86" t="e">
        <f>AND(medidas!AU196,"AAAAAH9X/9U=")</f>
        <v>#VALUE!</v>
      </c>
      <c r="HG86" t="e">
        <f>AND(medidas!AV196,"AAAAAH9X/9Y=")</f>
        <v>#VALUE!</v>
      </c>
      <c r="HH86" t="e">
        <f>AND(medidas!AW196,"AAAAAH9X/9c=")</f>
        <v>#VALUE!</v>
      </c>
      <c r="HI86" t="e">
        <f>AND(medidas!AX196,"AAAAAH9X/9g=")</f>
        <v>#VALUE!</v>
      </c>
      <c r="HJ86" t="e">
        <f>AND(medidas!AY196,"AAAAAH9X/9k=")</f>
        <v>#VALUE!</v>
      </c>
      <c r="HK86" t="e">
        <f>AND(medidas!AZ196,"AAAAAH9X/9o=")</f>
        <v>#VALUE!</v>
      </c>
      <c r="HL86" t="e">
        <f>AND(medidas!BA196,"AAAAAH9X/9s=")</f>
        <v>#VALUE!</v>
      </c>
      <c r="HM86" t="e">
        <f>AND(medidas!BB196,"AAAAAH9X/9w=")</f>
        <v>#VALUE!</v>
      </c>
      <c r="HN86" t="e">
        <f>AND(medidas!BC196,"AAAAAH9X/90=")</f>
        <v>#VALUE!</v>
      </c>
      <c r="HO86" t="e">
        <f>AND(medidas!BD196,"AAAAAH9X/94=")</f>
        <v>#VALUE!</v>
      </c>
      <c r="HP86" t="e">
        <f>AND(medidas!BE196,"AAAAAH9X/98=")</f>
        <v>#VALUE!</v>
      </c>
      <c r="HQ86" t="e">
        <f>AND(medidas!BF196,"AAAAAH9X/+A=")</f>
        <v>#VALUE!</v>
      </c>
      <c r="HR86" t="e">
        <f>AND(medidas!BG196,"AAAAAH9X/+E=")</f>
        <v>#VALUE!</v>
      </c>
      <c r="HS86" t="e">
        <f>AND(medidas!BH196,"AAAAAH9X/+I=")</f>
        <v>#VALUE!</v>
      </c>
      <c r="HT86" t="e">
        <f>AND(medidas!BI196,"AAAAAH9X/+M=")</f>
        <v>#VALUE!</v>
      </c>
      <c r="HU86" t="e">
        <f>AND(medidas!BJ196,"AAAAAH9X/+Q=")</f>
        <v>#VALUE!</v>
      </c>
      <c r="HV86" t="e">
        <f>AND(medidas!BK196,"AAAAAH9X/+U=")</f>
        <v>#VALUE!</v>
      </c>
      <c r="HW86" t="e">
        <f>AND(medidas!BL196,"AAAAAH9X/+Y=")</f>
        <v>#VALUE!</v>
      </c>
      <c r="HX86" t="e">
        <f>AND(medidas!BM196,"AAAAAH9X/+c=")</f>
        <v>#VALUE!</v>
      </c>
      <c r="HY86" t="e">
        <f>AND(medidas!BN196,"AAAAAH9X/+g=")</f>
        <v>#VALUE!</v>
      </c>
      <c r="HZ86" t="e">
        <f>AND(medidas!BO196,"AAAAAH9X/+k=")</f>
        <v>#VALUE!</v>
      </c>
      <c r="IA86" t="e">
        <f>AND(medidas!BP196,"AAAAAH9X/+o=")</f>
        <v>#VALUE!</v>
      </c>
      <c r="IB86" t="e">
        <f>AND(medidas!BQ196,"AAAAAH9X/+s=")</f>
        <v>#VALUE!</v>
      </c>
      <c r="IC86" t="e">
        <f>AND(medidas!BR196,"AAAAAH9X/+w=")</f>
        <v>#VALUE!</v>
      </c>
      <c r="ID86" t="e">
        <f>AND(medidas!BS196,"AAAAAH9X/+0=")</f>
        <v>#VALUE!</v>
      </c>
      <c r="IE86" t="e">
        <f>AND(medidas!BT196,"AAAAAH9X/+4=")</f>
        <v>#VALUE!</v>
      </c>
      <c r="IF86" t="e">
        <f>AND(medidas!BU196,"AAAAAH9X/+8=")</f>
        <v>#VALUE!</v>
      </c>
      <c r="IG86" t="e">
        <f>AND(medidas!BV196,"AAAAAH9X//A=")</f>
        <v>#VALUE!</v>
      </c>
      <c r="IH86" t="e">
        <f>AND(medidas!BW196,"AAAAAH9X//E=")</f>
        <v>#VALUE!</v>
      </c>
      <c r="II86" t="e">
        <f>AND(medidas!BX196,"AAAAAH9X//I=")</f>
        <v>#VALUE!</v>
      </c>
      <c r="IJ86" t="e">
        <f>AND(medidas!BY196,"AAAAAH9X//M=")</f>
        <v>#VALUE!</v>
      </c>
      <c r="IK86">
        <f>IF(medidas!197:197,"AAAAAH9X//Q=",0)</f>
        <v>0</v>
      </c>
      <c r="IL86" t="e">
        <f>AND(medidas!B197,"AAAAAH9X//U=")</f>
        <v>#VALUE!</v>
      </c>
      <c r="IM86" t="e">
        <f>AND(medidas!C197,"AAAAAH9X//Y=")</f>
        <v>#VALUE!</v>
      </c>
      <c r="IN86" t="e">
        <f>AND(medidas!D197,"AAAAAH9X//c=")</f>
        <v>#VALUE!</v>
      </c>
      <c r="IO86" t="e">
        <f>AND(medidas!E197,"AAAAAH9X//g=")</f>
        <v>#VALUE!</v>
      </c>
      <c r="IP86" t="e">
        <f>AND(medidas!F197,"AAAAAH9X//k=")</f>
        <v>#VALUE!</v>
      </c>
      <c r="IQ86" t="e">
        <f>AND(medidas!G197,"AAAAAH9X//o=")</f>
        <v>#VALUE!</v>
      </c>
      <c r="IR86" t="e">
        <f>AND(medidas!H197,"AAAAAH9X//s=")</f>
        <v>#VALUE!</v>
      </c>
      <c r="IS86" t="e">
        <f>AND(medidas!I197,"AAAAAH9X//w=")</f>
        <v>#VALUE!</v>
      </c>
      <c r="IT86" t="e">
        <f>AND(medidas!J197,"AAAAAH9X//0=")</f>
        <v>#VALUE!</v>
      </c>
      <c r="IU86" t="e">
        <f>AND(medidas!K197,"AAAAAH9X//4=")</f>
        <v>#VALUE!</v>
      </c>
      <c r="IV86" t="e">
        <f>AND(medidas!L197,"AAAAAH9X//8=")</f>
        <v>#VALUE!</v>
      </c>
    </row>
    <row r="87" spans="1:256" x14ac:dyDescent="0.2">
      <c r="A87" t="e">
        <f>AND(medidas!M197,"AAAAAGz+mgA=")</f>
        <v>#VALUE!</v>
      </c>
      <c r="B87" t="e">
        <f>AND(medidas!N197,"AAAAAGz+mgE=")</f>
        <v>#VALUE!</v>
      </c>
      <c r="C87" t="e">
        <f>AND(medidas!O197,"AAAAAGz+mgI=")</f>
        <v>#VALUE!</v>
      </c>
      <c r="D87" t="e">
        <f>AND(medidas!P197,"AAAAAGz+mgM=")</f>
        <v>#VALUE!</v>
      </c>
      <c r="E87" t="e">
        <f>AND(medidas!Q197,"AAAAAGz+mgQ=")</f>
        <v>#VALUE!</v>
      </c>
      <c r="F87" t="e">
        <f>AND(medidas!R197,"AAAAAGz+mgU=")</f>
        <v>#VALUE!</v>
      </c>
      <c r="G87" t="e">
        <f>AND(medidas!S197,"AAAAAGz+mgY=")</f>
        <v>#VALUE!</v>
      </c>
      <c r="H87" t="e">
        <f>AND(medidas!T197,"AAAAAGz+mgc=")</f>
        <v>#VALUE!</v>
      </c>
      <c r="I87" t="e">
        <f>AND(medidas!U197,"AAAAAGz+mgg=")</f>
        <v>#VALUE!</v>
      </c>
      <c r="J87" t="e">
        <f>AND(medidas!V197,"AAAAAGz+mgk=")</f>
        <v>#VALUE!</v>
      </c>
      <c r="K87" t="e">
        <f>AND(medidas!W197,"AAAAAGz+mgo=")</f>
        <v>#VALUE!</v>
      </c>
      <c r="L87" t="e">
        <f>AND(medidas!X197,"AAAAAGz+mgs=")</f>
        <v>#VALUE!</v>
      </c>
      <c r="M87" t="e">
        <f>AND(medidas!Y197,"AAAAAGz+mgw=")</f>
        <v>#VALUE!</v>
      </c>
      <c r="N87" t="e">
        <f>AND(medidas!Z197,"AAAAAGz+mg0=")</f>
        <v>#VALUE!</v>
      </c>
      <c r="O87" t="e">
        <f>AND(medidas!AA197,"AAAAAGz+mg4=")</f>
        <v>#VALUE!</v>
      </c>
      <c r="P87" t="e">
        <f>AND(medidas!AB197,"AAAAAGz+mg8=")</f>
        <v>#VALUE!</v>
      </c>
      <c r="Q87" t="e">
        <f>AND(medidas!AC197,"AAAAAGz+mhA=")</f>
        <v>#VALUE!</v>
      </c>
      <c r="R87" t="e">
        <f>AND(medidas!AD197,"AAAAAGz+mhE=")</f>
        <v>#VALUE!</v>
      </c>
      <c r="S87" t="e">
        <f>AND(medidas!AE197,"AAAAAGz+mhI=")</f>
        <v>#VALUE!</v>
      </c>
      <c r="T87" t="e">
        <f>AND(medidas!AF197,"AAAAAGz+mhM=")</f>
        <v>#VALUE!</v>
      </c>
      <c r="U87" t="e">
        <f>AND(medidas!AG197,"AAAAAGz+mhQ=")</f>
        <v>#VALUE!</v>
      </c>
      <c r="V87" t="e">
        <f>AND(medidas!AH197,"AAAAAGz+mhU=")</f>
        <v>#VALUE!</v>
      </c>
      <c r="W87" t="e">
        <f>AND(medidas!AI197,"AAAAAGz+mhY=")</f>
        <v>#VALUE!</v>
      </c>
      <c r="X87" t="e">
        <f>AND(medidas!AJ197,"AAAAAGz+mhc=")</f>
        <v>#VALUE!</v>
      </c>
      <c r="Y87" t="e">
        <f>AND(medidas!AK197,"AAAAAGz+mhg=")</f>
        <v>#VALUE!</v>
      </c>
      <c r="Z87" t="e">
        <f>AND(medidas!AL197,"AAAAAGz+mhk=")</f>
        <v>#VALUE!</v>
      </c>
      <c r="AA87" t="e">
        <f>AND(medidas!AM197,"AAAAAGz+mho=")</f>
        <v>#VALUE!</v>
      </c>
      <c r="AB87" t="e">
        <f>AND(medidas!AN197,"AAAAAGz+mhs=")</f>
        <v>#VALUE!</v>
      </c>
      <c r="AC87" t="e">
        <f>AND(medidas!AO197,"AAAAAGz+mhw=")</f>
        <v>#VALUE!</v>
      </c>
      <c r="AD87" t="e">
        <f>AND(medidas!AP197,"AAAAAGz+mh0=")</f>
        <v>#VALUE!</v>
      </c>
      <c r="AE87" t="e">
        <f>AND(medidas!AQ197,"AAAAAGz+mh4=")</f>
        <v>#VALUE!</v>
      </c>
      <c r="AF87" t="e">
        <f>AND(medidas!AR197,"AAAAAGz+mh8=")</f>
        <v>#VALUE!</v>
      </c>
      <c r="AG87" t="e">
        <f>AND(medidas!AS197,"AAAAAGz+miA=")</f>
        <v>#VALUE!</v>
      </c>
      <c r="AH87" t="e">
        <f>AND(medidas!AT197,"AAAAAGz+miE=")</f>
        <v>#VALUE!</v>
      </c>
      <c r="AI87" t="e">
        <f>AND(medidas!AU197,"AAAAAGz+miI=")</f>
        <v>#VALUE!</v>
      </c>
      <c r="AJ87" t="e">
        <f>AND(medidas!AV197,"AAAAAGz+miM=")</f>
        <v>#VALUE!</v>
      </c>
      <c r="AK87" t="e">
        <f>AND(medidas!AW197,"AAAAAGz+miQ=")</f>
        <v>#VALUE!</v>
      </c>
      <c r="AL87" t="e">
        <f>AND(medidas!AX197,"AAAAAGz+miU=")</f>
        <v>#VALUE!</v>
      </c>
      <c r="AM87" t="e">
        <f>AND(medidas!AY197,"AAAAAGz+miY=")</f>
        <v>#VALUE!</v>
      </c>
      <c r="AN87" t="e">
        <f>AND(medidas!AZ197,"AAAAAGz+mic=")</f>
        <v>#VALUE!</v>
      </c>
      <c r="AO87" t="e">
        <f>AND(medidas!BA197,"AAAAAGz+mig=")</f>
        <v>#VALUE!</v>
      </c>
      <c r="AP87" t="e">
        <f>AND(medidas!BB197,"AAAAAGz+mik=")</f>
        <v>#VALUE!</v>
      </c>
      <c r="AQ87" t="e">
        <f>AND(medidas!BC197,"AAAAAGz+mio=")</f>
        <v>#VALUE!</v>
      </c>
      <c r="AR87" t="e">
        <f>AND(medidas!BD197,"AAAAAGz+mis=")</f>
        <v>#VALUE!</v>
      </c>
      <c r="AS87" t="e">
        <f>AND(medidas!BE197,"AAAAAGz+miw=")</f>
        <v>#VALUE!</v>
      </c>
      <c r="AT87" t="e">
        <f>AND(medidas!BF197,"AAAAAGz+mi0=")</f>
        <v>#VALUE!</v>
      </c>
      <c r="AU87" t="e">
        <f>AND(medidas!BG197,"AAAAAGz+mi4=")</f>
        <v>#VALUE!</v>
      </c>
      <c r="AV87" t="e">
        <f>AND(medidas!BH197,"AAAAAGz+mi8=")</f>
        <v>#VALUE!</v>
      </c>
      <c r="AW87" t="e">
        <f>AND(medidas!BI197,"AAAAAGz+mjA=")</f>
        <v>#VALUE!</v>
      </c>
      <c r="AX87" t="e">
        <f>AND(medidas!BJ197,"AAAAAGz+mjE=")</f>
        <v>#VALUE!</v>
      </c>
      <c r="AY87" t="e">
        <f>AND(medidas!BK197,"AAAAAGz+mjI=")</f>
        <v>#VALUE!</v>
      </c>
      <c r="AZ87" t="e">
        <f>AND(medidas!BL197,"AAAAAGz+mjM=")</f>
        <v>#VALUE!</v>
      </c>
      <c r="BA87" t="e">
        <f>AND(medidas!BM197,"AAAAAGz+mjQ=")</f>
        <v>#VALUE!</v>
      </c>
      <c r="BB87" t="e">
        <f>AND(medidas!BN197,"AAAAAGz+mjU=")</f>
        <v>#VALUE!</v>
      </c>
      <c r="BC87" t="e">
        <f>AND(medidas!BO197,"AAAAAGz+mjY=")</f>
        <v>#VALUE!</v>
      </c>
      <c r="BD87" t="e">
        <f>AND(medidas!BP197,"AAAAAGz+mjc=")</f>
        <v>#VALUE!</v>
      </c>
      <c r="BE87" t="e">
        <f>AND(medidas!BQ197,"AAAAAGz+mjg=")</f>
        <v>#VALUE!</v>
      </c>
      <c r="BF87" t="e">
        <f>AND(medidas!BR197,"AAAAAGz+mjk=")</f>
        <v>#VALUE!</v>
      </c>
      <c r="BG87" t="e">
        <f>AND(medidas!BS197,"AAAAAGz+mjo=")</f>
        <v>#VALUE!</v>
      </c>
      <c r="BH87" t="e">
        <f>AND(medidas!BT197,"AAAAAGz+mjs=")</f>
        <v>#VALUE!</v>
      </c>
      <c r="BI87" t="e">
        <f>AND(medidas!BU197,"AAAAAGz+mjw=")</f>
        <v>#VALUE!</v>
      </c>
      <c r="BJ87" t="e">
        <f>AND(medidas!BV197,"AAAAAGz+mj0=")</f>
        <v>#VALUE!</v>
      </c>
      <c r="BK87" t="e">
        <f>AND(medidas!BW197,"AAAAAGz+mj4=")</f>
        <v>#VALUE!</v>
      </c>
      <c r="BL87" t="e">
        <f>AND(medidas!BX197,"AAAAAGz+mj8=")</f>
        <v>#VALUE!</v>
      </c>
      <c r="BM87" t="e">
        <f>AND(medidas!BY197,"AAAAAGz+mkA=")</f>
        <v>#VALUE!</v>
      </c>
      <c r="BN87">
        <f>IF(medidas!198:198,"AAAAAGz+mkE=",0)</f>
        <v>0</v>
      </c>
      <c r="BO87" t="e">
        <f>AND(medidas!B198,"AAAAAGz+mkI=")</f>
        <v>#VALUE!</v>
      </c>
      <c r="BP87" t="e">
        <f>AND(medidas!C198,"AAAAAGz+mkM=")</f>
        <v>#VALUE!</v>
      </c>
      <c r="BQ87" t="e">
        <f>AND(medidas!D198,"AAAAAGz+mkQ=")</f>
        <v>#VALUE!</v>
      </c>
      <c r="BR87" t="e">
        <f>AND(medidas!E198,"AAAAAGz+mkU=")</f>
        <v>#VALUE!</v>
      </c>
      <c r="BS87" t="e">
        <f>AND(medidas!F198,"AAAAAGz+mkY=")</f>
        <v>#VALUE!</v>
      </c>
      <c r="BT87" t="e">
        <f>AND(medidas!G198,"AAAAAGz+mkc=")</f>
        <v>#VALUE!</v>
      </c>
      <c r="BU87" t="e">
        <f>AND(medidas!H198,"AAAAAGz+mkg=")</f>
        <v>#VALUE!</v>
      </c>
      <c r="BV87" t="e">
        <f>AND(medidas!I198,"AAAAAGz+mkk=")</f>
        <v>#VALUE!</v>
      </c>
      <c r="BW87" t="e">
        <f>AND(medidas!J198,"AAAAAGz+mko=")</f>
        <v>#VALUE!</v>
      </c>
      <c r="BX87" t="e">
        <f>AND(medidas!K198,"AAAAAGz+mks=")</f>
        <v>#VALUE!</v>
      </c>
      <c r="BY87" t="e">
        <f>AND(medidas!L198,"AAAAAGz+mkw=")</f>
        <v>#VALUE!</v>
      </c>
      <c r="BZ87" t="e">
        <f>AND(medidas!M198,"AAAAAGz+mk0=")</f>
        <v>#VALUE!</v>
      </c>
      <c r="CA87" t="e">
        <f>AND(medidas!N198,"AAAAAGz+mk4=")</f>
        <v>#VALUE!</v>
      </c>
      <c r="CB87" t="e">
        <f>AND(medidas!O198,"AAAAAGz+mk8=")</f>
        <v>#VALUE!</v>
      </c>
      <c r="CC87" t="e">
        <f>AND(medidas!P198,"AAAAAGz+mlA=")</f>
        <v>#VALUE!</v>
      </c>
      <c r="CD87" t="e">
        <f>AND(medidas!Q198,"AAAAAGz+mlE=")</f>
        <v>#VALUE!</v>
      </c>
      <c r="CE87" t="e">
        <f>AND(medidas!R198,"AAAAAGz+mlI=")</f>
        <v>#VALUE!</v>
      </c>
      <c r="CF87" t="e">
        <f>AND(medidas!S198,"AAAAAGz+mlM=")</f>
        <v>#VALUE!</v>
      </c>
      <c r="CG87" t="e">
        <f>AND(medidas!T198,"AAAAAGz+mlQ=")</f>
        <v>#VALUE!</v>
      </c>
      <c r="CH87" t="e">
        <f>AND(medidas!U198,"AAAAAGz+mlU=")</f>
        <v>#VALUE!</v>
      </c>
      <c r="CI87" t="e">
        <f>AND(medidas!V198,"AAAAAGz+mlY=")</f>
        <v>#VALUE!</v>
      </c>
      <c r="CJ87" t="e">
        <f>AND(medidas!W198,"AAAAAGz+mlc=")</f>
        <v>#VALUE!</v>
      </c>
      <c r="CK87" t="e">
        <f>AND(medidas!X198,"AAAAAGz+mlg=")</f>
        <v>#VALUE!</v>
      </c>
      <c r="CL87" t="e">
        <f>AND(medidas!Y198,"AAAAAGz+mlk=")</f>
        <v>#VALUE!</v>
      </c>
      <c r="CM87" t="e">
        <f>AND(medidas!Z198,"AAAAAGz+mlo=")</f>
        <v>#VALUE!</v>
      </c>
      <c r="CN87" t="e">
        <f>AND(medidas!AA198,"AAAAAGz+mls=")</f>
        <v>#VALUE!</v>
      </c>
      <c r="CO87" t="e">
        <f>AND(medidas!AB198,"AAAAAGz+mlw=")</f>
        <v>#VALUE!</v>
      </c>
      <c r="CP87" t="e">
        <f>AND(medidas!AC198,"AAAAAGz+ml0=")</f>
        <v>#VALUE!</v>
      </c>
      <c r="CQ87" t="e">
        <f>AND(medidas!AD198,"AAAAAGz+ml4=")</f>
        <v>#VALUE!</v>
      </c>
      <c r="CR87" t="e">
        <f>AND(medidas!AE198,"AAAAAGz+ml8=")</f>
        <v>#VALUE!</v>
      </c>
      <c r="CS87" t="e">
        <f>AND(medidas!AF198,"AAAAAGz+mmA=")</f>
        <v>#VALUE!</v>
      </c>
      <c r="CT87" t="e">
        <f>AND(medidas!AG198,"AAAAAGz+mmE=")</f>
        <v>#VALUE!</v>
      </c>
      <c r="CU87" t="e">
        <f>AND(medidas!AH198,"AAAAAGz+mmI=")</f>
        <v>#VALUE!</v>
      </c>
      <c r="CV87" t="e">
        <f>AND(medidas!AI198,"AAAAAGz+mmM=")</f>
        <v>#VALUE!</v>
      </c>
      <c r="CW87" t="e">
        <f>AND(medidas!AJ198,"AAAAAGz+mmQ=")</f>
        <v>#VALUE!</v>
      </c>
      <c r="CX87" t="e">
        <f>AND(medidas!AK198,"AAAAAGz+mmU=")</f>
        <v>#VALUE!</v>
      </c>
      <c r="CY87" t="e">
        <f>AND(medidas!AL198,"AAAAAGz+mmY=")</f>
        <v>#VALUE!</v>
      </c>
      <c r="CZ87" t="e">
        <f>AND(medidas!AM198,"AAAAAGz+mmc=")</f>
        <v>#VALUE!</v>
      </c>
      <c r="DA87" t="e">
        <f>AND(medidas!AN198,"AAAAAGz+mmg=")</f>
        <v>#VALUE!</v>
      </c>
      <c r="DB87" t="e">
        <f>AND(medidas!AO198,"AAAAAGz+mmk=")</f>
        <v>#VALUE!</v>
      </c>
      <c r="DC87" t="e">
        <f>AND(medidas!AP198,"AAAAAGz+mmo=")</f>
        <v>#VALUE!</v>
      </c>
      <c r="DD87" t="e">
        <f>AND(medidas!AQ198,"AAAAAGz+mms=")</f>
        <v>#VALUE!</v>
      </c>
      <c r="DE87" t="e">
        <f>AND(medidas!AR198,"AAAAAGz+mmw=")</f>
        <v>#VALUE!</v>
      </c>
      <c r="DF87" t="e">
        <f>AND(medidas!AS198,"AAAAAGz+mm0=")</f>
        <v>#VALUE!</v>
      </c>
      <c r="DG87" t="e">
        <f>AND(medidas!AT198,"AAAAAGz+mm4=")</f>
        <v>#VALUE!</v>
      </c>
      <c r="DH87" t="e">
        <f>AND(medidas!AU198,"AAAAAGz+mm8=")</f>
        <v>#VALUE!</v>
      </c>
      <c r="DI87" t="e">
        <f>AND(medidas!AV198,"AAAAAGz+mnA=")</f>
        <v>#VALUE!</v>
      </c>
      <c r="DJ87" t="e">
        <f>AND(medidas!AW198,"AAAAAGz+mnE=")</f>
        <v>#VALUE!</v>
      </c>
      <c r="DK87" t="e">
        <f>AND(medidas!AX198,"AAAAAGz+mnI=")</f>
        <v>#VALUE!</v>
      </c>
      <c r="DL87" t="e">
        <f>AND(medidas!AY198,"AAAAAGz+mnM=")</f>
        <v>#VALUE!</v>
      </c>
      <c r="DM87" t="e">
        <f>AND(medidas!AZ198,"AAAAAGz+mnQ=")</f>
        <v>#VALUE!</v>
      </c>
      <c r="DN87" t="e">
        <f>AND(medidas!BA198,"AAAAAGz+mnU=")</f>
        <v>#VALUE!</v>
      </c>
      <c r="DO87" t="e">
        <f>AND(medidas!BB198,"AAAAAGz+mnY=")</f>
        <v>#VALUE!</v>
      </c>
      <c r="DP87" t="e">
        <f>AND(medidas!BC198,"AAAAAGz+mnc=")</f>
        <v>#VALUE!</v>
      </c>
      <c r="DQ87" t="e">
        <f>AND(medidas!BD198,"AAAAAGz+mng=")</f>
        <v>#VALUE!</v>
      </c>
      <c r="DR87" t="e">
        <f>AND(medidas!BE198,"AAAAAGz+mnk=")</f>
        <v>#VALUE!</v>
      </c>
      <c r="DS87" t="e">
        <f>AND(medidas!BF198,"AAAAAGz+mno=")</f>
        <v>#VALUE!</v>
      </c>
      <c r="DT87" t="e">
        <f>AND(medidas!BG198,"AAAAAGz+mns=")</f>
        <v>#VALUE!</v>
      </c>
      <c r="DU87" t="e">
        <f>AND(medidas!BH198,"AAAAAGz+mnw=")</f>
        <v>#VALUE!</v>
      </c>
      <c r="DV87" t="e">
        <f>AND(medidas!BI198,"AAAAAGz+mn0=")</f>
        <v>#VALUE!</v>
      </c>
      <c r="DW87" t="e">
        <f>AND(medidas!BJ198,"AAAAAGz+mn4=")</f>
        <v>#VALUE!</v>
      </c>
      <c r="DX87" t="e">
        <f>AND(medidas!BK198,"AAAAAGz+mn8=")</f>
        <v>#VALUE!</v>
      </c>
      <c r="DY87" t="e">
        <f>AND(medidas!BL198,"AAAAAGz+moA=")</f>
        <v>#VALUE!</v>
      </c>
      <c r="DZ87" t="e">
        <f>AND(medidas!BM198,"AAAAAGz+moE=")</f>
        <v>#VALUE!</v>
      </c>
      <c r="EA87" t="e">
        <f>AND(medidas!BN198,"AAAAAGz+moI=")</f>
        <v>#VALUE!</v>
      </c>
      <c r="EB87" t="e">
        <f>AND(medidas!BO198,"AAAAAGz+moM=")</f>
        <v>#VALUE!</v>
      </c>
      <c r="EC87" t="e">
        <f>AND(medidas!BP198,"AAAAAGz+moQ=")</f>
        <v>#VALUE!</v>
      </c>
      <c r="ED87" t="e">
        <f>AND(medidas!BQ198,"AAAAAGz+moU=")</f>
        <v>#VALUE!</v>
      </c>
      <c r="EE87" t="e">
        <f>AND(medidas!BR198,"AAAAAGz+moY=")</f>
        <v>#VALUE!</v>
      </c>
      <c r="EF87" t="e">
        <f>AND(medidas!BS198,"AAAAAGz+moc=")</f>
        <v>#VALUE!</v>
      </c>
      <c r="EG87" t="e">
        <f>AND(medidas!BT198,"AAAAAGz+mog=")</f>
        <v>#VALUE!</v>
      </c>
      <c r="EH87" t="e">
        <f>AND(medidas!BU198,"AAAAAGz+mok=")</f>
        <v>#VALUE!</v>
      </c>
      <c r="EI87" t="e">
        <f>AND(medidas!BV198,"AAAAAGz+moo=")</f>
        <v>#VALUE!</v>
      </c>
      <c r="EJ87" t="e">
        <f>AND(medidas!BW198,"AAAAAGz+mos=")</f>
        <v>#VALUE!</v>
      </c>
      <c r="EK87" t="e">
        <f>AND(medidas!BX198,"AAAAAGz+mow=")</f>
        <v>#VALUE!</v>
      </c>
      <c r="EL87" t="e">
        <f>AND(medidas!BY198,"AAAAAGz+mo0=")</f>
        <v>#VALUE!</v>
      </c>
      <c r="EM87">
        <f>IF(medidas!199:199,"AAAAAGz+mo4=",0)</f>
        <v>0</v>
      </c>
      <c r="EN87" t="e">
        <f>AND(medidas!B199,"AAAAAGz+mo8=")</f>
        <v>#VALUE!</v>
      </c>
      <c r="EO87" t="e">
        <f>AND(medidas!C199,"AAAAAGz+mpA=")</f>
        <v>#VALUE!</v>
      </c>
      <c r="EP87" t="e">
        <f>AND(medidas!D199,"AAAAAGz+mpE=")</f>
        <v>#VALUE!</v>
      </c>
      <c r="EQ87" t="e">
        <f>AND(medidas!E199,"AAAAAGz+mpI=")</f>
        <v>#VALUE!</v>
      </c>
      <c r="ER87" t="e">
        <f>AND(medidas!F199,"AAAAAGz+mpM=")</f>
        <v>#VALUE!</v>
      </c>
      <c r="ES87" t="e">
        <f>AND(medidas!G199,"AAAAAGz+mpQ=")</f>
        <v>#VALUE!</v>
      </c>
      <c r="ET87" t="e">
        <f>AND(medidas!H199,"AAAAAGz+mpU=")</f>
        <v>#VALUE!</v>
      </c>
      <c r="EU87" t="e">
        <f>AND(medidas!I199,"AAAAAGz+mpY=")</f>
        <v>#VALUE!</v>
      </c>
      <c r="EV87" t="e">
        <f>AND(medidas!J199,"AAAAAGz+mpc=")</f>
        <v>#VALUE!</v>
      </c>
      <c r="EW87" t="e">
        <f>AND(medidas!K199,"AAAAAGz+mpg=")</f>
        <v>#VALUE!</v>
      </c>
      <c r="EX87" t="e">
        <f>AND(medidas!L199,"AAAAAGz+mpk=")</f>
        <v>#VALUE!</v>
      </c>
      <c r="EY87" t="e">
        <f>AND(medidas!M199,"AAAAAGz+mpo=")</f>
        <v>#VALUE!</v>
      </c>
      <c r="EZ87" t="e">
        <f>AND(medidas!N199,"AAAAAGz+mps=")</f>
        <v>#VALUE!</v>
      </c>
      <c r="FA87" t="e">
        <f>AND(medidas!O199,"AAAAAGz+mpw=")</f>
        <v>#VALUE!</v>
      </c>
      <c r="FB87" t="e">
        <f>AND(medidas!P199,"AAAAAGz+mp0=")</f>
        <v>#VALUE!</v>
      </c>
      <c r="FC87" t="e">
        <f>AND(medidas!Q199,"AAAAAGz+mp4=")</f>
        <v>#VALUE!</v>
      </c>
      <c r="FD87" t="e">
        <f>AND(medidas!R199,"AAAAAGz+mp8=")</f>
        <v>#VALUE!</v>
      </c>
      <c r="FE87" t="e">
        <f>AND(medidas!S199,"AAAAAGz+mqA=")</f>
        <v>#VALUE!</v>
      </c>
      <c r="FF87" t="e">
        <f>AND(medidas!T199,"AAAAAGz+mqE=")</f>
        <v>#VALUE!</v>
      </c>
      <c r="FG87" t="e">
        <f>AND(medidas!U199,"AAAAAGz+mqI=")</f>
        <v>#VALUE!</v>
      </c>
      <c r="FH87" t="e">
        <f>AND(medidas!V199,"AAAAAGz+mqM=")</f>
        <v>#VALUE!</v>
      </c>
      <c r="FI87" t="e">
        <f>AND(medidas!W199,"AAAAAGz+mqQ=")</f>
        <v>#VALUE!</v>
      </c>
      <c r="FJ87" t="e">
        <f>AND(medidas!X199,"AAAAAGz+mqU=")</f>
        <v>#VALUE!</v>
      </c>
      <c r="FK87" t="e">
        <f>AND(medidas!Y199,"AAAAAGz+mqY=")</f>
        <v>#VALUE!</v>
      </c>
      <c r="FL87" t="e">
        <f>AND(medidas!Z199,"AAAAAGz+mqc=")</f>
        <v>#VALUE!</v>
      </c>
      <c r="FM87" t="e">
        <f>AND(medidas!AA199,"AAAAAGz+mqg=")</f>
        <v>#VALUE!</v>
      </c>
      <c r="FN87" t="e">
        <f>AND(medidas!AB199,"AAAAAGz+mqk=")</f>
        <v>#VALUE!</v>
      </c>
      <c r="FO87" t="e">
        <f>AND(medidas!AC199,"AAAAAGz+mqo=")</f>
        <v>#VALUE!</v>
      </c>
      <c r="FP87" t="e">
        <f>AND(medidas!AD199,"AAAAAGz+mqs=")</f>
        <v>#VALUE!</v>
      </c>
      <c r="FQ87" t="e">
        <f>AND(medidas!AE199,"AAAAAGz+mqw=")</f>
        <v>#VALUE!</v>
      </c>
      <c r="FR87" t="e">
        <f>AND(medidas!AF199,"AAAAAGz+mq0=")</f>
        <v>#VALUE!</v>
      </c>
      <c r="FS87" t="e">
        <f>AND(medidas!AG199,"AAAAAGz+mq4=")</f>
        <v>#VALUE!</v>
      </c>
      <c r="FT87" t="e">
        <f>AND(medidas!AH199,"AAAAAGz+mq8=")</f>
        <v>#VALUE!</v>
      </c>
      <c r="FU87" t="e">
        <f>AND(medidas!AI199,"AAAAAGz+mrA=")</f>
        <v>#VALUE!</v>
      </c>
      <c r="FV87" t="e">
        <f>AND(medidas!AJ199,"AAAAAGz+mrE=")</f>
        <v>#VALUE!</v>
      </c>
      <c r="FW87" t="e">
        <f>AND(medidas!AK199,"AAAAAGz+mrI=")</f>
        <v>#VALUE!</v>
      </c>
      <c r="FX87" t="e">
        <f>AND(medidas!AL199,"AAAAAGz+mrM=")</f>
        <v>#VALUE!</v>
      </c>
      <c r="FY87" t="e">
        <f>AND(medidas!AM199,"AAAAAGz+mrQ=")</f>
        <v>#VALUE!</v>
      </c>
      <c r="FZ87" t="e">
        <f>AND(medidas!AN199,"AAAAAGz+mrU=")</f>
        <v>#VALUE!</v>
      </c>
      <c r="GA87" t="e">
        <f>AND(medidas!AO199,"AAAAAGz+mrY=")</f>
        <v>#VALUE!</v>
      </c>
      <c r="GB87" t="e">
        <f>AND(medidas!AP199,"AAAAAGz+mrc=")</f>
        <v>#VALUE!</v>
      </c>
      <c r="GC87" t="e">
        <f>AND(medidas!AQ199,"AAAAAGz+mrg=")</f>
        <v>#VALUE!</v>
      </c>
      <c r="GD87" t="e">
        <f>AND(medidas!AR199,"AAAAAGz+mrk=")</f>
        <v>#VALUE!</v>
      </c>
      <c r="GE87" t="e">
        <f>AND(medidas!AS199,"AAAAAGz+mro=")</f>
        <v>#VALUE!</v>
      </c>
      <c r="GF87" t="e">
        <f>AND(medidas!AT199,"AAAAAGz+mrs=")</f>
        <v>#VALUE!</v>
      </c>
      <c r="GG87" t="e">
        <f>AND(medidas!AU199,"AAAAAGz+mrw=")</f>
        <v>#VALUE!</v>
      </c>
      <c r="GH87" t="e">
        <f>AND(medidas!AV199,"AAAAAGz+mr0=")</f>
        <v>#VALUE!</v>
      </c>
      <c r="GI87" t="e">
        <f>AND(medidas!AW199,"AAAAAGz+mr4=")</f>
        <v>#VALUE!</v>
      </c>
      <c r="GJ87" t="e">
        <f>AND(medidas!AX199,"AAAAAGz+mr8=")</f>
        <v>#VALUE!</v>
      </c>
      <c r="GK87" t="e">
        <f>AND(medidas!AY199,"AAAAAGz+msA=")</f>
        <v>#VALUE!</v>
      </c>
      <c r="GL87" t="e">
        <f>AND(medidas!AZ199,"AAAAAGz+msE=")</f>
        <v>#VALUE!</v>
      </c>
      <c r="GM87" t="e">
        <f>AND(medidas!BA199,"AAAAAGz+msI=")</f>
        <v>#VALUE!</v>
      </c>
      <c r="GN87" t="e">
        <f>AND(medidas!BB199,"AAAAAGz+msM=")</f>
        <v>#VALUE!</v>
      </c>
      <c r="GO87" t="e">
        <f>AND(medidas!BC199,"AAAAAGz+msQ=")</f>
        <v>#VALUE!</v>
      </c>
      <c r="GP87" t="e">
        <f>AND(medidas!BD199,"AAAAAGz+msU=")</f>
        <v>#VALUE!</v>
      </c>
      <c r="GQ87" t="e">
        <f>AND(medidas!BE199,"AAAAAGz+msY=")</f>
        <v>#VALUE!</v>
      </c>
      <c r="GR87" t="e">
        <f>AND(medidas!BF199,"AAAAAGz+msc=")</f>
        <v>#VALUE!</v>
      </c>
      <c r="GS87" t="e">
        <f>AND(medidas!BG199,"AAAAAGz+msg=")</f>
        <v>#VALUE!</v>
      </c>
      <c r="GT87" t="e">
        <f>AND(medidas!BH199,"AAAAAGz+msk=")</f>
        <v>#VALUE!</v>
      </c>
      <c r="GU87" t="e">
        <f>AND(medidas!BI199,"AAAAAGz+mso=")</f>
        <v>#VALUE!</v>
      </c>
      <c r="GV87" t="e">
        <f>AND(medidas!BJ199,"AAAAAGz+mss=")</f>
        <v>#VALUE!</v>
      </c>
      <c r="GW87" t="e">
        <f>AND(medidas!BK199,"AAAAAGz+msw=")</f>
        <v>#VALUE!</v>
      </c>
      <c r="GX87" t="e">
        <f>AND(medidas!BL199,"AAAAAGz+ms0=")</f>
        <v>#VALUE!</v>
      </c>
      <c r="GY87" t="e">
        <f>AND(medidas!BM199,"AAAAAGz+ms4=")</f>
        <v>#VALUE!</v>
      </c>
      <c r="GZ87" t="e">
        <f>AND(medidas!BN199,"AAAAAGz+ms8=")</f>
        <v>#VALUE!</v>
      </c>
      <c r="HA87" t="e">
        <f>AND(medidas!BO199,"AAAAAGz+mtA=")</f>
        <v>#VALUE!</v>
      </c>
      <c r="HB87" t="e">
        <f>AND(medidas!BP199,"AAAAAGz+mtE=")</f>
        <v>#VALUE!</v>
      </c>
      <c r="HC87" t="e">
        <f>AND(medidas!BQ199,"AAAAAGz+mtI=")</f>
        <v>#VALUE!</v>
      </c>
      <c r="HD87" t="e">
        <f>AND(medidas!BR199,"AAAAAGz+mtM=")</f>
        <v>#VALUE!</v>
      </c>
      <c r="HE87" t="e">
        <f>AND(medidas!BS199,"AAAAAGz+mtQ=")</f>
        <v>#VALUE!</v>
      </c>
      <c r="HF87" t="e">
        <f>AND(medidas!BT199,"AAAAAGz+mtU=")</f>
        <v>#VALUE!</v>
      </c>
      <c r="HG87" t="e">
        <f>AND(medidas!BU199,"AAAAAGz+mtY=")</f>
        <v>#VALUE!</v>
      </c>
      <c r="HH87" t="e">
        <f>AND(medidas!BV199,"AAAAAGz+mtc=")</f>
        <v>#VALUE!</v>
      </c>
      <c r="HI87" t="e">
        <f>AND(medidas!BW199,"AAAAAGz+mtg=")</f>
        <v>#VALUE!</v>
      </c>
      <c r="HJ87" t="e">
        <f>AND(medidas!BX199,"AAAAAGz+mtk=")</f>
        <v>#VALUE!</v>
      </c>
      <c r="HK87" t="e">
        <f>AND(medidas!BY199,"AAAAAGz+mto=")</f>
        <v>#VALUE!</v>
      </c>
      <c r="HL87">
        <f>IF(medidas!200:200,"AAAAAGz+mts=",0)</f>
        <v>0</v>
      </c>
      <c r="HM87" t="e">
        <f>AND(medidas!B200,"AAAAAGz+mtw=")</f>
        <v>#VALUE!</v>
      </c>
      <c r="HN87" t="e">
        <f>AND(medidas!C200,"AAAAAGz+mt0=")</f>
        <v>#VALUE!</v>
      </c>
      <c r="HO87" t="e">
        <f>AND(medidas!D200,"AAAAAGz+mt4=")</f>
        <v>#VALUE!</v>
      </c>
      <c r="HP87" t="e">
        <f>AND(medidas!E200,"AAAAAGz+mt8=")</f>
        <v>#VALUE!</v>
      </c>
      <c r="HQ87" t="e">
        <f>AND(medidas!F200,"AAAAAGz+muA=")</f>
        <v>#VALUE!</v>
      </c>
      <c r="HR87" t="e">
        <f>AND(medidas!G200,"AAAAAGz+muE=")</f>
        <v>#VALUE!</v>
      </c>
      <c r="HS87" t="e">
        <f>AND(medidas!H200,"AAAAAGz+muI=")</f>
        <v>#VALUE!</v>
      </c>
      <c r="HT87" t="e">
        <f>AND(medidas!I200,"AAAAAGz+muM=")</f>
        <v>#VALUE!</v>
      </c>
      <c r="HU87" t="e">
        <f>AND(medidas!J200,"AAAAAGz+muQ=")</f>
        <v>#VALUE!</v>
      </c>
      <c r="HV87" t="e">
        <f>AND(medidas!K200,"AAAAAGz+muU=")</f>
        <v>#VALUE!</v>
      </c>
      <c r="HW87" t="e">
        <f>AND(medidas!L200,"AAAAAGz+muY=")</f>
        <v>#VALUE!</v>
      </c>
      <c r="HX87" t="e">
        <f>AND(medidas!M200,"AAAAAGz+muc=")</f>
        <v>#VALUE!</v>
      </c>
      <c r="HY87" t="e">
        <f>AND(medidas!N200,"AAAAAGz+mug=")</f>
        <v>#VALUE!</v>
      </c>
      <c r="HZ87" t="e">
        <f>AND(medidas!O200,"AAAAAGz+muk=")</f>
        <v>#VALUE!</v>
      </c>
      <c r="IA87" t="e">
        <f>AND(medidas!P200,"AAAAAGz+muo=")</f>
        <v>#VALUE!</v>
      </c>
      <c r="IB87" t="e">
        <f>AND(medidas!Q200,"AAAAAGz+mus=")</f>
        <v>#VALUE!</v>
      </c>
      <c r="IC87" t="e">
        <f>AND(medidas!R200,"AAAAAGz+muw=")</f>
        <v>#VALUE!</v>
      </c>
      <c r="ID87" t="e">
        <f>AND(medidas!S200,"AAAAAGz+mu0=")</f>
        <v>#VALUE!</v>
      </c>
      <c r="IE87" t="e">
        <f>AND(medidas!T200,"AAAAAGz+mu4=")</f>
        <v>#VALUE!</v>
      </c>
      <c r="IF87" t="e">
        <f>AND(medidas!U200,"AAAAAGz+mu8=")</f>
        <v>#VALUE!</v>
      </c>
      <c r="IG87" t="e">
        <f>AND(medidas!V200,"AAAAAGz+mvA=")</f>
        <v>#VALUE!</v>
      </c>
      <c r="IH87" t="e">
        <f>AND(medidas!W200,"AAAAAGz+mvE=")</f>
        <v>#VALUE!</v>
      </c>
      <c r="II87" t="e">
        <f>AND(medidas!X200,"AAAAAGz+mvI=")</f>
        <v>#VALUE!</v>
      </c>
      <c r="IJ87" t="e">
        <f>AND(medidas!Y200,"AAAAAGz+mvM=")</f>
        <v>#VALUE!</v>
      </c>
      <c r="IK87" t="e">
        <f>AND(medidas!Z200,"AAAAAGz+mvQ=")</f>
        <v>#VALUE!</v>
      </c>
      <c r="IL87" t="e">
        <f>AND(medidas!AA200,"AAAAAGz+mvU=")</f>
        <v>#VALUE!</v>
      </c>
      <c r="IM87" t="e">
        <f>AND(medidas!AB200,"AAAAAGz+mvY=")</f>
        <v>#VALUE!</v>
      </c>
      <c r="IN87" t="e">
        <f>AND(medidas!AC200,"AAAAAGz+mvc=")</f>
        <v>#VALUE!</v>
      </c>
      <c r="IO87" t="e">
        <f>AND(medidas!AD200,"AAAAAGz+mvg=")</f>
        <v>#VALUE!</v>
      </c>
      <c r="IP87" t="e">
        <f>AND(medidas!AE200,"AAAAAGz+mvk=")</f>
        <v>#VALUE!</v>
      </c>
      <c r="IQ87" t="e">
        <f>AND(medidas!AF200,"AAAAAGz+mvo=")</f>
        <v>#VALUE!</v>
      </c>
      <c r="IR87" t="e">
        <f>AND(medidas!AG200,"AAAAAGz+mvs=")</f>
        <v>#VALUE!</v>
      </c>
      <c r="IS87" t="e">
        <f>AND(medidas!AH200,"AAAAAGz+mvw=")</f>
        <v>#VALUE!</v>
      </c>
      <c r="IT87" t="e">
        <f>AND(medidas!AI200,"AAAAAGz+mv0=")</f>
        <v>#VALUE!</v>
      </c>
      <c r="IU87" t="e">
        <f>AND(medidas!AJ200,"AAAAAGz+mv4=")</f>
        <v>#VALUE!</v>
      </c>
      <c r="IV87" t="e">
        <f>AND(medidas!AK200,"AAAAAGz+mv8=")</f>
        <v>#VALUE!</v>
      </c>
    </row>
    <row r="88" spans="1:256" x14ac:dyDescent="0.2">
      <c r="A88" t="e">
        <f>AND(medidas!AL200,"AAAAAH761wA=")</f>
        <v>#VALUE!</v>
      </c>
      <c r="B88" t="e">
        <f>AND(medidas!AM200,"AAAAAH761wE=")</f>
        <v>#VALUE!</v>
      </c>
      <c r="C88" t="e">
        <f>AND(medidas!AN200,"AAAAAH761wI=")</f>
        <v>#VALUE!</v>
      </c>
      <c r="D88" t="e">
        <f>AND(medidas!AO200,"AAAAAH761wM=")</f>
        <v>#VALUE!</v>
      </c>
      <c r="E88" t="e">
        <f>AND(medidas!AP200,"AAAAAH761wQ=")</f>
        <v>#VALUE!</v>
      </c>
      <c r="F88" t="e">
        <f>AND(medidas!AQ200,"AAAAAH761wU=")</f>
        <v>#VALUE!</v>
      </c>
      <c r="G88" t="e">
        <f>AND(medidas!AR200,"AAAAAH761wY=")</f>
        <v>#VALUE!</v>
      </c>
      <c r="H88" t="e">
        <f>AND(medidas!AS200,"AAAAAH761wc=")</f>
        <v>#VALUE!</v>
      </c>
      <c r="I88" t="e">
        <f>AND(medidas!AT200,"AAAAAH761wg=")</f>
        <v>#VALUE!</v>
      </c>
      <c r="J88" t="e">
        <f>AND(medidas!AU200,"AAAAAH761wk=")</f>
        <v>#VALUE!</v>
      </c>
      <c r="K88" t="e">
        <f>AND(medidas!AV200,"AAAAAH761wo=")</f>
        <v>#VALUE!</v>
      </c>
      <c r="L88" t="e">
        <f>AND(medidas!AW200,"AAAAAH761ws=")</f>
        <v>#VALUE!</v>
      </c>
      <c r="M88" t="e">
        <f>AND(medidas!AX200,"AAAAAH761ww=")</f>
        <v>#VALUE!</v>
      </c>
      <c r="N88" t="e">
        <f>AND(medidas!AY200,"AAAAAH761w0=")</f>
        <v>#VALUE!</v>
      </c>
      <c r="O88" t="e">
        <f>AND(medidas!AZ200,"AAAAAH761w4=")</f>
        <v>#VALUE!</v>
      </c>
      <c r="P88" t="e">
        <f>AND(medidas!BA200,"AAAAAH761w8=")</f>
        <v>#VALUE!</v>
      </c>
      <c r="Q88" t="e">
        <f>AND(medidas!BB200,"AAAAAH761xA=")</f>
        <v>#VALUE!</v>
      </c>
      <c r="R88" t="e">
        <f>AND(medidas!BC200,"AAAAAH761xE=")</f>
        <v>#VALUE!</v>
      </c>
      <c r="S88" t="e">
        <f>AND(medidas!BD200,"AAAAAH761xI=")</f>
        <v>#VALUE!</v>
      </c>
      <c r="T88" t="e">
        <f>AND(medidas!BE200,"AAAAAH761xM=")</f>
        <v>#VALUE!</v>
      </c>
      <c r="U88" t="e">
        <f>AND(medidas!BF200,"AAAAAH761xQ=")</f>
        <v>#VALUE!</v>
      </c>
      <c r="V88" t="e">
        <f>AND(medidas!BG200,"AAAAAH761xU=")</f>
        <v>#VALUE!</v>
      </c>
      <c r="W88" t="e">
        <f>AND(medidas!BH200,"AAAAAH761xY=")</f>
        <v>#VALUE!</v>
      </c>
      <c r="X88" t="e">
        <f>AND(medidas!BI200,"AAAAAH761xc=")</f>
        <v>#VALUE!</v>
      </c>
      <c r="Y88" t="e">
        <f>AND(medidas!BJ200,"AAAAAH761xg=")</f>
        <v>#VALUE!</v>
      </c>
      <c r="Z88" t="e">
        <f>AND(medidas!BK200,"AAAAAH761xk=")</f>
        <v>#VALUE!</v>
      </c>
      <c r="AA88" t="e">
        <f>AND(medidas!BL200,"AAAAAH761xo=")</f>
        <v>#VALUE!</v>
      </c>
      <c r="AB88" t="e">
        <f>AND(medidas!BM200,"AAAAAH761xs=")</f>
        <v>#VALUE!</v>
      </c>
      <c r="AC88" t="e">
        <f>AND(medidas!BN200,"AAAAAH761xw=")</f>
        <v>#VALUE!</v>
      </c>
      <c r="AD88" t="e">
        <f>AND(medidas!BO200,"AAAAAH761x0=")</f>
        <v>#VALUE!</v>
      </c>
      <c r="AE88" t="e">
        <f>AND(medidas!BP200,"AAAAAH761x4=")</f>
        <v>#VALUE!</v>
      </c>
      <c r="AF88" t="e">
        <f>AND(medidas!BQ200,"AAAAAH761x8=")</f>
        <v>#VALUE!</v>
      </c>
      <c r="AG88" t="e">
        <f>AND(medidas!BR200,"AAAAAH761yA=")</f>
        <v>#VALUE!</v>
      </c>
      <c r="AH88" t="e">
        <f>AND(medidas!BS200,"AAAAAH761yE=")</f>
        <v>#VALUE!</v>
      </c>
      <c r="AI88" t="e">
        <f>AND(medidas!BT200,"AAAAAH761yI=")</f>
        <v>#VALUE!</v>
      </c>
      <c r="AJ88" t="e">
        <f>AND(medidas!BU200,"AAAAAH761yM=")</f>
        <v>#VALUE!</v>
      </c>
      <c r="AK88" t="e">
        <f>AND(medidas!BV200,"AAAAAH761yQ=")</f>
        <v>#VALUE!</v>
      </c>
      <c r="AL88" t="e">
        <f>AND(medidas!BW200,"AAAAAH761yU=")</f>
        <v>#VALUE!</v>
      </c>
      <c r="AM88" t="e">
        <f>AND(medidas!BX200,"AAAAAH761yY=")</f>
        <v>#VALUE!</v>
      </c>
      <c r="AN88" t="e">
        <f>AND(medidas!BY200,"AAAAAH761yc=")</f>
        <v>#VALUE!</v>
      </c>
      <c r="AO88">
        <f>IF(medidas!201:201,"AAAAAH761yg=",0)</f>
        <v>0</v>
      </c>
      <c r="AP88" t="e">
        <f>AND(medidas!B201,"AAAAAH761yk=")</f>
        <v>#VALUE!</v>
      </c>
      <c r="AQ88" t="e">
        <f>AND(medidas!C201,"AAAAAH761yo=")</f>
        <v>#VALUE!</v>
      </c>
      <c r="AR88" t="e">
        <f>AND(medidas!D201,"AAAAAH761ys=")</f>
        <v>#VALUE!</v>
      </c>
      <c r="AS88" t="e">
        <f>AND(medidas!E201,"AAAAAH761yw=")</f>
        <v>#VALUE!</v>
      </c>
      <c r="AT88" t="e">
        <f>AND(medidas!F201,"AAAAAH761y0=")</f>
        <v>#VALUE!</v>
      </c>
      <c r="AU88" t="e">
        <f>AND(medidas!G201,"AAAAAH761y4=")</f>
        <v>#VALUE!</v>
      </c>
      <c r="AV88" t="e">
        <f>AND(medidas!H201,"AAAAAH761y8=")</f>
        <v>#VALUE!</v>
      </c>
      <c r="AW88" t="e">
        <f>AND(medidas!I201,"AAAAAH761zA=")</f>
        <v>#VALUE!</v>
      </c>
      <c r="AX88" t="e">
        <f>AND(medidas!J201,"AAAAAH761zE=")</f>
        <v>#VALUE!</v>
      </c>
      <c r="AY88" t="e">
        <f>AND(medidas!K201,"AAAAAH761zI=")</f>
        <v>#VALUE!</v>
      </c>
      <c r="AZ88" t="e">
        <f>AND(medidas!L201,"AAAAAH761zM=")</f>
        <v>#VALUE!</v>
      </c>
      <c r="BA88" t="e">
        <f>AND(medidas!M201,"AAAAAH761zQ=")</f>
        <v>#VALUE!</v>
      </c>
      <c r="BB88" t="e">
        <f>AND(medidas!N201,"AAAAAH761zU=")</f>
        <v>#VALUE!</v>
      </c>
      <c r="BC88" t="e">
        <f>AND(medidas!O201,"AAAAAH761zY=")</f>
        <v>#VALUE!</v>
      </c>
      <c r="BD88" t="e">
        <f>AND(medidas!P201,"AAAAAH761zc=")</f>
        <v>#VALUE!</v>
      </c>
      <c r="BE88" t="e">
        <f>AND(medidas!Q201,"AAAAAH761zg=")</f>
        <v>#VALUE!</v>
      </c>
      <c r="BF88" t="e">
        <f>AND(medidas!R201,"AAAAAH761zk=")</f>
        <v>#VALUE!</v>
      </c>
      <c r="BG88" t="e">
        <f>AND(medidas!S201,"AAAAAH761zo=")</f>
        <v>#VALUE!</v>
      </c>
      <c r="BH88" t="e">
        <f>AND(medidas!T201,"AAAAAH761zs=")</f>
        <v>#VALUE!</v>
      </c>
      <c r="BI88" t="e">
        <f>AND(medidas!U201,"AAAAAH761zw=")</f>
        <v>#VALUE!</v>
      </c>
      <c r="BJ88" t="e">
        <f>AND(medidas!V201,"AAAAAH761z0=")</f>
        <v>#VALUE!</v>
      </c>
      <c r="BK88" t="e">
        <f>AND(medidas!W201,"AAAAAH761z4=")</f>
        <v>#VALUE!</v>
      </c>
      <c r="BL88" t="e">
        <f>AND(medidas!X201,"AAAAAH761z8=")</f>
        <v>#VALUE!</v>
      </c>
      <c r="BM88" t="e">
        <f>AND(medidas!Y201,"AAAAAH7610A=")</f>
        <v>#VALUE!</v>
      </c>
      <c r="BN88" t="e">
        <f>AND(medidas!Z201,"AAAAAH7610E=")</f>
        <v>#VALUE!</v>
      </c>
      <c r="BO88" t="e">
        <f>AND(medidas!AA201,"AAAAAH7610I=")</f>
        <v>#VALUE!</v>
      </c>
      <c r="BP88" t="e">
        <f>AND(medidas!AB201,"AAAAAH7610M=")</f>
        <v>#VALUE!</v>
      </c>
      <c r="BQ88" t="e">
        <f>AND(medidas!AC201,"AAAAAH7610Q=")</f>
        <v>#VALUE!</v>
      </c>
      <c r="BR88" t="e">
        <f>AND(medidas!AD201,"AAAAAH7610U=")</f>
        <v>#VALUE!</v>
      </c>
      <c r="BS88" t="e">
        <f>AND(medidas!AE201,"AAAAAH7610Y=")</f>
        <v>#VALUE!</v>
      </c>
      <c r="BT88" t="e">
        <f>AND(medidas!AF201,"AAAAAH7610c=")</f>
        <v>#VALUE!</v>
      </c>
      <c r="BU88" t="e">
        <f>AND(medidas!AG201,"AAAAAH7610g=")</f>
        <v>#VALUE!</v>
      </c>
      <c r="BV88" t="e">
        <f>AND(medidas!AH201,"AAAAAH7610k=")</f>
        <v>#VALUE!</v>
      </c>
      <c r="BW88" t="e">
        <f>AND(medidas!AI201,"AAAAAH7610o=")</f>
        <v>#VALUE!</v>
      </c>
      <c r="BX88" t="e">
        <f>AND(medidas!AJ201,"AAAAAH7610s=")</f>
        <v>#VALUE!</v>
      </c>
      <c r="BY88" t="e">
        <f>AND(medidas!AK201,"AAAAAH7610w=")</f>
        <v>#VALUE!</v>
      </c>
      <c r="BZ88" t="e">
        <f>AND(medidas!AL201,"AAAAAH76100=")</f>
        <v>#VALUE!</v>
      </c>
      <c r="CA88" t="e">
        <f>AND(medidas!AM201,"AAAAAH76104=")</f>
        <v>#VALUE!</v>
      </c>
      <c r="CB88" t="e">
        <f>AND(medidas!AN201,"AAAAAH76108=")</f>
        <v>#VALUE!</v>
      </c>
      <c r="CC88" t="e">
        <f>AND(medidas!AO201,"AAAAAH7611A=")</f>
        <v>#VALUE!</v>
      </c>
      <c r="CD88" t="e">
        <f>AND(medidas!AP201,"AAAAAH7611E=")</f>
        <v>#VALUE!</v>
      </c>
      <c r="CE88" t="e">
        <f>AND(medidas!AQ201,"AAAAAH7611I=")</f>
        <v>#VALUE!</v>
      </c>
      <c r="CF88" t="e">
        <f>AND(medidas!AR201,"AAAAAH7611M=")</f>
        <v>#VALUE!</v>
      </c>
      <c r="CG88" t="e">
        <f>AND(medidas!AS201,"AAAAAH7611Q=")</f>
        <v>#VALUE!</v>
      </c>
      <c r="CH88" t="e">
        <f>AND(medidas!AT201,"AAAAAH7611U=")</f>
        <v>#VALUE!</v>
      </c>
      <c r="CI88" t="e">
        <f>AND(medidas!AU201,"AAAAAH7611Y=")</f>
        <v>#VALUE!</v>
      </c>
      <c r="CJ88" t="e">
        <f>AND(medidas!AV201,"AAAAAH7611c=")</f>
        <v>#VALUE!</v>
      </c>
      <c r="CK88" t="e">
        <f>AND(medidas!AW201,"AAAAAH7611g=")</f>
        <v>#VALUE!</v>
      </c>
      <c r="CL88" t="e">
        <f>AND(medidas!AX201,"AAAAAH7611k=")</f>
        <v>#VALUE!</v>
      </c>
      <c r="CM88" t="e">
        <f>AND(medidas!AY201,"AAAAAH7611o=")</f>
        <v>#VALUE!</v>
      </c>
      <c r="CN88" t="e">
        <f>AND(medidas!AZ201,"AAAAAH7611s=")</f>
        <v>#VALUE!</v>
      </c>
      <c r="CO88" t="e">
        <f>AND(medidas!BA201,"AAAAAH7611w=")</f>
        <v>#VALUE!</v>
      </c>
      <c r="CP88" t="e">
        <f>AND(medidas!BB201,"AAAAAH76110=")</f>
        <v>#VALUE!</v>
      </c>
      <c r="CQ88" t="e">
        <f>AND(medidas!BC201,"AAAAAH76114=")</f>
        <v>#VALUE!</v>
      </c>
      <c r="CR88" t="e">
        <f>AND(medidas!BD201,"AAAAAH76118=")</f>
        <v>#VALUE!</v>
      </c>
      <c r="CS88" t="e">
        <f>AND(medidas!BE201,"AAAAAH7612A=")</f>
        <v>#VALUE!</v>
      </c>
      <c r="CT88" t="e">
        <f>AND(medidas!BF201,"AAAAAH7612E=")</f>
        <v>#VALUE!</v>
      </c>
      <c r="CU88" t="e">
        <f>AND(medidas!BG201,"AAAAAH7612I=")</f>
        <v>#VALUE!</v>
      </c>
      <c r="CV88" t="e">
        <f>AND(medidas!BH201,"AAAAAH7612M=")</f>
        <v>#VALUE!</v>
      </c>
      <c r="CW88" t="e">
        <f>AND(medidas!BI201,"AAAAAH7612Q=")</f>
        <v>#VALUE!</v>
      </c>
      <c r="CX88" t="e">
        <f>AND(medidas!BJ201,"AAAAAH7612U=")</f>
        <v>#VALUE!</v>
      </c>
      <c r="CY88" t="e">
        <f>AND(medidas!BK201,"AAAAAH7612Y=")</f>
        <v>#VALUE!</v>
      </c>
      <c r="CZ88" t="e">
        <f>AND(medidas!BL201,"AAAAAH7612c=")</f>
        <v>#VALUE!</v>
      </c>
      <c r="DA88" t="e">
        <f>AND(medidas!BM201,"AAAAAH7612g=")</f>
        <v>#VALUE!</v>
      </c>
      <c r="DB88" t="e">
        <f>AND(medidas!BN201,"AAAAAH7612k=")</f>
        <v>#VALUE!</v>
      </c>
      <c r="DC88" t="e">
        <f>AND(medidas!BO201,"AAAAAH7612o=")</f>
        <v>#VALUE!</v>
      </c>
      <c r="DD88" t="e">
        <f>AND(medidas!BP201,"AAAAAH7612s=")</f>
        <v>#VALUE!</v>
      </c>
      <c r="DE88" t="e">
        <f>AND(medidas!BQ201,"AAAAAH7612w=")</f>
        <v>#VALUE!</v>
      </c>
      <c r="DF88" t="e">
        <f>AND(medidas!BR201,"AAAAAH76120=")</f>
        <v>#VALUE!</v>
      </c>
      <c r="DG88" t="e">
        <f>AND(medidas!BS201,"AAAAAH76124=")</f>
        <v>#VALUE!</v>
      </c>
      <c r="DH88" t="e">
        <f>AND(medidas!BT201,"AAAAAH76128=")</f>
        <v>#VALUE!</v>
      </c>
      <c r="DI88" t="e">
        <f>AND(medidas!BU201,"AAAAAH7613A=")</f>
        <v>#VALUE!</v>
      </c>
      <c r="DJ88" t="e">
        <f>AND(medidas!BV201,"AAAAAH7613E=")</f>
        <v>#VALUE!</v>
      </c>
      <c r="DK88" t="e">
        <f>AND(medidas!BW201,"AAAAAH7613I=")</f>
        <v>#VALUE!</v>
      </c>
      <c r="DL88" t="e">
        <f>AND(medidas!BX201,"AAAAAH7613M=")</f>
        <v>#VALUE!</v>
      </c>
      <c r="DM88" t="e">
        <f>AND(medidas!BY201,"AAAAAH7613Q=")</f>
        <v>#VALUE!</v>
      </c>
      <c r="DN88">
        <f>IF(medidas!202:202,"AAAAAH7613U=",0)</f>
        <v>0</v>
      </c>
      <c r="DO88">
        <f>IF(medidas!203:203,"AAAAAH7613Y=",0)</f>
        <v>0</v>
      </c>
      <c r="DP88">
        <f>IF(medidas!204:204,"AAAAAH7613c=",0)</f>
        <v>0</v>
      </c>
      <c r="DQ88">
        <f>IF(medidas!205:205,"AAAAAH7613g=",0)</f>
        <v>0</v>
      </c>
      <c r="DR88">
        <f>IF(medidas!206:206,"AAAAAH7613k=",0)</f>
        <v>0</v>
      </c>
      <c r="DS88">
        <f>IF(medidas!207:207,"AAAAAH7613o=",0)</f>
        <v>0</v>
      </c>
      <c r="DT88">
        <f>IF(medidas!208:208,"AAAAAH7613s=",0)</f>
        <v>0</v>
      </c>
      <c r="DU88">
        <f>IF(medidas!209:209,"AAAAAH7613w=",0)</f>
        <v>0</v>
      </c>
      <c r="DV88">
        <f>IF(medidas!210:210,"AAAAAH76130=",0)</f>
        <v>0</v>
      </c>
      <c r="DW88">
        <f>IF(medidas!211:211,"AAAAAH76134=",0)</f>
        <v>0</v>
      </c>
      <c r="DX88">
        <f>IF(medidas!212:212,"AAAAAH76138=",0)</f>
        <v>0</v>
      </c>
      <c r="DY88">
        <f>IF(medidas!213:213,"AAAAAH7614A=",0)</f>
        <v>0</v>
      </c>
      <c r="DZ88">
        <f>IF(medidas!214:214,"AAAAAH7614E=",0)</f>
        <v>0</v>
      </c>
      <c r="EA88">
        <f>IF(medidas!215:215,"AAAAAH7614I=",0)</f>
        <v>0</v>
      </c>
      <c r="EB88">
        <f>IF(medidas!216:216,"AAAAAH7614M=",0)</f>
        <v>0</v>
      </c>
      <c r="EC88">
        <f>IF(medidas!217:217,"AAAAAH7614Q=",0)</f>
        <v>0</v>
      </c>
      <c r="ED88">
        <f>IF(medidas!218:218,"AAAAAH7614U=",0)</f>
        <v>0</v>
      </c>
      <c r="EE88">
        <f>IF(medidas!219:219,"AAAAAH7614Y=",0)</f>
        <v>0</v>
      </c>
      <c r="EF88">
        <f>IF(medidas!220:220,"AAAAAH7614c=",0)</f>
        <v>0</v>
      </c>
      <c r="EG88">
        <f>IF(medidas!221:221,"AAAAAH7614g=",0)</f>
        <v>0</v>
      </c>
      <c r="EH88">
        <f>IF(medidas!222:222,"AAAAAH7614k=",0)</f>
        <v>0</v>
      </c>
      <c r="EI88">
        <f>IF(medidas!223:223,"AAAAAH7614o=",0)</f>
        <v>0</v>
      </c>
      <c r="EJ88">
        <f>IF(medidas!224:224,"AAAAAH7614s=",0)</f>
        <v>0</v>
      </c>
      <c r="EK88">
        <f>IF(medidas!225:225,"AAAAAH7614w=",0)</f>
        <v>0</v>
      </c>
      <c r="EL88">
        <f>IF(medidas!226:226,"AAAAAH76140=",0)</f>
        <v>0</v>
      </c>
      <c r="EM88">
        <f>IF(medidas!227:227,"AAAAAH76144=",0)</f>
        <v>0</v>
      </c>
      <c r="EN88">
        <f>IF(medidas!228:228,"AAAAAH76148=",0)</f>
        <v>0</v>
      </c>
      <c r="EO88">
        <f>IF(medidas!229:229,"AAAAAH7615A=",0)</f>
        <v>0</v>
      </c>
      <c r="EP88">
        <f>IF(medidas!230:230,"AAAAAH7615E=",0)</f>
        <v>0</v>
      </c>
      <c r="EQ88">
        <f>IF(medidas!231:231,"AAAAAH7615I=",0)</f>
        <v>0</v>
      </c>
      <c r="ER88">
        <f>IF(medidas!232:232,"AAAAAH7615M=",0)</f>
        <v>0</v>
      </c>
      <c r="ES88">
        <f>IF(medidas!B:B,"AAAAAH7615Q=",0)</f>
        <v>0</v>
      </c>
      <c r="ET88">
        <f>IF(medidas!C:C,"AAAAAH7615U=",0)</f>
        <v>0</v>
      </c>
      <c r="EU88">
        <f>IF(medidas!D:D,"AAAAAH7615Y=",0)</f>
        <v>0</v>
      </c>
      <c r="EV88">
        <f>IF(medidas!E:E,"AAAAAH7615c=",0)</f>
        <v>0</v>
      </c>
      <c r="EW88">
        <f>IF(medidas!F:F,"AAAAAH7615g=",0)</f>
        <v>0</v>
      </c>
      <c r="EX88">
        <f>IF(medidas!G:G,"AAAAAH7615k=",0)</f>
        <v>0</v>
      </c>
      <c r="EY88">
        <f>IF(medidas!H:H,"AAAAAH7615o=",0)</f>
        <v>0</v>
      </c>
      <c r="EZ88">
        <f>IF(medidas!I:I,"AAAAAH7615s=",0)</f>
        <v>0</v>
      </c>
      <c r="FA88">
        <f>IF(medidas!J:J,"AAAAAH7615w=",0)</f>
        <v>0</v>
      </c>
      <c r="FB88">
        <f>IF(medidas!K:K,"AAAAAH76150=",0)</f>
        <v>0</v>
      </c>
      <c r="FC88" t="e">
        <f>IF(medidas!L:L,"AAAAAH76154=",0)</f>
        <v>#VALUE!</v>
      </c>
      <c r="FD88" t="e">
        <f>IF(medidas!M:M,"AAAAAH76158=",0)</f>
        <v>#VALUE!</v>
      </c>
      <c r="FE88" t="e">
        <f>IF(medidas!N:N,"AAAAAH7616A=",0)</f>
        <v>#VALUE!</v>
      </c>
      <c r="FF88">
        <f>IF(medidas!O:O,"AAAAAH7616E=",0)</f>
        <v>0</v>
      </c>
      <c r="FG88">
        <f>IF(medidas!P:P,"AAAAAH7616I=",0)</f>
        <v>0</v>
      </c>
      <c r="FH88">
        <f>IF(medidas!Q:Q,"AAAAAH7616M=",0)</f>
        <v>0</v>
      </c>
      <c r="FI88">
        <f>IF(medidas!R:R,"AAAAAH7616Q=",0)</f>
        <v>0</v>
      </c>
      <c r="FJ88">
        <f>IF(medidas!S:S,"AAAAAH7616U=",0)</f>
        <v>0</v>
      </c>
      <c r="FK88">
        <f>IF(medidas!T:T,"AAAAAH7616Y=",0)</f>
        <v>0</v>
      </c>
      <c r="FL88">
        <f>IF(medidas!U:U,"AAAAAH7616c=",0)</f>
        <v>0</v>
      </c>
      <c r="FM88">
        <f>IF(medidas!V:V,"AAAAAH7616g=",0)</f>
        <v>0</v>
      </c>
      <c r="FN88">
        <f>IF(medidas!W:W,"AAAAAH7616k=",0)</f>
        <v>0</v>
      </c>
      <c r="FO88">
        <f>IF(medidas!X:X,"AAAAAH7616o=",0)</f>
        <v>0</v>
      </c>
      <c r="FP88">
        <f>IF(medidas!Y:Y,"AAAAAH7616s=",0)</f>
        <v>0</v>
      </c>
      <c r="FQ88">
        <f>IF(medidas!Z:Z,"AAAAAH7616w=",0)</f>
        <v>0</v>
      </c>
      <c r="FR88">
        <f>IF(medidas!AA:AA,"AAAAAH76160=",0)</f>
        <v>0</v>
      </c>
      <c r="FS88">
        <f>IF(medidas!AB:AB,"AAAAAH76164=",0)</f>
        <v>0</v>
      </c>
      <c r="FT88">
        <f>IF(medidas!AC:AC,"AAAAAH76168=",0)</f>
        <v>0</v>
      </c>
      <c r="FU88">
        <f>IF(medidas!AD:AD,"AAAAAH7617A=",0)</f>
        <v>0</v>
      </c>
      <c r="FV88">
        <f>IF(medidas!AE:AE,"AAAAAH7617E=",0)</f>
        <v>0</v>
      </c>
      <c r="FW88">
        <f>IF(medidas!AF:AF,"AAAAAH7617I=",0)</f>
        <v>0</v>
      </c>
      <c r="FX88">
        <f>IF(medidas!AG:AG,"AAAAAH7617M=",0)</f>
        <v>0</v>
      </c>
      <c r="FY88">
        <f>IF(medidas!AH:AH,"AAAAAH7617Q=",0)</f>
        <v>0</v>
      </c>
      <c r="FZ88">
        <f>IF(medidas!AI:AI,"AAAAAH7617U=",0)</f>
        <v>0</v>
      </c>
      <c r="GA88">
        <f>IF(medidas!AJ:AJ,"AAAAAH7617Y=",0)</f>
        <v>0</v>
      </c>
      <c r="GB88">
        <f>IF(medidas!AK:AK,"AAAAAH7617c=",0)</f>
        <v>0</v>
      </c>
      <c r="GC88">
        <f>IF(medidas!AL:AL,"AAAAAH7617g=",0)</f>
        <v>0</v>
      </c>
      <c r="GD88">
        <f>IF(medidas!AM:AM,"AAAAAH7617k=",0)</f>
        <v>0</v>
      </c>
      <c r="GE88">
        <f>IF(medidas!AN:AN,"AAAAAH7617o=",0)</f>
        <v>0</v>
      </c>
      <c r="GF88">
        <f>IF(medidas!AO:AO,"AAAAAH7617s=",0)</f>
        <v>0</v>
      </c>
      <c r="GG88">
        <f>IF(medidas!AP:AP,"AAAAAH7617w=",0)</f>
        <v>0</v>
      </c>
      <c r="GH88">
        <f>IF(medidas!AQ:AQ,"AAAAAH76170=",0)</f>
        <v>0</v>
      </c>
      <c r="GI88">
        <f>IF(medidas!AR:AR,"AAAAAH76174=",0)</f>
        <v>0</v>
      </c>
      <c r="GJ88">
        <f>IF(medidas!AS:AS,"AAAAAH76178=",0)</f>
        <v>0</v>
      </c>
      <c r="GK88">
        <f>IF(medidas!AT:AT,"AAAAAH7618A=",0)</f>
        <v>0</v>
      </c>
      <c r="GL88">
        <f>IF(medidas!AU:AU,"AAAAAH7618E=",0)</f>
        <v>0</v>
      </c>
      <c r="GM88">
        <f>IF(medidas!AV:AV,"AAAAAH7618I=",0)</f>
        <v>0</v>
      </c>
      <c r="GN88">
        <f>IF(medidas!AW:AW,"AAAAAH7618M=",0)</f>
        <v>0</v>
      </c>
      <c r="GO88">
        <f>IF(medidas!AX:AX,"AAAAAH7618Q=",0)</f>
        <v>0</v>
      </c>
      <c r="GP88">
        <f>IF(medidas!AY:AY,"AAAAAH7618U=",0)</f>
        <v>0</v>
      </c>
      <c r="GQ88">
        <f>IF(medidas!AZ:AZ,"AAAAAH7618Y=",0)</f>
        <v>0</v>
      </c>
      <c r="GR88">
        <f>IF(medidas!BA:BA,"AAAAAH7618c=",0)</f>
        <v>0</v>
      </c>
      <c r="GS88">
        <f>IF(medidas!BB:BB,"AAAAAH7618g=",0)</f>
        <v>0</v>
      </c>
      <c r="GT88">
        <f>IF(medidas!BC:BC,"AAAAAH7618k=",0)</f>
        <v>0</v>
      </c>
      <c r="GU88">
        <f>IF(medidas!BD:BD,"AAAAAH7618o=",0)</f>
        <v>0</v>
      </c>
      <c r="GV88">
        <f>IF(medidas!BE:BE,"AAAAAH7618s=",0)</f>
        <v>0</v>
      </c>
      <c r="GW88">
        <f>IF(medidas!BF:BF,"AAAAAH7618w=",0)</f>
        <v>0</v>
      </c>
      <c r="GX88">
        <f>IF(medidas!BG:BG,"AAAAAH76180=",0)</f>
        <v>0</v>
      </c>
      <c r="GY88">
        <f>IF(medidas!BH:BH,"AAAAAH76184=",0)</f>
        <v>0</v>
      </c>
      <c r="GZ88">
        <f>IF(medidas!BI:BI,"AAAAAH76188=",0)</f>
        <v>0</v>
      </c>
      <c r="HA88">
        <f>IF(medidas!BJ:BJ,"AAAAAH7619A=",0)</f>
        <v>0</v>
      </c>
      <c r="HB88">
        <f>IF(medidas!BK:BK,"AAAAAH7619E=",0)</f>
        <v>0</v>
      </c>
      <c r="HC88">
        <f>IF(medidas!BL:BL,"AAAAAH7619I=",0)</f>
        <v>0</v>
      </c>
      <c r="HD88">
        <f>IF(medidas!BM:BM,"AAAAAH7619M=",0)</f>
        <v>0</v>
      </c>
      <c r="HE88">
        <f>IF(medidas!BN:BN,"AAAAAH7619Q=",0)</f>
        <v>0</v>
      </c>
      <c r="HF88">
        <f>IF(medidas!BO:BO,"AAAAAH7619U=",0)</f>
        <v>0</v>
      </c>
      <c r="HG88">
        <f>IF(medidas!BP:BP,"AAAAAH7619Y=",0)</f>
        <v>0</v>
      </c>
      <c r="HH88">
        <f>IF(medidas!BQ:BQ,"AAAAAH7619c=",0)</f>
        <v>0</v>
      </c>
      <c r="HI88">
        <f>IF(medidas!BR:BR,"AAAAAH7619g=",0)</f>
        <v>0</v>
      </c>
      <c r="HJ88">
        <f>IF(medidas!BS:BS,"AAAAAH7619k=",0)</f>
        <v>0</v>
      </c>
      <c r="HK88">
        <f>IF(medidas!BT:BT,"AAAAAH7619o=",0)</f>
        <v>0</v>
      </c>
      <c r="HL88">
        <f>IF(medidas!BU:BU,"AAAAAH7619s=",0)</f>
        <v>0</v>
      </c>
      <c r="HM88">
        <f>IF(medidas!BV:BV,"AAAAAH7619w=",0)</f>
        <v>0</v>
      </c>
      <c r="HN88">
        <f>IF(medidas!BW:BW,"AAAAAH76190=",0)</f>
        <v>0</v>
      </c>
      <c r="HO88">
        <f>IF(medidas!BX:BX,"AAAAAH76194=",0)</f>
        <v>0</v>
      </c>
      <c r="HP88">
        <f>IF(medidas!BY:BY,"AAAAAH76198=",0)</f>
        <v>0</v>
      </c>
      <c r="HQ88">
        <f>IF(resultados!1:1,"AAAAAH761+A=",0)</f>
        <v>0</v>
      </c>
      <c r="HR88" t="e">
        <f>AND(resultados!#REF!,"AAAAAH761+E=")</f>
        <v>#REF!</v>
      </c>
      <c r="HS88" t="e">
        <f>AND(resultados!C1,"AAAAAH761+I=")</f>
        <v>#VALUE!</v>
      </c>
      <c r="HT88" t="e">
        <f>AND(resultados!D1,"AAAAAH761+M=")</f>
        <v>#VALUE!</v>
      </c>
      <c r="HU88" t="e">
        <f>AND(resultados!E1,"AAAAAH761+Q=")</f>
        <v>#VALUE!</v>
      </c>
      <c r="HV88" t="e">
        <f>AND(resultados!#REF!,"AAAAAH761+U=")</f>
        <v>#REF!</v>
      </c>
      <c r="HW88" t="e">
        <f>AND(resultados!G1,"AAAAAH761+Y=")</f>
        <v>#VALUE!</v>
      </c>
      <c r="HX88" t="e">
        <f>AND(resultados!H1,"AAAAAH761+c=")</f>
        <v>#VALUE!</v>
      </c>
      <c r="HY88" t="e">
        <f>AND(resultados!I1,"AAAAAH761+g=")</f>
        <v>#VALUE!</v>
      </c>
      <c r="HZ88" t="e">
        <f>AND(resultados!J1,"AAAAAH761+k=")</f>
        <v>#VALUE!</v>
      </c>
      <c r="IA88" t="e">
        <f>AND(resultados!K1,"AAAAAH761+o=")</f>
        <v>#VALUE!</v>
      </c>
      <c r="IB88" t="e">
        <f>AND(resultados!L1,"AAAAAH761+s=")</f>
        <v>#VALUE!</v>
      </c>
      <c r="IC88" t="e">
        <f>AND(resultados!M1,"AAAAAH761+w=")</f>
        <v>#VALUE!</v>
      </c>
      <c r="ID88" t="e">
        <f>AND(resultados!N1,"AAAAAH761+0=")</f>
        <v>#VALUE!</v>
      </c>
      <c r="IE88" t="e">
        <f>AND(resultados!O1,"AAAAAH761+4=")</f>
        <v>#VALUE!</v>
      </c>
      <c r="IF88" t="e">
        <f>AND(resultados!P1,"AAAAAH761+8=")</f>
        <v>#VALUE!</v>
      </c>
      <c r="IG88" t="e">
        <f>AND(resultados!Q1,"AAAAAH761/A=")</f>
        <v>#VALUE!</v>
      </c>
      <c r="IH88" t="e">
        <f>AND(resultados!R1,"AAAAAH761/E=")</f>
        <v>#VALUE!</v>
      </c>
      <c r="II88" t="e">
        <f>AND(resultados!S1,"AAAAAH761/I=")</f>
        <v>#VALUE!</v>
      </c>
      <c r="IJ88" t="e">
        <f>AND(resultados!T1,"AAAAAH761/M=")</f>
        <v>#VALUE!</v>
      </c>
      <c r="IK88" t="e">
        <f>AND(resultados!U1,"AAAAAH761/Q=")</f>
        <v>#VALUE!</v>
      </c>
      <c r="IL88" t="e">
        <f>AND(resultados!V1,"AAAAAH761/U=")</f>
        <v>#VALUE!</v>
      </c>
      <c r="IM88" t="e">
        <f>AND(resultados!W1,"AAAAAH761/Y=")</f>
        <v>#VALUE!</v>
      </c>
      <c r="IN88" t="e">
        <f>AND(resultados!X1,"AAAAAH761/c=")</f>
        <v>#VALUE!</v>
      </c>
      <c r="IO88" t="e">
        <f>AND(resultados!Y1,"AAAAAH761/g=")</f>
        <v>#VALUE!</v>
      </c>
      <c r="IP88" t="e">
        <f>AND(resultados!Z1,"AAAAAH761/k=")</f>
        <v>#VALUE!</v>
      </c>
      <c r="IQ88" t="e">
        <f>AND(resultados!AA1,"AAAAAH761/o=")</f>
        <v>#VALUE!</v>
      </c>
      <c r="IR88" t="e">
        <f>AND(resultados!AB1,"AAAAAH761/s=")</f>
        <v>#VALUE!</v>
      </c>
      <c r="IS88" t="e">
        <f>AND(resultados!AC1,"AAAAAH761/w=")</f>
        <v>#VALUE!</v>
      </c>
      <c r="IT88" t="e">
        <f>AND(resultados!AD1,"AAAAAH761/0=")</f>
        <v>#VALUE!</v>
      </c>
      <c r="IU88" t="e">
        <f>AND(resultados!AE1,"AAAAAH761/4=")</f>
        <v>#VALUE!</v>
      </c>
      <c r="IV88" t="e">
        <f>AND(resultados!AF1,"AAAAAH761/8=")</f>
        <v>#VALUE!</v>
      </c>
    </row>
    <row r="89" spans="1:256" x14ac:dyDescent="0.2">
      <c r="A89" t="e">
        <f>AND(resultados!AG1,"AAAAABXduwA=")</f>
        <v>#VALUE!</v>
      </c>
      <c r="B89" t="e">
        <f>AND(resultados!AH1,"AAAAABXduwE=")</f>
        <v>#VALUE!</v>
      </c>
      <c r="C89" t="e">
        <f>AND(resultados!AI1,"AAAAABXduwI=")</f>
        <v>#VALUE!</v>
      </c>
      <c r="D89">
        <f>IF(resultados!2:2,"AAAAABXduwM=",0)</f>
        <v>0</v>
      </c>
      <c r="E89" t="e">
        <f>AND(resultados!#REF!,"AAAAABXduwQ=")</f>
        <v>#REF!</v>
      </c>
      <c r="F89" t="e">
        <f>AND(resultados!C2,"AAAAABXduwU=")</f>
        <v>#VALUE!</v>
      </c>
      <c r="G89" t="e">
        <f>AND(resultados!D2,"AAAAABXduwY=")</f>
        <v>#VALUE!</v>
      </c>
      <c r="H89" t="e">
        <f>AND(resultados!E2,"AAAAABXduwc=")</f>
        <v>#VALUE!</v>
      </c>
      <c r="I89" t="e">
        <f>AND(resultados!#REF!,"AAAAABXduwg=")</f>
        <v>#REF!</v>
      </c>
      <c r="J89" t="e">
        <f>AND(resultados!G2,"AAAAABXduwk=")</f>
        <v>#VALUE!</v>
      </c>
      <c r="K89" t="e">
        <f>AND(resultados!H2,"AAAAABXduwo=")</f>
        <v>#VALUE!</v>
      </c>
      <c r="L89" t="e">
        <f>AND(resultados!I2,"AAAAABXduws=")</f>
        <v>#VALUE!</v>
      </c>
      <c r="M89" t="e">
        <f>AND(resultados!J2,"AAAAABXduww=")</f>
        <v>#VALUE!</v>
      </c>
      <c r="N89" t="e">
        <f>AND(resultados!K2,"AAAAABXduw0=")</f>
        <v>#VALUE!</v>
      </c>
      <c r="O89" t="e">
        <f>AND(resultados!L2,"AAAAABXduw4=")</f>
        <v>#VALUE!</v>
      </c>
      <c r="P89" t="e">
        <f>AND(resultados!M2,"AAAAABXduw8=")</f>
        <v>#VALUE!</v>
      </c>
      <c r="Q89" t="e">
        <f>AND(resultados!N2,"AAAAABXduxA=")</f>
        <v>#VALUE!</v>
      </c>
      <c r="R89" t="e">
        <f>AND(resultados!O2,"AAAAABXduxE=")</f>
        <v>#VALUE!</v>
      </c>
      <c r="S89" t="e">
        <f>AND(resultados!P2,"AAAAABXduxI=")</f>
        <v>#VALUE!</v>
      </c>
      <c r="T89" t="e">
        <f>AND(resultados!Q2,"AAAAABXduxM=")</f>
        <v>#VALUE!</v>
      </c>
      <c r="U89" t="e">
        <f>AND(resultados!R2,"AAAAABXduxQ=")</f>
        <v>#VALUE!</v>
      </c>
      <c r="V89" t="e">
        <f>AND(resultados!S2,"AAAAABXduxU=")</f>
        <v>#VALUE!</v>
      </c>
      <c r="W89" t="e">
        <f>AND(resultados!T2,"AAAAABXduxY=")</f>
        <v>#VALUE!</v>
      </c>
      <c r="X89" t="e">
        <f>AND(resultados!U2,"AAAAABXduxc=")</f>
        <v>#VALUE!</v>
      </c>
      <c r="Y89" t="e">
        <f>AND(resultados!V2,"AAAAABXduxg=")</f>
        <v>#VALUE!</v>
      </c>
      <c r="Z89" t="e">
        <f>AND(resultados!W2,"AAAAABXduxk=")</f>
        <v>#VALUE!</v>
      </c>
      <c r="AA89" t="e">
        <f>AND(resultados!X2,"AAAAABXduxo=")</f>
        <v>#VALUE!</v>
      </c>
      <c r="AB89" t="e">
        <f>AND(resultados!Y2,"AAAAABXduxs=")</f>
        <v>#VALUE!</v>
      </c>
      <c r="AC89" t="e">
        <f>AND(resultados!Z2,"AAAAABXduxw=")</f>
        <v>#VALUE!</v>
      </c>
      <c r="AD89" t="e">
        <f>AND(resultados!AA2,"AAAAABXdux0=")</f>
        <v>#VALUE!</v>
      </c>
      <c r="AE89" t="e">
        <f>AND(resultados!AB2,"AAAAABXdux4=")</f>
        <v>#VALUE!</v>
      </c>
      <c r="AF89" t="e">
        <f>AND(resultados!AC2,"AAAAABXdux8=")</f>
        <v>#VALUE!</v>
      </c>
      <c r="AG89" t="e">
        <f>AND(resultados!AD2,"AAAAABXduyA=")</f>
        <v>#VALUE!</v>
      </c>
      <c r="AH89" t="e">
        <f>AND(resultados!AE2,"AAAAABXduyE=")</f>
        <v>#VALUE!</v>
      </c>
      <c r="AI89" t="e">
        <f>AND(resultados!AF2,"AAAAABXduyI=")</f>
        <v>#VALUE!</v>
      </c>
      <c r="AJ89" t="e">
        <f>AND(resultados!AG2,"AAAAABXduyM=")</f>
        <v>#VALUE!</v>
      </c>
      <c r="AK89" t="e">
        <f>AND(resultados!AH2,"AAAAABXduyQ=")</f>
        <v>#VALUE!</v>
      </c>
      <c r="AL89" t="e">
        <f>AND(resultados!AI2,"AAAAABXduyU=")</f>
        <v>#VALUE!</v>
      </c>
      <c r="AM89">
        <f>IF(resultados!3:3,"AAAAABXduyY=",0)</f>
        <v>0</v>
      </c>
      <c r="AN89" t="e">
        <f>AND(resultados!#REF!,"AAAAABXduyc=")</f>
        <v>#REF!</v>
      </c>
      <c r="AO89" t="e">
        <f>AND(resultados!C3,"AAAAABXduyg=")</f>
        <v>#VALUE!</v>
      </c>
      <c r="AP89" t="e">
        <f>AND(resultados!D3,"AAAAABXduyk=")</f>
        <v>#VALUE!</v>
      </c>
      <c r="AQ89" t="e">
        <f>AND(resultados!E3,"AAAAABXduyo=")</f>
        <v>#VALUE!</v>
      </c>
      <c r="AR89" t="e">
        <f>AND(resultados!#REF!,"AAAAABXduys=")</f>
        <v>#REF!</v>
      </c>
      <c r="AS89" t="e">
        <f>AND(resultados!G3,"AAAAABXduyw=")</f>
        <v>#VALUE!</v>
      </c>
      <c r="AT89" t="e">
        <f>AND(resultados!H3,"AAAAABXduy0=")</f>
        <v>#VALUE!</v>
      </c>
      <c r="AU89" t="e">
        <f>AND(resultados!I3,"AAAAABXduy4=")</f>
        <v>#VALUE!</v>
      </c>
      <c r="AV89" t="e">
        <f>AND(resultados!J3,"AAAAABXduy8=")</f>
        <v>#VALUE!</v>
      </c>
      <c r="AW89" t="e">
        <f>AND(resultados!K3,"AAAAABXduzA=")</f>
        <v>#VALUE!</v>
      </c>
      <c r="AX89" t="e">
        <f>AND(resultados!L3,"AAAAABXduzE=")</f>
        <v>#VALUE!</v>
      </c>
      <c r="AY89" t="e">
        <f>AND(resultados!M3,"AAAAABXduzI=")</f>
        <v>#VALUE!</v>
      </c>
      <c r="AZ89" t="e">
        <f>AND(resultados!N3,"AAAAABXduzM=")</f>
        <v>#VALUE!</v>
      </c>
      <c r="BA89" t="e">
        <f>AND(resultados!O3,"AAAAABXduzQ=")</f>
        <v>#VALUE!</v>
      </c>
      <c r="BB89" t="e">
        <f>AND(resultados!P3,"AAAAABXduzU=")</f>
        <v>#VALUE!</v>
      </c>
      <c r="BC89" t="e">
        <f>AND(resultados!Q3,"AAAAABXduzY=")</f>
        <v>#VALUE!</v>
      </c>
      <c r="BD89" t="e">
        <f>AND(resultados!R3,"AAAAABXduzc=")</f>
        <v>#VALUE!</v>
      </c>
      <c r="BE89" t="e">
        <f>AND(resultados!S3,"AAAAABXduzg=")</f>
        <v>#VALUE!</v>
      </c>
      <c r="BF89" t="e">
        <f>AND(resultados!T3,"AAAAABXduzk=")</f>
        <v>#VALUE!</v>
      </c>
      <c r="BG89" t="e">
        <f>AND(resultados!U3,"AAAAABXduzo=")</f>
        <v>#VALUE!</v>
      </c>
      <c r="BH89" t="e">
        <f>AND(resultados!V3,"AAAAABXduzs=")</f>
        <v>#VALUE!</v>
      </c>
      <c r="BI89" t="e">
        <f>AND(resultados!W3,"AAAAABXduzw=")</f>
        <v>#VALUE!</v>
      </c>
      <c r="BJ89" t="e">
        <f>AND(resultados!X3,"AAAAABXduz0=")</f>
        <v>#VALUE!</v>
      </c>
      <c r="BK89" t="e">
        <f>AND(resultados!Y3,"AAAAABXduz4=")</f>
        <v>#VALUE!</v>
      </c>
      <c r="BL89" t="e">
        <f>AND(resultados!Z3,"AAAAABXduz8=")</f>
        <v>#VALUE!</v>
      </c>
      <c r="BM89" t="e">
        <f>AND(resultados!AA3,"AAAAABXdu0A=")</f>
        <v>#VALUE!</v>
      </c>
      <c r="BN89" t="e">
        <f>AND(resultados!AB3,"AAAAABXdu0E=")</f>
        <v>#VALUE!</v>
      </c>
      <c r="BO89" t="e">
        <f>AND(resultados!AC3,"AAAAABXdu0I=")</f>
        <v>#VALUE!</v>
      </c>
      <c r="BP89" t="e">
        <f>AND(resultados!AD3,"AAAAABXdu0M=")</f>
        <v>#VALUE!</v>
      </c>
      <c r="BQ89" t="e">
        <f>AND(resultados!AE3,"AAAAABXdu0Q=")</f>
        <v>#VALUE!</v>
      </c>
      <c r="BR89" t="e">
        <f>AND(resultados!AF3,"AAAAABXdu0U=")</f>
        <v>#VALUE!</v>
      </c>
      <c r="BS89" t="e">
        <f>AND(resultados!AG3,"AAAAABXdu0Y=")</f>
        <v>#VALUE!</v>
      </c>
      <c r="BT89" t="e">
        <f>AND(resultados!AH3,"AAAAABXdu0c=")</f>
        <v>#VALUE!</v>
      </c>
      <c r="BU89" t="e">
        <f>AND(resultados!AI3,"AAAAABXdu0g=")</f>
        <v>#VALUE!</v>
      </c>
      <c r="BV89">
        <f>IF(resultados!4:4,"AAAAABXdu0k=",0)</f>
        <v>0</v>
      </c>
      <c r="BW89" t="e">
        <f>AND(resultados!#REF!,"AAAAABXdu0o=")</f>
        <v>#REF!</v>
      </c>
      <c r="BX89" t="e">
        <f>AND(resultados!C4,"AAAAABXdu0s=")</f>
        <v>#VALUE!</v>
      </c>
      <c r="BY89" t="e">
        <f>AND(resultados!D4,"AAAAABXdu0w=")</f>
        <v>#VALUE!</v>
      </c>
      <c r="BZ89" t="e">
        <f>AND(resultados!E4,"AAAAABXdu00=")</f>
        <v>#VALUE!</v>
      </c>
      <c r="CA89" t="e">
        <f>AND(resultados!#REF!,"AAAAABXdu04=")</f>
        <v>#REF!</v>
      </c>
      <c r="CB89" t="e">
        <f>AND(resultados!G4,"AAAAABXdu08=")</f>
        <v>#VALUE!</v>
      </c>
      <c r="CC89" t="e">
        <f>AND(resultados!H4,"AAAAABXdu1A=")</f>
        <v>#VALUE!</v>
      </c>
      <c r="CD89" t="e">
        <f>AND(resultados!I4,"AAAAABXdu1E=")</f>
        <v>#VALUE!</v>
      </c>
      <c r="CE89" t="e">
        <f>AND(resultados!J4,"AAAAABXdu1I=")</f>
        <v>#VALUE!</v>
      </c>
      <c r="CF89" t="e">
        <f>AND(resultados!K4,"AAAAABXdu1M=")</f>
        <v>#VALUE!</v>
      </c>
      <c r="CG89" t="e">
        <f>AND(resultados!L4,"AAAAABXdu1Q=")</f>
        <v>#VALUE!</v>
      </c>
      <c r="CH89" t="e">
        <f>AND(resultados!M4,"AAAAABXdu1U=")</f>
        <v>#VALUE!</v>
      </c>
      <c r="CI89" t="e">
        <f>AND(resultados!N4,"AAAAABXdu1Y=")</f>
        <v>#VALUE!</v>
      </c>
      <c r="CJ89" t="e">
        <f>AND(resultados!O4,"AAAAABXdu1c=")</f>
        <v>#VALUE!</v>
      </c>
      <c r="CK89" t="e">
        <f>AND(resultados!P4,"AAAAABXdu1g=")</f>
        <v>#VALUE!</v>
      </c>
      <c r="CL89" t="e">
        <f>AND(resultados!Q4,"AAAAABXdu1k=")</f>
        <v>#VALUE!</v>
      </c>
      <c r="CM89" t="e">
        <f>AND(resultados!R4,"AAAAABXdu1o=")</f>
        <v>#VALUE!</v>
      </c>
      <c r="CN89" t="e">
        <f>AND(resultados!S4,"AAAAABXdu1s=")</f>
        <v>#VALUE!</v>
      </c>
      <c r="CO89" t="e">
        <f>AND(resultados!T4,"AAAAABXdu1w=")</f>
        <v>#VALUE!</v>
      </c>
      <c r="CP89" t="e">
        <f>AND(resultados!U4,"AAAAABXdu10=")</f>
        <v>#VALUE!</v>
      </c>
      <c r="CQ89" t="e">
        <f>AND(resultados!V4,"AAAAABXdu14=")</f>
        <v>#VALUE!</v>
      </c>
      <c r="CR89" t="e">
        <f>AND(resultados!W4,"AAAAABXdu18=")</f>
        <v>#VALUE!</v>
      </c>
      <c r="CS89" t="e">
        <f>AND(resultados!X4,"AAAAABXdu2A=")</f>
        <v>#VALUE!</v>
      </c>
      <c r="CT89" t="e">
        <f>AND(resultados!Y4,"AAAAABXdu2E=")</f>
        <v>#VALUE!</v>
      </c>
      <c r="CU89" t="e">
        <f>AND(resultados!Z4,"AAAAABXdu2I=")</f>
        <v>#VALUE!</v>
      </c>
      <c r="CV89" t="e">
        <f>AND(resultados!AA4,"AAAAABXdu2M=")</f>
        <v>#VALUE!</v>
      </c>
      <c r="CW89" t="e">
        <f>AND(resultados!AB4,"AAAAABXdu2Q=")</f>
        <v>#VALUE!</v>
      </c>
      <c r="CX89" t="e">
        <f>AND(resultados!AC4,"AAAAABXdu2U=")</f>
        <v>#VALUE!</v>
      </c>
      <c r="CY89" t="e">
        <f>AND(resultados!AD4,"AAAAABXdu2Y=")</f>
        <v>#VALUE!</v>
      </c>
      <c r="CZ89" t="e">
        <f>AND(resultados!AE4,"AAAAABXdu2c=")</f>
        <v>#VALUE!</v>
      </c>
      <c r="DA89" t="e">
        <f>AND(resultados!AF4,"AAAAABXdu2g=")</f>
        <v>#VALUE!</v>
      </c>
      <c r="DB89" t="e">
        <f>AND(resultados!AG4,"AAAAABXdu2k=")</f>
        <v>#VALUE!</v>
      </c>
      <c r="DC89" t="e">
        <f>AND(resultados!AH4,"AAAAABXdu2o=")</f>
        <v>#VALUE!</v>
      </c>
      <c r="DD89" t="e">
        <f>AND(resultados!AI4,"AAAAABXdu2s=")</f>
        <v>#VALUE!</v>
      </c>
      <c r="DE89">
        <f>IF(resultados!5:5,"AAAAABXdu2w=",0)</f>
        <v>0</v>
      </c>
      <c r="DF89" t="e">
        <f>AND(resultados!#REF!,"AAAAABXdu20=")</f>
        <v>#REF!</v>
      </c>
      <c r="DG89" t="e">
        <f>AND(resultados!C5,"AAAAABXdu24=")</f>
        <v>#VALUE!</v>
      </c>
      <c r="DH89" t="e">
        <f>AND(resultados!D5,"AAAAABXdu28=")</f>
        <v>#VALUE!</v>
      </c>
      <c r="DI89" t="e">
        <f>AND(resultados!E5,"AAAAABXdu3A=")</f>
        <v>#VALUE!</v>
      </c>
      <c r="DJ89" t="e">
        <f>AND(resultados!#REF!,"AAAAABXdu3E=")</f>
        <v>#REF!</v>
      </c>
      <c r="DK89" t="e">
        <f>AND(resultados!G5,"AAAAABXdu3I=")</f>
        <v>#VALUE!</v>
      </c>
      <c r="DL89" t="e">
        <f>AND(resultados!H5,"AAAAABXdu3M=")</f>
        <v>#VALUE!</v>
      </c>
      <c r="DM89" t="e">
        <f>AND(resultados!I5,"AAAAABXdu3Q=")</f>
        <v>#VALUE!</v>
      </c>
      <c r="DN89" t="e">
        <f>AND(resultados!J5,"AAAAABXdu3U=")</f>
        <v>#VALUE!</v>
      </c>
      <c r="DO89" t="e">
        <f>AND(resultados!K5,"AAAAABXdu3Y=")</f>
        <v>#VALUE!</v>
      </c>
      <c r="DP89" t="e">
        <f>AND(resultados!L5,"AAAAABXdu3c=")</f>
        <v>#VALUE!</v>
      </c>
      <c r="DQ89" t="e">
        <f>AND(resultados!M5,"AAAAABXdu3g=")</f>
        <v>#VALUE!</v>
      </c>
      <c r="DR89" t="e">
        <f>AND(resultados!N5,"AAAAABXdu3k=")</f>
        <v>#VALUE!</v>
      </c>
      <c r="DS89" t="e">
        <f>AND(resultados!O5,"AAAAABXdu3o=")</f>
        <v>#VALUE!</v>
      </c>
      <c r="DT89" t="e">
        <f>AND(resultados!P5,"AAAAABXdu3s=")</f>
        <v>#VALUE!</v>
      </c>
      <c r="DU89" t="e">
        <f>AND(resultados!Q5,"AAAAABXdu3w=")</f>
        <v>#VALUE!</v>
      </c>
      <c r="DV89" t="e">
        <f>AND(resultados!R5,"AAAAABXdu30=")</f>
        <v>#VALUE!</v>
      </c>
      <c r="DW89" t="e">
        <f>AND(resultados!S5,"AAAAABXdu34=")</f>
        <v>#VALUE!</v>
      </c>
      <c r="DX89" t="e">
        <f>AND(resultados!T5,"AAAAABXdu38=")</f>
        <v>#VALUE!</v>
      </c>
      <c r="DY89" t="e">
        <f>AND(resultados!U5,"AAAAABXdu4A=")</f>
        <v>#VALUE!</v>
      </c>
      <c r="DZ89" t="e">
        <f>AND(resultados!V5,"AAAAABXdu4E=")</f>
        <v>#VALUE!</v>
      </c>
      <c r="EA89" t="e">
        <f>AND(resultados!W5,"AAAAABXdu4I=")</f>
        <v>#VALUE!</v>
      </c>
      <c r="EB89" t="e">
        <f>AND(resultados!X5,"AAAAABXdu4M=")</f>
        <v>#VALUE!</v>
      </c>
      <c r="EC89" t="e">
        <f>AND(resultados!Y5,"AAAAABXdu4Q=")</f>
        <v>#VALUE!</v>
      </c>
      <c r="ED89" t="e">
        <f>AND(resultados!Z5,"AAAAABXdu4U=")</f>
        <v>#VALUE!</v>
      </c>
      <c r="EE89" t="e">
        <f>AND(resultados!AA5,"AAAAABXdu4Y=")</f>
        <v>#VALUE!</v>
      </c>
      <c r="EF89" t="e">
        <f>AND(resultados!AB5,"AAAAABXdu4c=")</f>
        <v>#VALUE!</v>
      </c>
      <c r="EG89" t="e">
        <f>AND(resultados!AC5,"AAAAABXdu4g=")</f>
        <v>#VALUE!</v>
      </c>
      <c r="EH89" t="e">
        <f>AND(resultados!AD5,"AAAAABXdu4k=")</f>
        <v>#VALUE!</v>
      </c>
      <c r="EI89" t="e">
        <f>AND(resultados!AE5,"AAAAABXdu4o=")</f>
        <v>#VALUE!</v>
      </c>
      <c r="EJ89" t="e">
        <f>AND(resultados!AF5,"AAAAABXdu4s=")</f>
        <v>#VALUE!</v>
      </c>
      <c r="EK89" t="e">
        <f>AND(resultados!AG5,"AAAAABXdu4w=")</f>
        <v>#VALUE!</v>
      </c>
      <c r="EL89" t="e">
        <f>AND(resultados!AH5,"AAAAABXdu40=")</f>
        <v>#VALUE!</v>
      </c>
      <c r="EM89" t="e">
        <f>AND(resultados!AI5,"AAAAABXdu44=")</f>
        <v>#VALUE!</v>
      </c>
      <c r="EN89">
        <f>IF(resultados!6:6,"AAAAABXdu48=",0)</f>
        <v>0</v>
      </c>
      <c r="EO89" t="e">
        <f>AND(resultados!#REF!,"AAAAABXdu5A=")</f>
        <v>#REF!</v>
      </c>
      <c r="EP89" t="e">
        <f>AND(resultados!C6,"AAAAABXdu5E=")</f>
        <v>#VALUE!</v>
      </c>
      <c r="EQ89" t="e">
        <f>AND(resultados!D6,"AAAAABXdu5I=")</f>
        <v>#VALUE!</v>
      </c>
      <c r="ER89" t="e">
        <f>AND(resultados!E6,"AAAAABXdu5M=")</f>
        <v>#VALUE!</v>
      </c>
      <c r="ES89" t="e">
        <f>AND(resultados!#REF!,"AAAAABXdu5Q=")</f>
        <v>#REF!</v>
      </c>
      <c r="ET89" t="e">
        <f>AND(resultados!G6,"AAAAABXdu5U=")</f>
        <v>#VALUE!</v>
      </c>
      <c r="EU89" t="e">
        <f>AND(resultados!H6,"AAAAABXdu5Y=")</f>
        <v>#VALUE!</v>
      </c>
      <c r="EV89" t="e">
        <f>AND(resultados!I6,"AAAAABXdu5c=")</f>
        <v>#VALUE!</v>
      </c>
      <c r="EW89" t="e">
        <f>AND(resultados!J6,"AAAAABXdu5g=")</f>
        <v>#VALUE!</v>
      </c>
      <c r="EX89" t="e">
        <f>AND(resultados!K6,"AAAAABXdu5k=")</f>
        <v>#VALUE!</v>
      </c>
      <c r="EY89" t="e">
        <f>AND(resultados!L6,"AAAAABXdu5o=")</f>
        <v>#VALUE!</v>
      </c>
      <c r="EZ89" t="e">
        <f>AND(resultados!M6,"AAAAABXdu5s=")</f>
        <v>#VALUE!</v>
      </c>
      <c r="FA89" t="e">
        <f>AND(resultados!N6,"AAAAABXdu5w=")</f>
        <v>#VALUE!</v>
      </c>
      <c r="FB89" t="e">
        <f>AND(resultados!O6,"AAAAABXdu50=")</f>
        <v>#VALUE!</v>
      </c>
      <c r="FC89" t="e">
        <f>AND(resultados!P6,"AAAAABXdu54=")</f>
        <v>#VALUE!</v>
      </c>
      <c r="FD89" t="e">
        <f>AND(resultados!Q6,"AAAAABXdu58=")</f>
        <v>#VALUE!</v>
      </c>
      <c r="FE89" t="e">
        <f>AND(resultados!R6,"AAAAABXdu6A=")</f>
        <v>#VALUE!</v>
      </c>
      <c r="FF89" t="e">
        <f>AND(resultados!S6,"AAAAABXdu6E=")</f>
        <v>#VALUE!</v>
      </c>
      <c r="FG89" t="e">
        <f>AND(resultados!T6,"AAAAABXdu6I=")</f>
        <v>#VALUE!</v>
      </c>
      <c r="FH89" t="e">
        <f>AND(resultados!U6,"AAAAABXdu6M=")</f>
        <v>#VALUE!</v>
      </c>
      <c r="FI89" t="e">
        <f>AND(resultados!V6,"AAAAABXdu6Q=")</f>
        <v>#VALUE!</v>
      </c>
      <c r="FJ89" t="e">
        <f>AND(resultados!W6,"AAAAABXdu6U=")</f>
        <v>#VALUE!</v>
      </c>
      <c r="FK89" t="e">
        <f>AND(resultados!X6,"AAAAABXdu6Y=")</f>
        <v>#VALUE!</v>
      </c>
      <c r="FL89" t="e">
        <f>AND(resultados!Y6,"AAAAABXdu6c=")</f>
        <v>#VALUE!</v>
      </c>
      <c r="FM89" t="e">
        <f>AND(resultados!Z6,"AAAAABXdu6g=")</f>
        <v>#VALUE!</v>
      </c>
      <c r="FN89" t="e">
        <f>AND(resultados!AA6,"AAAAABXdu6k=")</f>
        <v>#VALUE!</v>
      </c>
      <c r="FO89" t="e">
        <f>AND(resultados!AB6,"AAAAABXdu6o=")</f>
        <v>#VALUE!</v>
      </c>
      <c r="FP89" t="e">
        <f>AND(resultados!AC6,"AAAAABXdu6s=")</f>
        <v>#VALUE!</v>
      </c>
      <c r="FQ89" t="e">
        <f>AND(resultados!AD6,"AAAAABXdu6w=")</f>
        <v>#VALUE!</v>
      </c>
      <c r="FR89" t="e">
        <f>AND(resultados!AE6,"AAAAABXdu60=")</f>
        <v>#VALUE!</v>
      </c>
      <c r="FS89" t="e">
        <f>AND(resultados!AF6,"AAAAABXdu64=")</f>
        <v>#VALUE!</v>
      </c>
      <c r="FT89" t="e">
        <f>AND(resultados!AG6,"AAAAABXdu68=")</f>
        <v>#VALUE!</v>
      </c>
      <c r="FU89" t="e">
        <f>AND(resultados!AH6,"AAAAABXdu7A=")</f>
        <v>#VALUE!</v>
      </c>
      <c r="FV89" t="e">
        <f>AND(resultados!AI6,"AAAAABXdu7E=")</f>
        <v>#VALUE!</v>
      </c>
      <c r="FW89">
        <f>IF(resultados!7:7,"AAAAABXdu7I=",0)</f>
        <v>0</v>
      </c>
      <c r="FX89" t="e">
        <f>AND(resultados!#REF!,"AAAAABXdu7M=")</f>
        <v>#REF!</v>
      </c>
      <c r="FY89" t="e">
        <f>AND(resultados!C7,"AAAAABXdu7Q=")</f>
        <v>#VALUE!</v>
      </c>
      <c r="FZ89" t="e">
        <f>AND(resultados!D7,"AAAAABXdu7U=")</f>
        <v>#VALUE!</v>
      </c>
      <c r="GA89" t="e">
        <f>AND(resultados!E7,"AAAAABXdu7Y=")</f>
        <v>#VALUE!</v>
      </c>
      <c r="GB89" t="e">
        <f>AND(resultados!#REF!,"AAAAABXdu7c=")</f>
        <v>#REF!</v>
      </c>
      <c r="GC89" t="e">
        <f>AND(resultados!G7,"AAAAABXdu7g=")</f>
        <v>#VALUE!</v>
      </c>
      <c r="GD89" t="e">
        <f>AND(resultados!H7,"AAAAABXdu7k=")</f>
        <v>#VALUE!</v>
      </c>
      <c r="GE89" t="e">
        <f>AND(resultados!I7,"AAAAABXdu7o=")</f>
        <v>#VALUE!</v>
      </c>
      <c r="GF89" t="e">
        <f>AND(resultados!J7,"AAAAABXdu7s=")</f>
        <v>#VALUE!</v>
      </c>
      <c r="GG89" t="e">
        <f>AND(resultados!K7,"AAAAABXdu7w=")</f>
        <v>#VALUE!</v>
      </c>
      <c r="GH89" t="e">
        <f>AND(resultados!L7,"AAAAABXdu70=")</f>
        <v>#VALUE!</v>
      </c>
      <c r="GI89" t="e">
        <f>AND(resultados!M7,"AAAAABXdu74=")</f>
        <v>#VALUE!</v>
      </c>
      <c r="GJ89" t="e">
        <f>AND(resultados!N7,"AAAAABXdu78=")</f>
        <v>#VALUE!</v>
      </c>
      <c r="GK89" t="e">
        <f>AND(resultados!O7,"AAAAABXdu8A=")</f>
        <v>#VALUE!</v>
      </c>
      <c r="GL89" t="e">
        <f>AND(resultados!P7,"AAAAABXdu8E=")</f>
        <v>#VALUE!</v>
      </c>
      <c r="GM89" t="e">
        <f>AND(resultados!Q7,"AAAAABXdu8I=")</f>
        <v>#VALUE!</v>
      </c>
      <c r="GN89" t="e">
        <f>AND(resultados!R7,"AAAAABXdu8M=")</f>
        <v>#VALUE!</v>
      </c>
      <c r="GO89" t="e">
        <f>AND(resultados!S7,"AAAAABXdu8Q=")</f>
        <v>#VALUE!</v>
      </c>
      <c r="GP89" t="e">
        <f>AND(resultados!T7,"AAAAABXdu8U=")</f>
        <v>#VALUE!</v>
      </c>
      <c r="GQ89" t="e">
        <f>AND(resultados!U7,"AAAAABXdu8Y=")</f>
        <v>#VALUE!</v>
      </c>
      <c r="GR89" t="e">
        <f>AND(resultados!V7,"AAAAABXdu8c=")</f>
        <v>#VALUE!</v>
      </c>
      <c r="GS89" t="e">
        <f>AND(resultados!W7,"AAAAABXdu8g=")</f>
        <v>#VALUE!</v>
      </c>
      <c r="GT89" t="e">
        <f>AND(resultados!X7,"AAAAABXdu8k=")</f>
        <v>#VALUE!</v>
      </c>
      <c r="GU89" t="e">
        <f>AND(resultados!Y7,"AAAAABXdu8o=")</f>
        <v>#VALUE!</v>
      </c>
      <c r="GV89" t="e">
        <f>AND(resultados!Z7,"AAAAABXdu8s=")</f>
        <v>#VALUE!</v>
      </c>
      <c r="GW89" t="e">
        <f>AND(resultados!AA7,"AAAAABXdu8w=")</f>
        <v>#VALUE!</v>
      </c>
      <c r="GX89" t="e">
        <f>AND(resultados!AB7,"AAAAABXdu80=")</f>
        <v>#VALUE!</v>
      </c>
      <c r="GY89" t="e">
        <f>AND(resultados!AC7,"AAAAABXdu84=")</f>
        <v>#VALUE!</v>
      </c>
      <c r="GZ89" t="e">
        <f>AND(resultados!AD7,"AAAAABXdu88=")</f>
        <v>#VALUE!</v>
      </c>
      <c r="HA89" t="e">
        <f>AND(resultados!AE7,"AAAAABXdu9A=")</f>
        <v>#VALUE!</v>
      </c>
      <c r="HB89" t="e">
        <f>AND(resultados!AF7,"AAAAABXdu9E=")</f>
        <v>#VALUE!</v>
      </c>
      <c r="HC89" t="e">
        <f>AND(resultados!AG7,"AAAAABXdu9I=")</f>
        <v>#VALUE!</v>
      </c>
      <c r="HD89" t="e">
        <f>AND(resultados!AH7,"AAAAABXdu9M=")</f>
        <v>#VALUE!</v>
      </c>
      <c r="HE89" t="e">
        <f>AND(resultados!AI7,"AAAAABXdu9Q=")</f>
        <v>#VALUE!</v>
      </c>
      <c r="HF89">
        <f>IF(resultados!8:8,"AAAAABXdu9U=",0)</f>
        <v>0</v>
      </c>
      <c r="HG89" t="e">
        <f>AND(resultados!#REF!,"AAAAABXdu9Y=")</f>
        <v>#REF!</v>
      </c>
      <c r="HH89" t="e">
        <f>AND(resultados!C8,"AAAAABXdu9c=")</f>
        <v>#VALUE!</v>
      </c>
      <c r="HI89" t="e">
        <f>AND(resultados!D8,"AAAAABXdu9g=")</f>
        <v>#VALUE!</v>
      </c>
      <c r="HJ89" t="e">
        <f>AND(resultados!E8,"AAAAABXdu9k=")</f>
        <v>#VALUE!</v>
      </c>
      <c r="HK89" t="e">
        <f>AND(resultados!#REF!,"AAAAABXdu9o=")</f>
        <v>#REF!</v>
      </c>
      <c r="HL89" t="e">
        <f>AND(resultados!G8,"AAAAABXdu9s=")</f>
        <v>#VALUE!</v>
      </c>
      <c r="HM89" t="e">
        <f>AND(resultados!H8,"AAAAABXdu9w=")</f>
        <v>#VALUE!</v>
      </c>
      <c r="HN89" t="e">
        <f>AND(resultados!I8,"AAAAABXdu90=")</f>
        <v>#VALUE!</v>
      </c>
      <c r="HO89" t="e">
        <f>AND(resultados!J8,"AAAAABXdu94=")</f>
        <v>#VALUE!</v>
      </c>
      <c r="HP89" t="e">
        <f>AND(resultados!K8,"AAAAABXdu98=")</f>
        <v>#VALUE!</v>
      </c>
      <c r="HQ89" t="e">
        <f>AND(resultados!L8,"AAAAABXdu+A=")</f>
        <v>#VALUE!</v>
      </c>
      <c r="HR89" t="e">
        <f>AND(resultados!M8,"AAAAABXdu+E=")</f>
        <v>#VALUE!</v>
      </c>
      <c r="HS89" t="e">
        <f>AND(resultados!N8,"AAAAABXdu+I=")</f>
        <v>#VALUE!</v>
      </c>
      <c r="HT89" t="e">
        <f>AND(resultados!O8,"AAAAABXdu+M=")</f>
        <v>#VALUE!</v>
      </c>
      <c r="HU89" t="e">
        <f>AND(resultados!P8,"AAAAABXdu+Q=")</f>
        <v>#VALUE!</v>
      </c>
      <c r="HV89" t="e">
        <f>AND(resultados!Q8,"AAAAABXdu+U=")</f>
        <v>#VALUE!</v>
      </c>
      <c r="HW89" t="e">
        <f>AND(resultados!R8,"AAAAABXdu+Y=")</f>
        <v>#VALUE!</v>
      </c>
      <c r="HX89" t="e">
        <f>AND(resultados!S8,"AAAAABXdu+c=")</f>
        <v>#VALUE!</v>
      </c>
      <c r="HY89" t="e">
        <f>AND(resultados!T8,"AAAAABXdu+g=")</f>
        <v>#VALUE!</v>
      </c>
      <c r="HZ89" t="e">
        <f>AND(resultados!U8,"AAAAABXdu+k=")</f>
        <v>#VALUE!</v>
      </c>
      <c r="IA89" t="e">
        <f>AND(resultados!V8,"AAAAABXdu+o=")</f>
        <v>#VALUE!</v>
      </c>
      <c r="IB89" t="e">
        <f>AND(resultados!W8,"AAAAABXdu+s=")</f>
        <v>#VALUE!</v>
      </c>
      <c r="IC89" t="e">
        <f>AND(resultados!X8,"AAAAABXdu+w=")</f>
        <v>#VALUE!</v>
      </c>
      <c r="ID89" t="e">
        <f>AND(resultados!Y8,"AAAAABXdu+0=")</f>
        <v>#VALUE!</v>
      </c>
      <c r="IE89" t="e">
        <f>AND(resultados!Z8,"AAAAABXdu+4=")</f>
        <v>#VALUE!</v>
      </c>
      <c r="IF89" t="e">
        <f>AND(resultados!AA8,"AAAAABXdu+8=")</f>
        <v>#VALUE!</v>
      </c>
      <c r="IG89" t="e">
        <f>AND(resultados!AB8,"AAAAABXdu/A=")</f>
        <v>#VALUE!</v>
      </c>
      <c r="IH89" t="e">
        <f>AND(resultados!AC8,"AAAAABXdu/E=")</f>
        <v>#VALUE!</v>
      </c>
      <c r="II89" t="e">
        <f>AND(resultados!AD8,"AAAAABXdu/I=")</f>
        <v>#VALUE!</v>
      </c>
      <c r="IJ89" t="e">
        <f>AND(resultados!AE8,"AAAAABXdu/M=")</f>
        <v>#VALUE!</v>
      </c>
      <c r="IK89" t="e">
        <f>AND(resultados!AF8,"AAAAABXdu/Q=")</f>
        <v>#VALUE!</v>
      </c>
      <c r="IL89" t="e">
        <f>AND(resultados!AG8,"AAAAABXdu/U=")</f>
        <v>#VALUE!</v>
      </c>
      <c r="IM89" t="e">
        <f>AND(resultados!AH8,"AAAAABXdu/Y=")</f>
        <v>#VALUE!</v>
      </c>
      <c r="IN89" t="e">
        <f>AND(resultados!AI8,"AAAAABXdu/c=")</f>
        <v>#VALUE!</v>
      </c>
      <c r="IO89">
        <f>IF(resultados!9:9,"AAAAABXdu/g=",0)</f>
        <v>0</v>
      </c>
      <c r="IP89" t="e">
        <f>AND(resultados!#REF!,"AAAAABXdu/k=")</f>
        <v>#REF!</v>
      </c>
      <c r="IQ89" t="e">
        <f>AND(resultados!C9,"AAAAABXdu/o=")</f>
        <v>#VALUE!</v>
      </c>
      <c r="IR89" t="e">
        <f>AND(resultados!D9,"AAAAABXdu/s=")</f>
        <v>#VALUE!</v>
      </c>
      <c r="IS89" t="e">
        <f>AND(resultados!E9,"AAAAABXdu/w=")</f>
        <v>#VALUE!</v>
      </c>
      <c r="IT89" t="e">
        <f>AND(resultados!#REF!,"AAAAABXdu/0=")</f>
        <v>#REF!</v>
      </c>
      <c r="IU89" t="e">
        <f>AND(resultados!G9,"AAAAABXdu/4=")</f>
        <v>#VALUE!</v>
      </c>
      <c r="IV89" t="e">
        <f>AND(resultados!H9,"AAAAABXdu/8=")</f>
        <v>#VALUE!</v>
      </c>
    </row>
    <row r="90" spans="1:256" x14ac:dyDescent="0.2">
      <c r="A90" t="e">
        <f>AND(resultados!I9,"AAAAAHzutQA=")</f>
        <v>#VALUE!</v>
      </c>
      <c r="B90" t="e">
        <f>AND(resultados!J9,"AAAAAHzutQE=")</f>
        <v>#VALUE!</v>
      </c>
      <c r="C90" t="e">
        <f>AND(resultados!K9,"AAAAAHzutQI=")</f>
        <v>#VALUE!</v>
      </c>
      <c r="D90" t="e">
        <f>AND(resultados!L9,"AAAAAHzutQM=")</f>
        <v>#VALUE!</v>
      </c>
      <c r="E90" t="e">
        <f>AND(resultados!M9,"AAAAAHzutQQ=")</f>
        <v>#VALUE!</v>
      </c>
      <c r="F90" t="e">
        <f>AND(resultados!N9,"AAAAAHzutQU=")</f>
        <v>#VALUE!</v>
      </c>
      <c r="G90" t="e">
        <f>AND(resultados!O9,"AAAAAHzutQY=")</f>
        <v>#VALUE!</v>
      </c>
      <c r="H90" t="e">
        <f>AND(resultados!P9,"AAAAAHzutQc=")</f>
        <v>#VALUE!</v>
      </c>
      <c r="I90" t="e">
        <f>AND(resultados!Q9,"AAAAAHzutQg=")</f>
        <v>#VALUE!</v>
      </c>
      <c r="J90" t="e">
        <f>AND(resultados!R9,"AAAAAHzutQk=")</f>
        <v>#VALUE!</v>
      </c>
      <c r="K90" t="e">
        <f>AND(resultados!S9,"AAAAAHzutQo=")</f>
        <v>#VALUE!</v>
      </c>
      <c r="L90" t="e">
        <f>AND(resultados!T9,"AAAAAHzutQs=")</f>
        <v>#VALUE!</v>
      </c>
      <c r="M90" t="e">
        <f>AND(resultados!U9,"AAAAAHzutQw=")</f>
        <v>#VALUE!</v>
      </c>
      <c r="N90" t="e">
        <f>AND(resultados!V9,"AAAAAHzutQ0=")</f>
        <v>#VALUE!</v>
      </c>
      <c r="O90" t="e">
        <f>AND(resultados!W9,"AAAAAHzutQ4=")</f>
        <v>#VALUE!</v>
      </c>
      <c r="P90" t="e">
        <f>AND(resultados!X9,"AAAAAHzutQ8=")</f>
        <v>#VALUE!</v>
      </c>
      <c r="Q90" t="e">
        <f>AND(resultados!Y9,"AAAAAHzutRA=")</f>
        <v>#VALUE!</v>
      </c>
      <c r="R90" t="e">
        <f>AND(resultados!Z9,"AAAAAHzutRE=")</f>
        <v>#VALUE!</v>
      </c>
      <c r="S90" t="e">
        <f>AND(resultados!AA9,"AAAAAHzutRI=")</f>
        <v>#VALUE!</v>
      </c>
      <c r="T90" t="e">
        <f>AND(resultados!AB9,"AAAAAHzutRM=")</f>
        <v>#VALUE!</v>
      </c>
      <c r="U90" t="e">
        <f>AND(resultados!AC9,"AAAAAHzutRQ=")</f>
        <v>#VALUE!</v>
      </c>
      <c r="V90" t="e">
        <f>AND(resultados!AD9,"AAAAAHzutRU=")</f>
        <v>#VALUE!</v>
      </c>
      <c r="W90" t="e">
        <f>AND(resultados!AE9,"AAAAAHzutRY=")</f>
        <v>#VALUE!</v>
      </c>
      <c r="X90" t="e">
        <f>AND(resultados!AF9,"AAAAAHzutRc=")</f>
        <v>#VALUE!</v>
      </c>
      <c r="Y90" t="e">
        <f>AND(resultados!AG9,"AAAAAHzutRg=")</f>
        <v>#VALUE!</v>
      </c>
      <c r="Z90" t="e">
        <f>AND(resultados!AH9,"AAAAAHzutRk=")</f>
        <v>#VALUE!</v>
      </c>
      <c r="AA90" t="e">
        <f>AND(resultados!AI9,"AAAAAHzutRo=")</f>
        <v>#VALUE!</v>
      </c>
      <c r="AB90">
        <f>IF(resultados!10:10,"AAAAAHzutRs=",0)</f>
        <v>0</v>
      </c>
      <c r="AC90" t="e">
        <f>AND(resultados!#REF!,"AAAAAHzutRw=")</f>
        <v>#REF!</v>
      </c>
      <c r="AD90" t="e">
        <f>AND(resultados!C10,"AAAAAHzutR0=")</f>
        <v>#VALUE!</v>
      </c>
      <c r="AE90" t="e">
        <f>AND(resultados!D10,"AAAAAHzutR4=")</f>
        <v>#VALUE!</v>
      </c>
      <c r="AF90" t="e">
        <f>AND(resultados!E10,"AAAAAHzutR8=")</f>
        <v>#VALUE!</v>
      </c>
      <c r="AG90" t="e">
        <f>AND(resultados!#REF!,"AAAAAHzutSA=")</f>
        <v>#REF!</v>
      </c>
      <c r="AH90" t="e">
        <f>AND(resultados!G10,"AAAAAHzutSE=")</f>
        <v>#VALUE!</v>
      </c>
      <c r="AI90" t="e">
        <f>AND(resultados!H10,"AAAAAHzutSI=")</f>
        <v>#VALUE!</v>
      </c>
      <c r="AJ90" t="e">
        <f>AND(resultados!I10,"AAAAAHzutSM=")</f>
        <v>#VALUE!</v>
      </c>
      <c r="AK90" t="e">
        <f>AND(resultados!J10,"AAAAAHzutSQ=")</f>
        <v>#VALUE!</v>
      </c>
      <c r="AL90" t="e">
        <f>AND(resultados!K10,"AAAAAHzutSU=")</f>
        <v>#VALUE!</v>
      </c>
      <c r="AM90" t="e">
        <f>AND(resultados!L10,"AAAAAHzutSY=")</f>
        <v>#VALUE!</v>
      </c>
      <c r="AN90" t="e">
        <f>AND(resultados!M10,"AAAAAHzutSc=")</f>
        <v>#VALUE!</v>
      </c>
      <c r="AO90" t="e">
        <f>AND(resultados!N10,"AAAAAHzutSg=")</f>
        <v>#VALUE!</v>
      </c>
      <c r="AP90" t="e">
        <f>AND(resultados!O10,"AAAAAHzutSk=")</f>
        <v>#VALUE!</v>
      </c>
      <c r="AQ90" t="e">
        <f>AND(resultados!P10,"AAAAAHzutSo=")</f>
        <v>#VALUE!</v>
      </c>
      <c r="AR90" t="e">
        <f>AND(resultados!Q10,"AAAAAHzutSs=")</f>
        <v>#VALUE!</v>
      </c>
      <c r="AS90" t="e">
        <f>AND(resultados!R10,"AAAAAHzutSw=")</f>
        <v>#VALUE!</v>
      </c>
      <c r="AT90" t="e">
        <f>AND(resultados!S10,"AAAAAHzutS0=")</f>
        <v>#VALUE!</v>
      </c>
      <c r="AU90" t="e">
        <f>AND(resultados!T10,"AAAAAHzutS4=")</f>
        <v>#VALUE!</v>
      </c>
      <c r="AV90" t="e">
        <f>AND(resultados!U10,"AAAAAHzutS8=")</f>
        <v>#VALUE!</v>
      </c>
      <c r="AW90" t="e">
        <f>AND(resultados!V10,"AAAAAHzutTA=")</f>
        <v>#VALUE!</v>
      </c>
      <c r="AX90" t="e">
        <f>AND(resultados!W10,"AAAAAHzutTE=")</f>
        <v>#VALUE!</v>
      </c>
      <c r="AY90" t="e">
        <f>AND(resultados!X10,"AAAAAHzutTI=")</f>
        <v>#VALUE!</v>
      </c>
      <c r="AZ90" t="e">
        <f>AND(resultados!Y10,"AAAAAHzutTM=")</f>
        <v>#VALUE!</v>
      </c>
      <c r="BA90" t="e">
        <f>AND(resultados!Z10,"AAAAAHzutTQ=")</f>
        <v>#VALUE!</v>
      </c>
      <c r="BB90" t="e">
        <f>AND(resultados!AA10,"AAAAAHzutTU=")</f>
        <v>#VALUE!</v>
      </c>
      <c r="BC90" t="e">
        <f>AND(resultados!AB10,"AAAAAHzutTY=")</f>
        <v>#VALUE!</v>
      </c>
      <c r="BD90" t="e">
        <f>AND(resultados!AC10,"AAAAAHzutTc=")</f>
        <v>#VALUE!</v>
      </c>
      <c r="BE90" t="e">
        <f>AND(resultados!AD10,"AAAAAHzutTg=")</f>
        <v>#VALUE!</v>
      </c>
      <c r="BF90" t="e">
        <f>AND(resultados!AE10,"AAAAAHzutTk=")</f>
        <v>#VALUE!</v>
      </c>
      <c r="BG90" t="e">
        <f>AND(resultados!AF10,"AAAAAHzutTo=")</f>
        <v>#VALUE!</v>
      </c>
      <c r="BH90" t="e">
        <f>AND(resultados!AG10,"AAAAAHzutTs=")</f>
        <v>#VALUE!</v>
      </c>
      <c r="BI90" t="e">
        <f>AND(resultados!AH10,"AAAAAHzutTw=")</f>
        <v>#VALUE!</v>
      </c>
      <c r="BJ90" t="e">
        <f>AND(resultados!AI10,"AAAAAHzutT0=")</f>
        <v>#VALUE!</v>
      </c>
      <c r="BK90">
        <f>IF(resultados!11:11,"AAAAAHzutT4=",0)</f>
        <v>0</v>
      </c>
      <c r="BL90" t="e">
        <f>AND(resultados!#REF!,"AAAAAHzutT8=")</f>
        <v>#REF!</v>
      </c>
      <c r="BM90" t="e">
        <f>AND(resultados!C11,"AAAAAHzutUA=")</f>
        <v>#VALUE!</v>
      </c>
      <c r="BN90" t="e">
        <f>AND(resultados!D11,"AAAAAHzutUE=")</f>
        <v>#VALUE!</v>
      </c>
      <c r="BO90" t="e">
        <f>AND(resultados!E11,"AAAAAHzutUI=")</f>
        <v>#VALUE!</v>
      </c>
      <c r="BP90" t="e">
        <f>AND(resultados!#REF!,"AAAAAHzutUM=")</f>
        <v>#REF!</v>
      </c>
      <c r="BQ90" t="e">
        <f>AND(resultados!G11,"AAAAAHzutUQ=")</f>
        <v>#VALUE!</v>
      </c>
      <c r="BR90" t="e">
        <f>AND(resultados!H11,"AAAAAHzutUU=")</f>
        <v>#VALUE!</v>
      </c>
      <c r="BS90" t="e">
        <f>AND(resultados!I11,"AAAAAHzutUY=")</f>
        <v>#VALUE!</v>
      </c>
      <c r="BT90" t="e">
        <f>AND(resultados!J11,"AAAAAHzutUc=")</f>
        <v>#VALUE!</v>
      </c>
      <c r="BU90" t="e">
        <f>AND(resultados!K11,"AAAAAHzutUg=")</f>
        <v>#VALUE!</v>
      </c>
      <c r="BV90" t="e">
        <f>AND(resultados!L11,"AAAAAHzutUk=")</f>
        <v>#VALUE!</v>
      </c>
      <c r="BW90" t="e">
        <f>AND(resultados!M11,"AAAAAHzutUo=")</f>
        <v>#VALUE!</v>
      </c>
      <c r="BX90" t="e">
        <f>AND(resultados!N11,"AAAAAHzutUs=")</f>
        <v>#VALUE!</v>
      </c>
      <c r="BY90" t="e">
        <f>AND(resultados!O11,"AAAAAHzutUw=")</f>
        <v>#VALUE!</v>
      </c>
      <c r="BZ90" t="e">
        <f>AND(resultados!P11,"AAAAAHzutU0=")</f>
        <v>#VALUE!</v>
      </c>
      <c r="CA90" t="e">
        <f>AND(resultados!Q11,"AAAAAHzutU4=")</f>
        <v>#VALUE!</v>
      </c>
      <c r="CB90" t="e">
        <f>AND(resultados!R11,"AAAAAHzutU8=")</f>
        <v>#VALUE!</v>
      </c>
      <c r="CC90" t="e">
        <f>AND(resultados!S11,"AAAAAHzutVA=")</f>
        <v>#VALUE!</v>
      </c>
      <c r="CD90" t="e">
        <f>AND(resultados!T11,"AAAAAHzutVE=")</f>
        <v>#VALUE!</v>
      </c>
      <c r="CE90" t="e">
        <f>AND(resultados!U11,"AAAAAHzutVI=")</f>
        <v>#VALUE!</v>
      </c>
      <c r="CF90" t="e">
        <f>AND(resultados!V11,"AAAAAHzutVM=")</f>
        <v>#VALUE!</v>
      </c>
      <c r="CG90" t="e">
        <f>AND(resultados!W11,"AAAAAHzutVQ=")</f>
        <v>#VALUE!</v>
      </c>
      <c r="CH90" t="e">
        <f>AND(resultados!X11,"AAAAAHzutVU=")</f>
        <v>#VALUE!</v>
      </c>
      <c r="CI90" t="e">
        <f>AND(resultados!Y11,"AAAAAHzutVY=")</f>
        <v>#VALUE!</v>
      </c>
      <c r="CJ90" t="e">
        <f>AND(resultados!Z11,"AAAAAHzutVc=")</f>
        <v>#VALUE!</v>
      </c>
      <c r="CK90" t="e">
        <f>AND(resultados!AA11,"AAAAAHzutVg=")</f>
        <v>#VALUE!</v>
      </c>
      <c r="CL90" t="e">
        <f>AND(resultados!AB11,"AAAAAHzutVk=")</f>
        <v>#VALUE!</v>
      </c>
      <c r="CM90" t="e">
        <f>AND(resultados!AC11,"AAAAAHzutVo=")</f>
        <v>#VALUE!</v>
      </c>
      <c r="CN90" t="e">
        <f>AND(resultados!AD11,"AAAAAHzutVs=")</f>
        <v>#VALUE!</v>
      </c>
      <c r="CO90" t="e">
        <f>AND(resultados!AE11,"AAAAAHzutVw=")</f>
        <v>#VALUE!</v>
      </c>
      <c r="CP90" t="e">
        <f>AND(resultados!AF11,"AAAAAHzutV0=")</f>
        <v>#VALUE!</v>
      </c>
      <c r="CQ90" t="e">
        <f>AND(resultados!AG11,"AAAAAHzutV4=")</f>
        <v>#VALUE!</v>
      </c>
      <c r="CR90" t="e">
        <f>AND(resultados!AH11,"AAAAAHzutV8=")</f>
        <v>#VALUE!</v>
      </c>
      <c r="CS90" t="e">
        <f>AND(resultados!AI11,"AAAAAHzutWA=")</f>
        <v>#VALUE!</v>
      </c>
      <c r="CT90">
        <f>IF(resultados!12:12,"AAAAAHzutWE=",0)</f>
        <v>0</v>
      </c>
      <c r="CU90" t="e">
        <f>AND(resultados!#REF!,"AAAAAHzutWI=")</f>
        <v>#REF!</v>
      </c>
      <c r="CV90" t="e">
        <f>AND(resultados!C12,"AAAAAHzutWM=")</f>
        <v>#VALUE!</v>
      </c>
      <c r="CW90" t="e">
        <f>AND(resultados!D12,"AAAAAHzutWQ=")</f>
        <v>#VALUE!</v>
      </c>
      <c r="CX90" t="e">
        <f>AND(resultados!E12,"AAAAAHzutWU=")</f>
        <v>#VALUE!</v>
      </c>
      <c r="CY90" t="e">
        <f>AND(resultados!#REF!,"AAAAAHzutWY=")</f>
        <v>#REF!</v>
      </c>
      <c r="CZ90" t="e">
        <f>AND(resultados!G12,"AAAAAHzutWc=")</f>
        <v>#VALUE!</v>
      </c>
      <c r="DA90" t="e">
        <f>AND(resultados!H12,"AAAAAHzutWg=")</f>
        <v>#VALUE!</v>
      </c>
      <c r="DB90" t="e">
        <f>AND(resultados!I12,"AAAAAHzutWk=")</f>
        <v>#VALUE!</v>
      </c>
      <c r="DC90" t="e">
        <f>AND(resultados!J12,"AAAAAHzutWo=")</f>
        <v>#VALUE!</v>
      </c>
      <c r="DD90" t="e">
        <f>AND(resultados!K12,"AAAAAHzutWs=")</f>
        <v>#VALUE!</v>
      </c>
      <c r="DE90" t="e">
        <f>AND(resultados!L12,"AAAAAHzutWw=")</f>
        <v>#VALUE!</v>
      </c>
      <c r="DF90" t="e">
        <f>AND(resultados!M12,"AAAAAHzutW0=")</f>
        <v>#VALUE!</v>
      </c>
      <c r="DG90" t="e">
        <f>AND(resultados!N12,"AAAAAHzutW4=")</f>
        <v>#VALUE!</v>
      </c>
      <c r="DH90" t="e">
        <f>AND(resultados!O12,"AAAAAHzutW8=")</f>
        <v>#VALUE!</v>
      </c>
      <c r="DI90" t="e">
        <f>AND(resultados!P12,"AAAAAHzutXA=")</f>
        <v>#VALUE!</v>
      </c>
      <c r="DJ90" t="e">
        <f>AND(resultados!Q12,"AAAAAHzutXE=")</f>
        <v>#VALUE!</v>
      </c>
      <c r="DK90" t="e">
        <f>AND(resultados!R12,"AAAAAHzutXI=")</f>
        <v>#VALUE!</v>
      </c>
      <c r="DL90" t="e">
        <f>AND(resultados!S12,"AAAAAHzutXM=")</f>
        <v>#VALUE!</v>
      </c>
      <c r="DM90" t="e">
        <f>AND(resultados!T12,"AAAAAHzutXQ=")</f>
        <v>#VALUE!</v>
      </c>
      <c r="DN90" t="e">
        <f>AND(resultados!U12,"AAAAAHzutXU=")</f>
        <v>#VALUE!</v>
      </c>
      <c r="DO90" t="e">
        <f>AND(resultados!V12,"AAAAAHzutXY=")</f>
        <v>#VALUE!</v>
      </c>
      <c r="DP90" t="e">
        <f>AND(resultados!W12,"AAAAAHzutXc=")</f>
        <v>#VALUE!</v>
      </c>
      <c r="DQ90" t="e">
        <f>AND(resultados!X12,"AAAAAHzutXg=")</f>
        <v>#VALUE!</v>
      </c>
      <c r="DR90" t="e">
        <f>AND(resultados!Y12,"AAAAAHzutXk=")</f>
        <v>#VALUE!</v>
      </c>
      <c r="DS90" t="e">
        <f>AND(resultados!Z12,"AAAAAHzutXo=")</f>
        <v>#VALUE!</v>
      </c>
      <c r="DT90" t="e">
        <f>AND(resultados!AA12,"AAAAAHzutXs=")</f>
        <v>#VALUE!</v>
      </c>
      <c r="DU90" t="e">
        <f>AND(resultados!AB12,"AAAAAHzutXw=")</f>
        <v>#VALUE!</v>
      </c>
      <c r="DV90" t="e">
        <f>AND(resultados!AC12,"AAAAAHzutX0=")</f>
        <v>#VALUE!</v>
      </c>
      <c r="DW90" t="e">
        <f>AND(resultados!AD12,"AAAAAHzutX4=")</f>
        <v>#VALUE!</v>
      </c>
      <c r="DX90" t="e">
        <f>AND(resultados!AE12,"AAAAAHzutX8=")</f>
        <v>#VALUE!</v>
      </c>
      <c r="DY90" t="e">
        <f>AND(resultados!AF12,"AAAAAHzutYA=")</f>
        <v>#VALUE!</v>
      </c>
      <c r="DZ90" t="e">
        <f>AND(resultados!AG12,"AAAAAHzutYE=")</f>
        <v>#VALUE!</v>
      </c>
      <c r="EA90" t="e">
        <f>AND(resultados!AH12,"AAAAAHzutYI=")</f>
        <v>#VALUE!</v>
      </c>
      <c r="EB90" t="e">
        <f>AND(resultados!AI12,"AAAAAHzutYM=")</f>
        <v>#VALUE!</v>
      </c>
      <c r="EC90">
        <f>IF(resultados!13:13,"AAAAAHzutYQ=",0)</f>
        <v>0</v>
      </c>
      <c r="ED90" t="e">
        <f>AND(resultados!#REF!,"AAAAAHzutYU=")</f>
        <v>#REF!</v>
      </c>
      <c r="EE90" t="e">
        <f>AND(resultados!C13,"AAAAAHzutYY=")</f>
        <v>#VALUE!</v>
      </c>
      <c r="EF90" t="e">
        <f>AND(resultados!D13,"AAAAAHzutYc=")</f>
        <v>#VALUE!</v>
      </c>
      <c r="EG90" t="e">
        <f>AND(resultados!E13,"AAAAAHzutYg=")</f>
        <v>#VALUE!</v>
      </c>
      <c r="EH90" t="e">
        <f>AND(resultados!#REF!,"AAAAAHzutYk=")</f>
        <v>#REF!</v>
      </c>
      <c r="EI90" t="e">
        <f>AND(resultados!G13,"AAAAAHzutYo=")</f>
        <v>#VALUE!</v>
      </c>
      <c r="EJ90" t="e">
        <f>AND(resultados!H13,"AAAAAHzutYs=")</f>
        <v>#VALUE!</v>
      </c>
      <c r="EK90" t="e">
        <f>AND(resultados!I13,"AAAAAHzutYw=")</f>
        <v>#VALUE!</v>
      </c>
      <c r="EL90" t="e">
        <f>AND(resultados!J13,"AAAAAHzutY0=")</f>
        <v>#VALUE!</v>
      </c>
      <c r="EM90" t="e">
        <f>AND(resultados!K13,"AAAAAHzutY4=")</f>
        <v>#VALUE!</v>
      </c>
      <c r="EN90" t="e">
        <f>AND(resultados!L13,"AAAAAHzutY8=")</f>
        <v>#VALUE!</v>
      </c>
      <c r="EO90" t="e">
        <f>AND(resultados!M13,"AAAAAHzutZA=")</f>
        <v>#VALUE!</v>
      </c>
      <c r="EP90" t="e">
        <f>AND(resultados!N13,"AAAAAHzutZE=")</f>
        <v>#VALUE!</v>
      </c>
      <c r="EQ90" t="e">
        <f>AND(resultados!O13,"AAAAAHzutZI=")</f>
        <v>#VALUE!</v>
      </c>
      <c r="ER90" t="e">
        <f>AND(resultados!P13,"AAAAAHzutZM=")</f>
        <v>#VALUE!</v>
      </c>
      <c r="ES90" t="e">
        <f>AND(resultados!Q13,"AAAAAHzutZQ=")</f>
        <v>#VALUE!</v>
      </c>
      <c r="ET90" t="e">
        <f>AND(resultados!R13,"AAAAAHzutZU=")</f>
        <v>#VALUE!</v>
      </c>
      <c r="EU90" t="e">
        <f>AND(resultados!S13,"AAAAAHzutZY=")</f>
        <v>#VALUE!</v>
      </c>
      <c r="EV90" t="e">
        <f>AND(resultados!T13,"AAAAAHzutZc=")</f>
        <v>#VALUE!</v>
      </c>
      <c r="EW90" t="e">
        <f>AND(resultados!U13,"AAAAAHzutZg=")</f>
        <v>#VALUE!</v>
      </c>
      <c r="EX90" t="e">
        <f>AND(resultados!V13,"AAAAAHzutZk=")</f>
        <v>#VALUE!</v>
      </c>
      <c r="EY90" t="e">
        <f>AND(resultados!W13,"AAAAAHzutZo=")</f>
        <v>#VALUE!</v>
      </c>
      <c r="EZ90" t="e">
        <f>AND(resultados!X13,"AAAAAHzutZs=")</f>
        <v>#VALUE!</v>
      </c>
      <c r="FA90" t="e">
        <f>AND(resultados!Y13,"AAAAAHzutZw=")</f>
        <v>#VALUE!</v>
      </c>
      <c r="FB90" t="e">
        <f>AND(resultados!Z13,"AAAAAHzutZ0=")</f>
        <v>#VALUE!</v>
      </c>
      <c r="FC90" t="e">
        <f>AND(resultados!AA13,"AAAAAHzutZ4=")</f>
        <v>#VALUE!</v>
      </c>
      <c r="FD90" t="e">
        <f>AND(resultados!AB13,"AAAAAHzutZ8=")</f>
        <v>#VALUE!</v>
      </c>
      <c r="FE90" t="e">
        <f>AND(resultados!AC13,"AAAAAHzutaA=")</f>
        <v>#VALUE!</v>
      </c>
      <c r="FF90" t="e">
        <f>AND(resultados!AD13,"AAAAAHzutaE=")</f>
        <v>#VALUE!</v>
      </c>
      <c r="FG90" t="e">
        <f>AND(resultados!AE13,"AAAAAHzutaI=")</f>
        <v>#VALUE!</v>
      </c>
      <c r="FH90" t="e">
        <f>AND(resultados!AF13,"AAAAAHzutaM=")</f>
        <v>#VALUE!</v>
      </c>
      <c r="FI90" t="e">
        <f>AND(resultados!AG13,"AAAAAHzutaQ=")</f>
        <v>#VALUE!</v>
      </c>
      <c r="FJ90" t="e">
        <f>AND(resultados!AH13,"AAAAAHzutaU=")</f>
        <v>#VALUE!</v>
      </c>
      <c r="FK90" t="e">
        <f>AND(resultados!AI13,"AAAAAHzutaY=")</f>
        <v>#VALUE!</v>
      </c>
      <c r="FL90">
        <f>IF(resultados!14:14,"AAAAAHzutac=",0)</f>
        <v>0</v>
      </c>
      <c r="FM90" t="e">
        <f>AND(resultados!#REF!,"AAAAAHzutag=")</f>
        <v>#REF!</v>
      </c>
      <c r="FN90" t="e">
        <f>AND(resultados!C14,"AAAAAHzutak=")</f>
        <v>#VALUE!</v>
      </c>
      <c r="FO90" t="e">
        <f>AND(resultados!D14,"AAAAAHzutao=")</f>
        <v>#VALUE!</v>
      </c>
      <c r="FP90" t="e">
        <f>AND(resultados!E14,"AAAAAHzutas=")</f>
        <v>#VALUE!</v>
      </c>
      <c r="FQ90" t="e">
        <f>AND(resultados!#REF!,"AAAAAHzutaw=")</f>
        <v>#REF!</v>
      </c>
      <c r="FR90" t="e">
        <f>AND(resultados!G14,"AAAAAHzuta0=")</f>
        <v>#VALUE!</v>
      </c>
      <c r="FS90" t="e">
        <f>AND(resultados!H14,"AAAAAHzuta4=")</f>
        <v>#VALUE!</v>
      </c>
      <c r="FT90" t="e">
        <f>AND(resultados!I14,"AAAAAHzuta8=")</f>
        <v>#VALUE!</v>
      </c>
      <c r="FU90" t="e">
        <f>AND(resultados!J14,"AAAAAHzutbA=")</f>
        <v>#VALUE!</v>
      </c>
      <c r="FV90" t="e">
        <f>AND(resultados!K14,"AAAAAHzutbE=")</f>
        <v>#VALUE!</v>
      </c>
      <c r="FW90" t="e">
        <f>AND(resultados!L14,"AAAAAHzutbI=")</f>
        <v>#VALUE!</v>
      </c>
      <c r="FX90" t="e">
        <f>AND(resultados!M14,"AAAAAHzutbM=")</f>
        <v>#VALUE!</v>
      </c>
      <c r="FY90" t="e">
        <f>AND(resultados!N14,"AAAAAHzutbQ=")</f>
        <v>#VALUE!</v>
      </c>
      <c r="FZ90" t="e">
        <f>AND(resultados!O14,"AAAAAHzutbU=")</f>
        <v>#VALUE!</v>
      </c>
      <c r="GA90" t="e">
        <f>AND(resultados!P14,"AAAAAHzutbY=")</f>
        <v>#VALUE!</v>
      </c>
      <c r="GB90" t="e">
        <f>AND(resultados!Q14,"AAAAAHzutbc=")</f>
        <v>#VALUE!</v>
      </c>
      <c r="GC90" t="e">
        <f>AND(resultados!R14,"AAAAAHzutbg=")</f>
        <v>#VALUE!</v>
      </c>
      <c r="GD90" t="e">
        <f>AND(resultados!S14,"AAAAAHzutbk=")</f>
        <v>#VALUE!</v>
      </c>
      <c r="GE90" t="e">
        <f>AND(resultados!T14,"AAAAAHzutbo=")</f>
        <v>#VALUE!</v>
      </c>
      <c r="GF90" t="e">
        <f>AND(resultados!U14,"AAAAAHzutbs=")</f>
        <v>#VALUE!</v>
      </c>
      <c r="GG90" t="e">
        <f>AND(resultados!V14,"AAAAAHzutbw=")</f>
        <v>#VALUE!</v>
      </c>
      <c r="GH90" t="e">
        <f>AND(resultados!W14,"AAAAAHzutb0=")</f>
        <v>#VALUE!</v>
      </c>
      <c r="GI90" t="e">
        <f>AND(resultados!X14,"AAAAAHzutb4=")</f>
        <v>#VALUE!</v>
      </c>
      <c r="GJ90" t="e">
        <f>AND(resultados!Y14,"AAAAAHzutb8=")</f>
        <v>#VALUE!</v>
      </c>
      <c r="GK90" t="e">
        <f>AND(resultados!Z14,"AAAAAHzutcA=")</f>
        <v>#VALUE!</v>
      </c>
      <c r="GL90" t="e">
        <f>AND(resultados!AA14,"AAAAAHzutcE=")</f>
        <v>#VALUE!</v>
      </c>
      <c r="GM90" t="e">
        <f>AND(resultados!AB14,"AAAAAHzutcI=")</f>
        <v>#VALUE!</v>
      </c>
      <c r="GN90" t="e">
        <f>AND(resultados!AC14,"AAAAAHzutcM=")</f>
        <v>#VALUE!</v>
      </c>
      <c r="GO90" t="e">
        <f>AND(resultados!AD14,"AAAAAHzutcQ=")</f>
        <v>#VALUE!</v>
      </c>
      <c r="GP90" t="e">
        <f>AND(resultados!AE14,"AAAAAHzutcU=")</f>
        <v>#VALUE!</v>
      </c>
      <c r="GQ90" t="e">
        <f>AND(resultados!AF14,"AAAAAHzutcY=")</f>
        <v>#VALUE!</v>
      </c>
      <c r="GR90" t="e">
        <f>AND(resultados!AG14,"AAAAAHzutcc=")</f>
        <v>#VALUE!</v>
      </c>
      <c r="GS90" t="e">
        <f>AND(resultados!AH14,"AAAAAHzutcg=")</f>
        <v>#VALUE!</v>
      </c>
      <c r="GT90" t="e">
        <f>AND(resultados!AI14,"AAAAAHzutck=")</f>
        <v>#VALUE!</v>
      </c>
      <c r="GU90">
        <f>IF(resultados!15:15,"AAAAAHzutco=",0)</f>
        <v>0</v>
      </c>
      <c r="GV90" t="e">
        <f>AND(resultados!#REF!,"AAAAAHzutcs=")</f>
        <v>#REF!</v>
      </c>
      <c r="GW90" t="e">
        <f>AND(resultados!C15,"AAAAAHzutcw=")</f>
        <v>#VALUE!</v>
      </c>
      <c r="GX90" t="e">
        <f>AND(resultados!D15,"AAAAAHzutc0=")</f>
        <v>#VALUE!</v>
      </c>
      <c r="GY90" t="e">
        <f>AND(resultados!E15,"AAAAAHzutc4=")</f>
        <v>#VALUE!</v>
      </c>
      <c r="GZ90" t="e">
        <f>AND(resultados!#REF!,"AAAAAHzutc8=")</f>
        <v>#REF!</v>
      </c>
      <c r="HA90" t="e">
        <f>AND(resultados!G15,"AAAAAHzutdA=")</f>
        <v>#VALUE!</v>
      </c>
      <c r="HB90" t="e">
        <f>AND(resultados!H15,"AAAAAHzutdE=")</f>
        <v>#VALUE!</v>
      </c>
      <c r="HC90" t="e">
        <f>AND(resultados!I15,"AAAAAHzutdI=")</f>
        <v>#VALUE!</v>
      </c>
      <c r="HD90" t="e">
        <f>AND(resultados!J15,"AAAAAHzutdM=")</f>
        <v>#VALUE!</v>
      </c>
      <c r="HE90" t="e">
        <f>AND(resultados!K15,"AAAAAHzutdQ=")</f>
        <v>#VALUE!</v>
      </c>
      <c r="HF90" t="e">
        <f>AND(resultados!L15,"AAAAAHzutdU=")</f>
        <v>#VALUE!</v>
      </c>
      <c r="HG90" t="e">
        <f>AND(resultados!M15,"AAAAAHzutdY=")</f>
        <v>#VALUE!</v>
      </c>
      <c r="HH90" t="e">
        <f>AND(resultados!N15,"AAAAAHzutdc=")</f>
        <v>#VALUE!</v>
      </c>
      <c r="HI90" t="e">
        <f>AND(resultados!O15,"AAAAAHzutdg=")</f>
        <v>#VALUE!</v>
      </c>
      <c r="HJ90" t="e">
        <f>AND(resultados!P15,"AAAAAHzutdk=")</f>
        <v>#VALUE!</v>
      </c>
      <c r="HK90" t="e">
        <f>AND(resultados!Q15,"AAAAAHzutdo=")</f>
        <v>#VALUE!</v>
      </c>
      <c r="HL90" t="e">
        <f>AND(resultados!R15,"AAAAAHzutds=")</f>
        <v>#VALUE!</v>
      </c>
      <c r="HM90" t="e">
        <f>AND(resultados!S15,"AAAAAHzutdw=")</f>
        <v>#VALUE!</v>
      </c>
      <c r="HN90" t="e">
        <f>AND(resultados!T15,"AAAAAHzutd0=")</f>
        <v>#VALUE!</v>
      </c>
      <c r="HO90" t="e">
        <f>AND(resultados!U15,"AAAAAHzutd4=")</f>
        <v>#VALUE!</v>
      </c>
      <c r="HP90" t="e">
        <f>AND(resultados!V15,"AAAAAHzutd8=")</f>
        <v>#VALUE!</v>
      </c>
      <c r="HQ90" t="e">
        <f>AND(resultados!W15,"AAAAAHzuteA=")</f>
        <v>#VALUE!</v>
      </c>
      <c r="HR90" t="e">
        <f>AND(resultados!X15,"AAAAAHzuteE=")</f>
        <v>#VALUE!</v>
      </c>
      <c r="HS90" t="e">
        <f>AND(resultados!Y15,"AAAAAHzuteI=")</f>
        <v>#VALUE!</v>
      </c>
      <c r="HT90" t="e">
        <f>AND(resultados!Z15,"AAAAAHzuteM=")</f>
        <v>#VALUE!</v>
      </c>
      <c r="HU90" t="e">
        <f>AND(resultados!AA15,"AAAAAHzuteQ=")</f>
        <v>#VALUE!</v>
      </c>
      <c r="HV90" t="e">
        <f>AND(resultados!AB15,"AAAAAHzuteU=")</f>
        <v>#VALUE!</v>
      </c>
      <c r="HW90" t="e">
        <f>AND(resultados!AC15,"AAAAAHzuteY=")</f>
        <v>#VALUE!</v>
      </c>
      <c r="HX90" t="e">
        <f>AND(resultados!AD15,"AAAAAHzutec=")</f>
        <v>#VALUE!</v>
      </c>
      <c r="HY90" t="e">
        <f>AND(resultados!AE15,"AAAAAHzuteg=")</f>
        <v>#VALUE!</v>
      </c>
      <c r="HZ90" t="e">
        <f>AND(resultados!AF15,"AAAAAHzutek=")</f>
        <v>#VALUE!</v>
      </c>
      <c r="IA90" t="e">
        <f>AND(resultados!AG15,"AAAAAHzuteo=")</f>
        <v>#VALUE!</v>
      </c>
      <c r="IB90" t="e">
        <f>AND(resultados!AH15,"AAAAAHzutes=")</f>
        <v>#VALUE!</v>
      </c>
      <c r="IC90" t="e">
        <f>AND(resultados!AI15,"AAAAAHzutew=")</f>
        <v>#VALUE!</v>
      </c>
      <c r="ID90">
        <f>IF(resultados!16:16,"AAAAAHzute0=",0)</f>
        <v>0</v>
      </c>
      <c r="IE90" t="e">
        <f>AND(resultados!#REF!,"AAAAAHzute4=")</f>
        <v>#REF!</v>
      </c>
      <c r="IF90" t="e">
        <f>AND(resultados!C16,"AAAAAHzute8=")</f>
        <v>#VALUE!</v>
      </c>
      <c r="IG90" t="e">
        <f>AND(resultados!D16,"AAAAAHzutfA=")</f>
        <v>#VALUE!</v>
      </c>
      <c r="IH90" t="e">
        <f>AND(resultados!E16,"AAAAAHzutfE=")</f>
        <v>#VALUE!</v>
      </c>
      <c r="II90" t="e">
        <f>AND(resultados!#REF!,"AAAAAHzutfI=")</f>
        <v>#REF!</v>
      </c>
      <c r="IJ90" t="e">
        <f>AND(resultados!G16,"AAAAAHzutfM=")</f>
        <v>#VALUE!</v>
      </c>
      <c r="IK90" t="e">
        <f>AND(resultados!H16,"AAAAAHzutfQ=")</f>
        <v>#VALUE!</v>
      </c>
      <c r="IL90" t="e">
        <f>AND(resultados!I16,"AAAAAHzutfU=")</f>
        <v>#VALUE!</v>
      </c>
      <c r="IM90" t="e">
        <f>AND(resultados!J16,"AAAAAHzutfY=")</f>
        <v>#VALUE!</v>
      </c>
      <c r="IN90" t="e">
        <f>AND(resultados!K16,"AAAAAHzutfc=")</f>
        <v>#VALUE!</v>
      </c>
      <c r="IO90" t="e">
        <f>AND(resultados!L16,"AAAAAHzutfg=")</f>
        <v>#VALUE!</v>
      </c>
      <c r="IP90" t="e">
        <f>AND(resultados!M16,"AAAAAHzutfk=")</f>
        <v>#VALUE!</v>
      </c>
      <c r="IQ90" t="e">
        <f>AND(resultados!N16,"AAAAAHzutfo=")</f>
        <v>#VALUE!</v>
      </c>
      <c r="IR90" t="e">
        <f>AND(resultados!O16,"AAAAAHzutfs=")</f>
        <v>#VALUE!</v>
      </c>
      <c r="IS90" t="e">
        <f>AND(resultados!P16,"AAAAAHzutfw=")</f>
        <v>#VALUE!</v>
      </c>
      <c r="IT90" t="e">
        <f>AND(resultados!Q16,"AAAAAHzutf0=")</f>
        <v>#VALUE!</v>
      </c>
      <c r="IU90" t="e">
        <f>AND(resultados!R16,"AAAAAHzutf4=")</f>
        <v>#VALUE!</v>
      </c>
      <c r="IV90" t="e">
        <f>AND(resultados!S16,"AAAAAHzutf8=")</f>
        <v>#VALUE!</v>
      </c>
    </row>
    <row r="91" spans="1:256" x14ac:dyDescent="0.2">
      <c r="A91" t="e">
        <f>AND(resultados!T16,"AAAAAGfoNgA=")</f>
        <v>#VALUE!</v>
      </c>
      <c r="B91" t="e">
        <f>AND(resultados!U16,"AAAAAGfoNgE=")</f>
        <v>#VALUE!</v>
      </c>
      <c r="C91" t="e">
        <f>AND(resultados!V16,"AAAAAGfoNgI=")</f>
        <v>#VALUE!</v>
      </c>
      <c r="D91" t="e">
        <f>AND(resultados!W16,"AAAAAGfoNgM=")</f>
        <v>#VALUE!</v>
      </c>
      <c r="E91" t="e">
        <f>AND(resultados!X16,"AAAAAGfoNgQ=")</f>
        <v>#VALUE!</v>
      </c>
      <c r="F91" t="e">
        <f>AND(resultados!Y16,"AAAAAGfoNgU=")</f>
        <v>#VALUE!</v>
      </c>
      <c r="G91" t="e">
        <f>AND(resultados!Z16,"AAAAAGfoNgY=")</f>
        <v>#VALUE!</v>
      </c>
      <c r="H91" t="e">
        <f>AND(resultados!AA16,"AAAAAGfoNgc=")</f>
        <v>#VALUE!</v>
      </c>
      <c r="I91" t="e">
        <f>AND(resultados!AB16,"AAAAAGfoNgg=")</f>
        <v>#VALUE!</v>
      </c>
      <c r="J91" t="e">
        <f>AND(resultados!AC16,"AAAAAGfoNgk=")</f>
        <v>#VALUE!</v>
      </c>
      <c r="K91" t="e">
        <f>AND(resultados!AD16,"AAAAAGfoNgo=")</f>
        <v>#VALUE!</v>
      </c>
      <c r="L91" t="e">
        <f>AND(resultados!AE16,"AAAAAGfoNgs=")</f>
        <v>#VALUE!</v>
      </c>
      <c r="M91" t="e">
        <f>AND(resultados!AF16,"AAAAAGfoNgw=")</f>
        <v>#VALUE!</v>
      </c>
      <c r="N91" t="e">
        <f>AND(resultados!AG16,"AAAAAGfoNg0=")</f>
        <v>#VALUE!</v>
      </c>
      <c r="O91" t="e">
        <f>AND(resultados!AH16,"AAAAAGfoNg4=")</f>
        <v>#VALUE!</v>
      </c>
      <c r="P91" t="e">
        <f>AND(resultados!AI16,"AAAAAGfoNg8=")</f>
        <v>#VALUE!</v>
      </c>
      <c r="Q91">
        <f>IF(resultados!17:17,"AAAAAGfoNhA=",0)</f>
        <v>0</v>
      </c>
      <c r="R91" t="e">
        <f>AND(resultados!#REF!,"AAAAAGfoNhE=")</f>
        <v>#REF!</v>
      </c>
      <c r="S91" t="e">
        <f>AND(resultados!C17,"AAAAAGfoNhI=")</f>
        <v>#VALUE!</v>
      </c>
      <c r="T91" t="e">
        <f>AND(resultados!D17,"AAAAAGfoNhM=")</f>
        <v>#VALUE!</v>
      </c>
      <c r="U91" t="e">
        <f>AND(resultados!E17,"AAAAAGfoNhQ=")</f>
        <v>#VALUE!</v>
      </c>
      <c r="V91" t="e">
        <f>AND(resultados!#REF!,"AAAAAGfoNhU=")</f>
        <v>#REF!</v>
      </c>
      <c r="W91" t="e">
        <f>AND(resultados!G17,"AAAAAGfoNhY=")</f>
        <v>#VALUE!</v>
      </c>
      <c r="X91" t="e">
        <f>AND(resultados!H17,"AAAAAGfoNhc=")</f>
        <v>#VALUE!</v>
      </c>
      <c r="Y91" t="e">
        <f>AND(resultados!I17,"AAAAAGfoNhg=")</f>
        <v>#VALUE!</v>
      </c>
      <c r="Z91" t="e">
        <f>AND(resultados!J17,"AAAAAGfoNhk=")</f>
        <v>#VALUE!</v>
      </c>
      <c r="AA91" t="e">
        <f>AND(resultados!K17,"AAAAAGfoNho=")</f>
        <v>#VALUE!</v>
      </c>
      <c r="AB91" t="e">
        <f>AND(resultados!L17,"AAAAAGfoNhs=")</f>
        <v>#VALUE!</v>
      </c>
      <c r="AC91" t="e">
        <f>AND(resultados!M17,"AAAAAGfoNhw=")</f>
        <v>#VALUE!</v>
      </c>
      <c r="AD91" t="e">
        <f>AND(resultados!N17,"AAAAAGfoNh0=")</f>
        <v>#VALUE!</v>
      </c>
      <c r="AE91" t="e">
        <f>AND(resultados!O17,"AAAAAGfoNh4=")</f>
        <v>#VALUE!</v>
      </c>
      <c r="AF91" t="e">
        <f>AND(resultados!P17,"AAAAAGfoNh8=")</f>
        <v>#VALUE!</v>
      </c>
      <c r="AG91" t="e">
        <f>AND(resultados!Q17,"AAAAAGfoNiA=")</f>
        <v>#VALUE!</v>
      </c>
      <c r="AH91" t="e">
        <f>AND(resultados!R17,"AAAAAGfoNiE=")</f>
        <v>#VALUE!</v>
      </c>
      <c r="AI91" t="e">
        <f>AND(resultados!S17,"AAAAAGfoNiI=")</f>
        <v>#VALUE!</v>
      </c>
      <c r="AJ91" t="e">
        <f>AND(resultados!T17,"AAAAAGfoNiM=")</f>
        <v>#VALUE!</v>
      </c>
      <c r="AK91" t="e">
        <f>AND(resultados!U17,"AAAAAGfoNiQ=")</f>
        <v>#VALUE!</v>
      </c>
      <c r="AL91" t="e">
        <f>AND(resultados!V17,"AAAAAGfoNiU=")</f>
        <v>#VALUE!</v>
      </c>
      <c r="AM91" t="e">
        <f>AND(resultados!W17,"AAAAAGfoNiY=")</f>
        <v>#VALUE!</v>
      </c>
      <c r="AN91" t="e">
        <f>AND(resultados!X17,"AAAAAGfoNic=")</f>
        <v>#VALUE!</v>
      </c>
      <c r="AO91" t="e">
        <f>AND(resultados!Y17,"AAAAAGfoNig=")</f>
        <v>#VALUE!</v>
      </c>
      <c r="AP91" t="e">
        <f>AND(resultados!Z17,"AAAAAGfoNik=")</f>
        <v>#VALUE!</v>
      </c>
      <c r="AQ91" t="e">
        <f>AND(resultados!AA17,"AAAAAGfoNio=")</f>
        <v>#VALUE!</v>
      </c>
      <c r="AR91" t="e">
        <f>AND(resultados!AB17,"AAAAAGfoNis=")</f>
        <v>#VALUE!</v>
      </c>
      <c r="AS91" t="e">
        <f>AND(resultados!AC17,"AAAAAGfoNiw=")</f>
        <v>#VALUE!</v>
      </c>
      <c r="AT91" t="e">
        <f>AND(resultados!AD17,"AAAAAGfoNi0=")</f>
        <v>#VALUE!</v>
      </c>
      <c r="AU91" t="e">
        <f>AND(resultados!AE17,"AAAAAGfoNi4=")</f>
        <v>#VALUE!</v>
      </c>
      <c r="AV91" t="e">
        <f>AND(resultados!AF17,"AAAAAGfoNi8=")</f>
        <v>#VALUE!</v>
      </c>
      <c r="AW91" t="e">
        <f>AND(resultados!AG17,"AAAAAGfoNjA=")</f>
        <v>#VALUE!</v>
      </c>
      <c r="AX91" t="e">
        <f>AND(resultados!AH17,"AAAAAGfoNjE=")</f>
        <v>#VALUE!</v>
      </c>
      <c r="AY91" t="e">
        <f>AND(resultados!AI17,"AAAAAGfoNjI=")</f>
        <v>#VALUE!</v>
      </c>
      <c r="AZ91">
        <f>IF(resultados!18:18,"AAAAAGfoNjM=",0)</f>
        <v>0</v>
      </c>
      <c r="BA91" t="e">
        <f>AND(resultados!#REF!,"AAAAAGfoNjQ=")</f>
        <v>#REF!</v>
      </c>
      <c r="BB91" t="e">
        <f>AND(resultados!C18,"AAAAAGfoNjU=")</f>
        <v>#VALUE!</v>
      </c>
      <c r="BC91" t="e">
        <f>AND(resultados!D18,"AAAAAGfoNjY=")</f>
        <v>#VALUE!</v>
      </c>
      <c r="BD91" t="e">
        <f>AND(resultados!E18,"AAAAAGfoNjc=")</f>
        <v>#VALUE!</v>
      </c>
      <c r="BE91" t="e">
        <f>AND(resultados!#REF!,"AAAAAGfoNjg=")</f>
        <v>#REF!</v>
      </c>
      <c r="BF91" t="e">
        <f>AND(resultados!G18,"AAAAAGfoNjk=")</f>
        <v>#VALUE!</v>
      </c>
      <c r="BG91" t="e">
        <f>AND(resultados!H18,"AAAAAGfoNjo=")</f>
        <v>#VALUE!</v>
      </c>
      <c r="BH91" t="e">
        <f>AND(resultados!I18,"AAAAAGfoNjs=")</f>
        <v>#VALUE!</v>
      </c>
      <c r="BI91" t="e">
        <f>AND(resultados!J18,"AAAAAGfoNjw=")</f>
        <v>#VALUE!</v>
      </c>
      <c r="BJ91" t="e">
        <f>AND(resultados!K18,"AAAAAGfoNj0=")</f>
        <v>#VALUE!</v>
      </c>
      <c r="BK91" t="e">
        <f>AND(resultados!L18,"AAAAAGfoNj4=")</f>
        <v>#VALUE!</v>
      </c>
      <c r="BL91" t="e">
        <f>AND(resultados!M18,"AAAAAGfoNj8=")</f>
        <v>#VALUE!</v>
      </c>
      <c r="BM91" t="e">
        <f>AND(resultados!N18,"AAAAAGfoNkA=")</f>
        <v>#VALUE!</v>
      </c>
      <c r="BN91" t="e">
        <f>AND(resultados!O18,"AAAAAGfoNkE=")</f>
        <v>#VALUE!</v>
      </c>
      <c r="BO91" t="e">
        <f>AND(resultados!P18,"AAAAAGfoNkI=")</f>
        <v>#VALUE!</v>
      </c>
      <c r="BP91" t="e">
        <f>AND(resultados!Q18,"AAAAAGfoNkM=")</f>
        <v>#VALUE!</v>
      </c>
      <c r="BQ91" t="e">
        <f>AND(resultados!R18,"AAAAAGfoNkQ=")</f>
        <v>#VALUE!</v>
      </c>
      <c r="BR91" t="e">
        <f>AND(resultados!S18,"AAAAAGfoNkU=")</f>
        <v>#VALUE!</v>
      </c>
      <c r="BS91" t="e">
        <f>AND(resultados!T18,"AAAAAGfoNkY=")</f>
        <v>#VALUE!</v>
      </c>
      <c r="BT91" t="e">
        <f>AND(resultados!U18,"AAAAAGfoNkc=")</f>
        <v>#VALUE!</v>
      </c>
      <c r="BU91" t="e">
        <f>AND(resultados!V18,"AAAAAGfoNkg=")</f>
        <v>#VALUE!</v>
      </c>
      <c r="BV91" t="e">
        <f>AND(resultados!W18,"AAAAAGfoNkk=")</f>
        <v>#VALUE!</v>
      </c>
      <c r="BW91" t="e">
        <f>AND(resultados!X18,"AAAAAGfoNko=")</f>
        <v>#VALUE!</v>
      </c>
      <c r="BX91" t="e">
        <f>AND(resultados!Y18,"AAAAAGfoNks=")</f>
        <v>#VALUE!</v>
      </c>
      <c r="BY91" t="e">
        <f>AND(resultados!Z18,"AAAAAGfoNkw=")</f>
        <v>#VALUE!</v>
      </c>
      <c r="BZ91" t="e">
        <f>AND(resultados!AA18,"AAAAAGfoNk0=")</f>
        <v>#VALUE!</v>
      </c>
      <c r="CA91" t="e">
        <f>AND(resultados!AB18,"AAAAAGfoNk4=")</f>
        <v>#VALUE!</v>
      </c>
      <c r="CB91" t="e">
        <f>AND(resultados!AC18,"AAAAAGfoNk8=")</f>
        <v>#VALUE!</v>
      </c>
      <c r="CC91" t="e">
        <f>AND(resultados!AD18,"AAAAAGfoNlA=")</f>
        <v>#VALUE!</v>
      </c>
      <c r="CD91" t="e">
        <f>AND(resultados!AE18,"AAAAAGfoNlE=")</f>
        <v>#VALUE!</v>
      </c>
      <c r="CE91" t="e">
        <f>AND(resultados!AF18,"AAAAAGfoNlI=")</f>
        <v>#VALUE!</v>
      </c>
      <c r="CF91" t="e">
        <f>AND(resultados!AG18,"AAAAAGfoNlM=")</f>
        <v>#VALUE!</v>
      </c>
      <c r="CG91" t="e">
        <f>AND(resultados!AH18,"AAAAAGfoNlQ=")</f>
        <v>#VALUE!</v>
      </c>
      <c r="CH91" t="e">
        <f>AND(resultados!AI18,"AAAAAGfoNlU=")</f>
        <v>#VALUE!</v>
      </c>
      <c r="CI91">
        <f>IF(resultados!19:19,"AAAAAGfoNlY=",0)</f>
        <v>0</v>
      </c>
      <c r="CJ91" t="e">
        <f>AND(resultados!#REF!,"AAAAAGfoNlc=")</f>
        <v>#REF!</v>
      </c>
      <c r="CK91" t="e">
        <f>AND(resultados!C19,"AAAAAGfoNlg=")</f>
        <v>#VALUE!</v>
      </c>
      <c r="CL91" t="e">
        <f>AND(resultados!D19,"AAAAAGfoNlk=")</f>
        <v>#VALUE!</v>
      </c>
      <c r="CM91" t="e">
        <f>AND(resultados!E19,"AAAAAGfoNlo=")</f>
        <v>#VALUE!</v>
      </c>
      <c r="CN91" t="e">
        <f>AND(resultados!#REF!,"AAAAAGfoNls=")</f>
        <v>#REF!</v>
      </c>
      <c r="CO91" t="e">
        <f>AND(resultados!G19,"AAAAAGfoNlw=")</f>
        <v>#VALUE!</v>
      </c>
      <c r="CP91" t="e">
        <f>AND(resultados!H19,"AAAAAGfoNl0=")</f>
        <v>#VALUE!</v>
      </c>
      <c r="CQ91" t="e">
        <f>AND(resultados!I19,"AAAAAGfoNl4=")</f>
        <v>#VALUE!</v>
      </c>
      <c r="CR91" t="e">
        <f>AND(resultados!J19,"AAAAAGfoNl8=")</f>
        <v>#VALUE!</v>
      </c>
      <c r="CS91" t="e">
        <f>AND(resultados!K19,"AAAAAGfoNmA=")</f>
        <v>#VALUE!</v>
      </c>
      <c r="CT91" t="e">
        <f>AND(resultados!L19,"AAAAAGfoNmE=")</f>
        <v>#VALUE!</v>
      </c>
      <c r="CU91" t="e">
        <f>AND(resultados!M19,"AAAAAGfoNmI=")</f>
        <v>#VALUE!</v>
      </c>
      <c r="CV91" t="e">
        <f>AND(resultados!N19,"AAAAAGfoNmM=")</f>
        <v>#VALUE!</v>
      </c>
      <c r="CW91" t="e">
        <f>AND(resultados!O19,"AAAAAGfoNmQ=")</f>
        <v>#VALUE!</v>
      </c>
      <c r="CX91" t="e">
        <f>AND(resultados!P19,"AAAAAGfoNmU=")</f>
        <v>#VALUE!</v>
      </c>
      <c r="CY91" t="e">
        <f>AND(resultados!Q19,"AAAAAGfoNmY=")</f>
        <v>#VALUE!</v>
      </c>
      <c r="CZ91" t="e">
        <f>AND(resultados!R19,"AAAAAGfoNmc=")</f>
        <v>#VALUE!</v>
      </c>
      <c r="DA91" t="e">
        <f>AND(resultados!S19,"AAAAAGfoNmg=")</f>
        <v>#VALUE!</v>
      </c>
      <c r="DB91" t="e">
        <f>AND(resultados!T19,"AAAAAGfoNmk=")</f>
        <v>#VALUE!</v>
      </c>
      <c r="DC91" t="e">
        <f>AND(resultados!U19,"AAAAAGfoNmo=")</f>
        <v>#VALUE!</v>
      </c>
      <c r="DD91" t="e">
        <f>AND(resultados!V19,"AAAAAGfoNms=")</f>
        <v>#VALUE!</v>
      </c>
      <c r="DE91" t="e">
        <f>AND(resultados!W19,"AAAAAGfoNmw=")</f>
        <v>#VALUE!</v>
      </c>
      <c r="DF91" t="e">
        <f>AND(resultados!X19,"AAAAAGfoNm0=")</f>
        <v>#VALUE!</v>
      </c>
      <c r="DG91" t="e">
        <f>AND(resultados!Y19,"AAAAAGfoNm4=")</f>
        <v>#VALUE!</v>
      </c>
      <c r="DH91" t="e">
        <f>AND(resultados!Z19,"AAAAAGfoNm8=")</f>
        <v>#VALUE!</v>
      </c>
      <c r="DI91" t="e">
        <f>AND(resultados!AA19,"AAAAAGfoNnA=")</f>
        <v>#VALUE!</v>
      </c>
      <c r="DJ91" t="e">
        <f>AND(resultados!AB19,"AAAAAGfoNnE=")</f>
        <v>#VALUE!</v>
      </c>
      <c r="DK91" t="e">
        <f>AND(resultados!AC19,"AAAAAGfoNnI=")</f>
        <v>#VALUE!</v>
      </c>
      <c r="DL91" t="e">
        <f>AND(resultados!AD19,"AAAAAGfoNnM=")</f>
        <v>#VALUE!</v>
      </c>
      <c r="DM91" t="e">
        <f>AND(resultados!AE19,"AAAAAGfoNnQ=")</f>
        <v>#VALUE!</v>
      </c>
      <c r="DN91" t="e">
        <f>AND(resultados!AF19,"AAAAAGfoNnU=")</f>
        <v>#VALUE!</v>
      </c>
      <c r="DO91" t="e">
        <f>AND(resultados!AG19,"AAAAAGfoNnY=")</f>
        <v>#VALUE!</v>
      </c>
      <c r="DP91" t="e">
        <f>AND(resultados!AH19,"AAAAAGfoNnc=")</f>
        <v>#VALUE!</v>
      </c>
      <c r="DQ91" t="e">
        <f>AND(resultados!AI19,"AAAAAGfoNng=")</f>
        <v>#VALUE!</v>
      </c>
      <c r="DR91">
        <f>IF(resultados!20:20,"AAAAAGfoNnk=",0)</f>
        <v>0</v>
      </c>
      <c r="DS91" t="e">
        <f>AND(resultados!#REF!,"AAAAAGfoNno=")</f>
        <v>#REF!</v>
      </c>
      <c r="DT91" t="e">
        <f>AND(resultados!C20,"AAAAAGfoNns=")</f>
        <v>#VALUE!</v>
      </c>
      <c r="DU91" t="e">
        <f>AND(resultados!D20,"AAAAAGfoNnw=")</f>
        <v>#VALUE!</v>
      </c>
      <c r="DV91" t="e">
        <f>AND(resultados!E20,"AAAAAGfoNn0=")</f>
        <v>#VALUE!</v>
      </c>
      <c r="DW91" t="e">
        <f>AND(resultados!#REF!,"AAAAAGfoNn4=")</f>
        <v>#REF!</v>
      </c>
      <c r="DX91" t="e">
        <f>AND(resultados!G20,"AAAAAGfoNn8=")</f>
        <v>#VALUE!</v>
      </c>
      <c r="DY91" t="e">
        <f>AND(resultados!H20,"AAAAAGfoNoA=")</f>
        <v>#VALUE!</v>
      </c>
      <c r="DZ91" t="e">
        <f>AND(resultados!I20,"AAAAAGfoNoE=")</f>
        <v>#VALUE!</v>
      </c>
      <c r="EA91" t="e">
        <f>AND(resultados!J20,"AAAAAGfoNoI=")</f>
        <v>#VALUE!</v>
      </c>
      <c r="EB91" t="e">
        <f>AND(resultados!K20,"AAAAAGfoNoM=")</f>
        <v>#VALUE!</v>
      </c>
      <c r="EC91" t="e">
        <f>AND(resultados!L20,"AAAAAGfoNoQ=")</f>
        <v>#VALUE!</v>
      </c>
      <c r="ED91" t="e">
        <f>AND(resultados!M20,"AAAAAGfoNoU=")</f>
        <v>#VALUE!</v>
      </c>
      <c r="EE91" t="e">
        <f>AND(resultados!N20,"AAAAAGfoNoY=")</f>
        <v>#VALUE!</v>
      </c>
      <c r="EF91" t="e">
        <f>AND(resultados!O20,"AAAAAGfoNoc=")</f>
        <v>#VALUE!</v>
      </c>
      <c r="EG91" t="e">
        <f>AND(resultados!P20,"AAAAAGfoNog=")</f>
        <v>#VALUE!</v>
      </c>
      <c r="EH91" t="e">
        <f>AND(resultados!Q20,"AAAAAGfoNok=")</f>
        <v>#VALUE!</v>
      </c>
      <c r="EI91" t="e">
        <f>AND(resultados!R20,"AAAAAGfoNoo=")</f>
        <v>#VALUE!</v>
      </c>
      <c r="EJ91" t="e">
        <f>AND(resultados!S20,"AAAAAGfoNos=")</f>
        <v>#VALUE!</v>
      </c>
      <c r="EK91" t="e">
        <f>AND(resultados!T20,"AAAAAGfoNow=")</f>
        <v>#VALUE!</v>
      </c>
      <c r="EL91" t="e">
        <f>AND(resultados!U20,"AAAAAGfoNo0=")</f>
        <v>#VALUE!</v>
      </c>
      <c r="EM91" t="e">
        <f>AND(resultados!V20,"AAAAAGfoNo4=")</f>
        <v>#VALUE!</v>
      </c>
      <c r="EN91" t="e">
        <f>AND(resultados!W20,"AAAAAGfoNo8=")</f>
        <v>#VALUE!</v>
      </c>
      <c r="EO91" t="e">
        <f>AND(resultados!X20,"AAAAAGfoNpA=")</f>
        <v>#VALUE!</v>
      </c>
      <c r="EP91" t="e">
        <f>AND(resultados!Y20,"AAAAAGfoNpE=")</f>
        <v>#VALUE!</v>
      </c>
      <c r="EQ91" t="e">
        <f>AND(resultados!Z20,"AAAAAGfoNpI=")</f>
        <v>#VALUE!</v>
      </c>
      <c r="ER91" t="e">
        <f>AND(resultados!AA20,"AAAAAGfoNpM=")</f>
        <v>#VALUE!</v>
      </c>
      <c r="ES91" t="e">
        <f>AND(resultados!AB20,"AAAAAGfoNpQ=")</f>
        <v>#VALUE!</v>
      </c>
      <c r="ET91" t="e">
        <f>AND(resultados!AC20,"AAAAAGfoNpU=")</f>
        <v>#VALUE!</v>
      </c>
      <c r="EU91" t="e">
        <f>AND(resultados!AD20,"AAAAAGfoNpY=")</f>
        <v>#VALUE!</v>
      </c>
      <c r="EV91" t="e">
        <f>AND(resultados!AE20,"AAAAAGfoNpc=")</f>
        <v>#VALUE!</v>
      </c>
      <c r="EW91" t="e">
        <f>AND(resultados!AF20,"AAAAAGfoNpg=")</f>
        <v>#VALUE!</v>
      </c>
      <c r="EX91" t="e">
        <f>AND(resultados!AG20,"AAAAAGfoNpk=")</f>
        <v>#VALUE!</v>
      </c>
      <c r="EY91" t="e">
        <f>AND(resultados!AH20,"AAAAAGfoNpo=")</f>
        <v>#VALUE!</v>
      </c>
      <c r="EZ91" t="e">
        <f>AND(resultados!AI20,"AAAAAGfoNps=")</f>
        <v>#VALUE!</v>
      </c>
      <c r="FA91">
        <f>IF(resultados!21:21,"AAAAAGfoNpw=",0)</f>
        <v>0</v>
      </c>
      <c r="FB91" t="e">
        <f>AND(resultados!#REF!,"AAAAAGfoNp0=")</f>
        <v>#REF!</v>
      </c>
      <c r="FC91" t="e">
        <f>AND(resultados!C21,"AAAAAGfoNp4=")</f>
        <v>#VALUE!</v>
      </c>
      <c r="FD91" t="e">
        <f>AND(resultados!D21,"AAAAAGfoNp8=")</f>
        <v>#VALUE!</v>
      </c>
      <c r="FE91" t="e">
        <f>AND(resultados!E21,"AAAAAGfoNqA=")</f>
        <v>#VALUE!</v>
      </c>
      <c r="FF91" t="e">
        <f>AND(resultados!#REF!,"AAAAAGfoNqE=")</f>
        <v>#REF!</v>
      </c>
      <c r="FG91" t="e">
        <f>AND(resultados!G21,"AAAAAGfoNqI=")</f>
        <v>#VALUE!</v>
      </c>
      <c r="FH91" t="e">
        <f>AND(resultados!H21,"AAAAAGfoNqM=")</f>
        <v>#VALUE!</v>
      </c>
      <c r="FI91" t="e">
        <f>AND(resultados!I21,"AAAAAGfoNqQ=")</f>
        <v>#VALUE!</v>
      </c>
      <c r="FJ91" t="e">
        <f>AND(resultados!J21,"AAAAAGfoNqU=")</f>
        <v>#VALUE!</v>
      </c>
      <c r="FK91" t="e">
        <f>AND(resultados!K21,"AAAAAGfoNqY=")</f>
        <v>#VALUE!</v>
      </c>
      <c r="FL91" t="e">
        <f>AND(resultados!L21,"AAAAAGfoNqc=")</f>
        <v>#VALUE!</v>
      </c>
      <c r="FM91" t="e">
        <f>AND(resultados!M21,"AAAAAGfoNqg=")</f>
        <v>#VALUE!</v>
      </c>
      <c r="FN91" t="e">
        <f>AND(resultados!N21,"AAAAAGfoNqk=")</f>
        <v>#VALUE!</v>
      </c>
      <c r="FO91" t="e">
        <f>AND(resultados!O21,"AAAAAGfoNqo=")</f>
        <v>#VALUE!</v>
      </c>
      <c r="FP91" t="e">
        <f>AND(resultados!P21,"AAAAAGfoNqs=")</f>
        <v>#VALUE!</v>
      </c>
      <c r="FQ91" t="e">
        <f>AND(resultados!Q21,"AAAAAGfoNqw=")</f>
        <v>#VALUE!</v>
      </c>
      <c r="FR91" t="e">
        <f>AND(resultados!R21,"AAAAAGfoNq0=")</f>
        <v>#VALUE!</v>
      </c>
      <c r="FS91" t="e">
        <f>AND(resultados!S21,"AAAAAGfoNq4=")</f>
        <v>#VALUE!</v>
      </c>
      <c r="FT91" t="e">
        <f>AND(resultados!T21,"AAAAAGfoNq8=")</f>
        <v>#VALUE!</v>
      </c>
      <c r="FU91" t="e">
        <f>AND(resultados!U21,"AAAAAGfoNrA=")</f>
        <v>#VALUE!</v>
      </c>
      <c r="FV91" t="e">
        <f>AND(resultados!V21,"AAAAAGfoNrE=")</f>
        <v>#VALUE!</v>
      </c>
      <c r="FW91" t="e">
        <f>AND(resultados!W21,"AAAAAGfoNrI=")</f>
        <v>#VALUE!</v>
      </c>
      <c r="FX91" t="e">
        <f>AND(resultados!X21,"AAAAAGfoNrM=")</f>
        <v>#VALUE!</v>
      </c>
      <c r="FY91" t="e">
        <f>AND(resultados!Y21,"AAAAAGfoNrQ=")</f>
        <v>#VALUE!</v>
      </c>
      <c r="FZ91" t="e">
        <f>AND(resultados!Z21,"AAAAAGfoNrU=")</f>
        <v>#VALUE!</v>
      </c>
      <c r="GA91" t="e">
        <f>AND(resultados!AA21,"AAAAAGfoNrY=")</f>
        <v>#VALUE!</v>
      </c>
      <c r="GB91" t="e">
        <f>AND(resultados!AB21,"AAAAAGfoNrc=")</f>
        <v>#VALUE!</v>
      </c>
      <c r="GC91" t="e">
        <f>AND(resultados!AC21,"AAAAAGfoNrg=")</f>
        <v>#VALUE!</v>
      </c>
      <c r="GD91" t="e">
        <f>AND(resultados!AD21,"AAAAAGfoNrk=")</f>
        <v>#VALUE!</v>
      </c>
      <c r="GE91" t="e">
        <f>AND(resultados!AE21,"AAAAAGfoNro=")</f>
        <v>#VALUE!</v>
      </c>
      <c r="GF91" t="e">
        <f>AND(resultados!AF21,"AAAAAGfoNrs=")</f>
        <v>#VALUE!</v>
      </c>
      <c r="GG91" t="e">
        <f>AND(resultados!AG21,"AAAAAGfoNrw=")</f>
        <v>#VALUE!</v>
      </c>
      <c r="GH91" t="e">
        <f>AND(resultados!AH21,"AAAAAGfoNr0=")</f>
        <v>#VALUE!</v>
      </c>
      <c r="GI91" t="e">
        <f>AND(resultados!AI21,"AAAAAGfoNr4=")</f>
        <v>#VALUE!</v>
      </c>
      <c r="GJ91">
        <f>IF(resultados!22:22,"AAAAAGfoNr8=",0)</f>
        <v>0</v>
      </c>
      <c r="GK91" t="e">
        <f>AND(resultados!#REF!,"AAAAAGfoNsA=")</f>
        <v>#REF!</v>
      </c>
      <c r="GL91" t="e">
        <f>AND(resultados!C22,"AAAAAGfoNsE=")</f>
        <v>#VALUE!</v>
      </c>
      <c r="GM91" t="e">
        <f>AND(resultados!D22,"AAAAAGfoNsI=")</f>
        <v>#VALUE!</v>
      </c>
      <c r="GN91" t="e">
        <f>AND(resultados!E22,"AAAAAGfoNsM=")</f>
        <v>#VALUE!</v>
      </c>
      <c r="GO91" t="e">
        <f>AND(resultados!#REF!,"AAAAAGfoNsQ=")</f>
        <v>#REF!</v>
      </c>
      <c r="GP91" t="e">
        <f>AND(resultados!G22,"AAAAAGfoNsU=")</f>
        <v>#VALUE!</v>
      </c>
      <c r="GQ91" t="e">
        <f>AND(resultados!H22,"AAAAAGfoNsY=")</f>
        <v>#VALUE!</v>
      </c>
      <c r="GR91" t="e">
        <f>AND(resultados!I22,"AAAAAGfoNsc=")</f>
        <v>#VALUE!</v>
      </c>
      <c r="GS91" t="e">
        <f>AND(resultados!J22,"AAAAAGfoNsg=")</f>
        <v>#VALUE!</v>
      </c>
      <c r="GT91" t="e">
        <f>AND(resultados!K22,"AAAAAGfoNsk=")</f>
        <v>#VALUE!</v>
      </c>
      <c r="GU91" t="e">
        <f>AND(resultados!L22,"AAAAAGfoNso=")</f>
        <v>#VALUE!</v>
      </c>
      <c r="GV91" t="e">
        <f>AND(resultados!M22,"AAAAAGfoNss=")</f>
        <v>#VALUE!</v>
      </c>
      <c r="GW91" t="e">
        <f>AND(resultados!N22,"AAAAAGfoNsw=")</f>
        <v>#VALUE!</v>
      </c>
      <c r="GX91" t="e">
        <f>AND(resultados!O22,"AAAAAGfoNs0=")</f>
        <v>#VALUE!</v>
      </c>
      <c r="GY91" t="e">
        <f>AND(resultados!P22,"AAAAAGfoNs4=")</f>
        <v>#VALUE!</v>
      </c>
      <c r="GZ91" t="e">
        <f>AND(resultados!Q22,"AAAAAGfoNs8=")</f>
        <v>#VALUE!</v>
      </c>
      <c r="HA91" t="e">
        <f>AND(resultados!R22,"AAAAAGfoNtA=")</f>
        <v>#VALUE!</v>
      </c>
      <c r="HB91" t="e">
        <f>AND(resultados!S22,"AAAAAGfoNtE=")</f>
        <v>#VALUE!</v>
      </c>
      <c r="HC91" t="e">
        <f>AND(resultados!T22,"AAAAAGfoNtI=")</f>
        <v>#VALUE!</v>
      </c>
      <c r="HD91" t="e">
        <f>AND(resultados!U22,"AAAAAGfoNtM=")</f>
        <v>#VALUE!</v>
      </c>
      <c r="HE91" t="e">
        <f>AND(resultados!V22,"AAAAAGfoNtQ=")</f>
        <v>#VALUE!</v>
      </c>
      <c r="HF91" t="e">
        <f>AND(resultados!W22,"AAAAAGfoNtU=")</f>
        <v>#VALUE!</v>
      </c>
      <c r="HG91" t="e">
        <f>AND(resultados!X22,"AAAAAGfoNtY=")</f>
        <v>#VALUE!</v>
      </c>
      <c r="HH91" t="e">
        <f>AND(resultados!Y22,"AAAAAGfoNtc=")</f>
        <v>#VALUE!</v>
      </c>
      <c r="HI91" t="e">
        <f>AND(resultados!Z22,"AAAAAGfoNtg=")</f>
        <v>#VALUE!</v>
      </c>
      <c r="HJ91" t="e">
        <f>AND(resultados!AA22,"AAAAAGfoNtk=")</f>
        <v>#VALUE!</v>
      </c>
      <c r="HK91" t="e">
        <f>AND(resultados!AB22,"AAAAAGfoNto=")</f>
        <v>#VALUE!</v>
      </c>
      <c r="HL91" t="e">
        <f>AND(resultados!AC22,"AAAAAGfoNts=")</f>
        <v>#VALUE!</v>
      </c>
      <c r="HM91" t="e">
        <f>AND(resultados!AD22,"AAAAAGfoNtw=")</f>
        <v>#VALUE!</v>
      </c>
      <c r="HN91" t="e">
        <f>AND(resultados!AE22,"AAAAAGfoNt0=")</f>
        <v>#VALUE!</v>
      </c>
      <c r="HO91" t="e">
        <f>AND(resultados!AF22,"AAAAAGfoNt4=")</f>
        <v>#VALUE!</v>
      </c>
      <c r="HP91" t="e">
        <f>AND(resultados!AG22,"AAAAAGfoNt8=")</f>
        <v>#VALUE!</v>
      </c>
      <c r="HQ91" t="e">
        <f>AND(resultados!AH22,"AAAAAGfoNuA=")</f>
        <v>#VALUE!</v>
      </c>
      <c r="HR91" t="e">
        <f>AND(resultados!AI22,"AAAAAGfoNuE=")</f>
        <v>#VALUE!</v>
      </c>
      <c r="HS91">
        <f>IF(resultados!23:23,"AAAAAGfoNuI=",0)</f>
        <v>0</v>
      </c>
      <c r="HT91" t="e">
        <f>AND(resultados!#REF!,"AAAAAGfoNuM=")</f>
        <v>#REF!</v>
      </c>
      <c r="HU91" t="e">
        <f>AND(resultados!C23,"AAAAAGfoNuQ=")</f>
        <v>#VALUE!</v>
      </c>
      <c r="HV91" t="e">
        <f>AND(resultados!D23,"AAAAAGfoNuU=")</f>
        <v>#VALUE!</v>
      </c>
      <c r="HW91" t="e">
        <f>AND(resultados!E23,"AAAAAGfoNuY=")</f>
        <v>#VALUE!</v>
      </c>
      <c r="HX91" t="e">
        <f>AND(resultados!#REF!,"AAAAAGfoNuc=")</f>
        <v>#REF!</v>
      </c>
      <c r="HY91" t="e">
        <f>AND(resultados!G23,"AAAAAGfoNug=")</f>
        <v>#VALUE!</v>
      </c>
      <c r="HZ91" t="e">
        <f>AND(resultados!H23,"AAAAAGfoNuk=")</f>
        <v>#VALUE!</v>
      </c>
      <c r="IA91" t="e">
        <f>AND(resultados!I23,"AAAAAGfoNuo=")</f>
        <v>#VALUE!</v>
      </c>
      <c r="IB91" t="e">
        <f>AND(resultados!J23,"AAAAAGfoNus=")</f>
        <v>#VALUE!</v>
      </c>
      <c r="IC91" t="e">
        <f>AND(resultados!K23,"AAAAAGfoNuw=")</f>
        <v>#VALUE!</v>
      </c>
      <c r="ID91" t="e">
        <f>AND(resultados!L23,"AAAAAGfoNu0=")</f>
        <v>#VALUE!</v>
      </c>
      <c r="IE91" t="e">
        <f>AND(resultados!M23,"AAAAAGfoNu4=")</f>
        <v>#VALUE!</v>
      </c>
      <c r="IF91" t="e">
        <f>AND(resultados!N23,"AAAAAGfoNu8=")</f>
        <v>#VALUE!</v>
      </c>
      <c r="IG91" t="e">
        <f>AND(resultados!O23,"AAAAAGfoNvA=")</f>
        <v>#VALUE!</v>
      </c>
      <c r="IH91" t="e">
        <f>AND(resultados!P23,"AAAAAGfoNvE=")</f>
        <v>#VALUE!</v>
      </c>
      <c r="II91" t="e">
        <f>AND(resultados!Q23,"AAAAAGfoNvI=")</f>
        <v>#VALUE!</v>
      </c>
      <c r="IJ91" t="e">
        <f>AND(resultados!R23,"AAAAAGfoNvM=")</f>
        <v>#VALUE!</v>
      </c>
      <c r="IK91" t="e">
        <f>AND(resultados!S23,"AAAAAGfoNvQ=")</f>
        <v>#VALUE!</v>
      </c>
      <c r="IL91" t="e">
        <f>AND(resultados!T23,"AAAAAGfoNvU=")</f>
        <v>#VALUE!</v>
      </c>
      <c r="IM91" t="e">
        <f>AND(resultados!U23,"AAAAAGfoNvY=")</f>
        <v>#VALUE!</v>
      </c>
      <c r="IN91" t="e">
        <f>AND(resultados!V23,"AAAAAGfoNvc=")</f>
        <v>#VALUE!</v>
      </c>
      <c r="IO91" t="e">
        <f>AND(resultados!W23,"AAAAAGfoNvg=")</f>
        <v>#VALUE!</v>
      </c>
      <c r="IP91" t="e">
        <f>AND(resultados!X23,"AAAAAGfoNvk=")</f>
        <v>#VALUE!</v>
      </c>
      <c r="IQ91" t="e">
        <f>AND(resultados!Y23,"AAAAAGfoNvo=")</f>
        <v>#VALUE!</v>
      </c>
      <c r="IR91" t="e">
        <f>AND(resultados!Z23,"AAAAAGfoNvs=")</f>
        <v>#VALUE!</v>
      </c>
      <c r="IS91" t="e">
        <f>AND(resultados!AA23,"AAAAAGfoNvw=")</f>
        <v>#VALUE!</v>
      </c>
      <c r="IT91" t="e">
        <f>AND(resultados!AB23,"AAAAAGfoNv0=")</f>
        <v>#VALUE!</v>
      </c>
      <c r="IU91" t="e">
        <f>AND(resultados!AC23,"AAAAAGfoNv4=")</f>
        <v>#VALUE!</v>
      </c>
      <c r="IV91" t="e">
        <f>AND(resultados!AD23,"AAAAAGfoNv8=")</f>
        <v>#VALUE!</v>
      </c>
    </row>
    <row r="92" spans="1:256" x14ac:dyDescent="0.2">
      <c r="A92" t="e">
        <f>AND(resultados!AE23,"AAAAAH9y/QA=")</f>
        <v>#VALUE!</v>
      </c>
      <c r="B92" t="e">
        <f>AND(resultados!AF23,"AAAAAH9y/QE=")</f>
        <v>#VALUE!</v>
      </c>
      <c r="C92" t="e">
        <f>AND(resultados!AG23,"AAAAAH9y/QI=")</f>
        <v>#VALUE!</v>
      </c>
      <c r="D92" t="e">
        <f>AND(resultados!AH23,"AAAAAH9y/QM=")</f>
        <v>#VALUE!</v>
      </c>
      <c r="E92" t="e">
        <f>AND(resultados!AI23,"AAAAAH9y/QQ=")</f>
        <v>#VALUE!</v>
      </c>
      <c r="F92">
        <f>IF(resultados!24:24,"AAAAAH9y/QU=",0)</f>
        <v>0</v>
      </c>
      <c r="G92" t="e">
        <f>AND(resultados!#REF!,"AAAAAH9y/QY=")</f>
        <v>#REF!</v>
      </c>
      <c r="H92" t="e">
        <f>AND(resultados!C24,"AAAAAH9y/Qc=")</f>
        <v>#VALUE!</v>
      </c>
      <c r="I92" t="e">
        <f>AND(resultados!D24,"AAAAAH9y/Qg=")</f>
        <v>#VALUE!</v>
      </c>
      <c r="J92" t="e">
        <f>AND(resultados!E24,"AAAAAH9y/Qk=")</f>
        <v>#VALUE!</v>
      </c>
      <c r="K92" t="e">
        <f>AND(resultados!#REF!,"AAAAAH9y/Qo=")</f>
        <v>#REF!</v>
      </c>
      <c r="L92" t="e">
        <f>AND(resultados!G24,"AAAAAH9y/Qs=")</f>
        <v>#VALUE!</v>
      </c>
      <c r="M92" t="e">
        <f>AND(resultados!H24,"AAAAAH9y/Qw=")</f>
        <v>#VALUE!</v>
      </c>
      <c r="N92" t="e">
        <f>AND(resultados!I24,"AAAAAH9y/Q0=")</f>
        <v>#VALUE!</v>
      </c>
      <c r="O92" t="e">
        <f>AND(resultados!J24,"AAAAAH9y/Q4=")</f>
        <v>#VALUE!</v>
      </c>
      <c r="P92" t="e">
        <f>AND(resultados!K24,"AAAAAH9y/Q8=")</f>
        <v>#VALUE!</v>
      </c>
      <c r="Q92" t="e">
        <f>AND(resultados!L24,"AAAAAH9y/RA=")</f>
        <v>#VALUE!</v>
      </c>
      <c r="R92" t="e">
        <f>AND(resultados!M24,"AAAAAH9y/RE=")</f>
        <v>#VALUE!</v>
      </c>
      <c r="S92" t="e">
        <f>AND(resultados!N24,"AAAAAH9y/RI=")</f>
        <v>#VALUE!</v>
      </c>
      <c r="T92" t="e">
        <f>AND(resultados!O24,"AAAAAH9y/RM=")</f>
        <v>#VALUE!</v>
      </c>
      <c r="U92" t="e">
        <f>AND(resultados!P24,"AAAAAH9y/RQ=")</f>
        <v>#VALUE!</v>
      </c>
      <c r="V92" t="e">
        <f>AND(resultados!Q24,"AAAAAH9y/RU=")</f>
        <v>#VALUE!</v>
      </c>
      <c r="W92" t="e">
        <f>AND(resultados!R24,"AAAAAH9y/RY=")</f>
        <v>#VALUE!</v>
      </c>
      <c r="X92" t="e">
        <f>AND(resultados!S24,"AAAAAH9y/Rc=")</f>
        <v>#VALUE!</v>
      </c>
      <c r="Y92" t="e">
        <f>AND(resultados!T24,"AAAAAH9y/Rg=")</f>
        <v>#VALUE!</v>
      </c>
      <c r="Z92" t="e">
        <f>AND(resultados!U24,"AAAAAH9y/Rk=")</f>
        <v>#VALUE!</v>
      </c>
      <c r="AA92" t="e">
        <f>AND(resultados!V24,"AAAAAH9y/Ro=")</f>
        <v>#VALUE!</v>
      </c>
      <c r="AB92" t="e">
        <f>AND(resultados!W24,"AAAAAH9y/Rs=")</f>
        <v>#VALUE!</v>
      </c>
      <c r="AC92" t="e">
        <f>AND(resultados!X24,"AAAAAH9y/Rw=")</f>
        <v>#VALUE!</v>
      </c>
      <c r="AD92" t="e">
        <f>AND(resultados!Y24,"AAAAAH9y/R0=")</f>
        <v>#VALUE!</v>
      </c>
      <c r="AE92" t="e">
        <f>AND(resultados!Z24,"AAAAAH9y/R4=")</f>
        <v>#VALUE!</v>
      </c>
      <c r="AF92" t="e">
        <f>AND(resultados!AA24,"AAAAAH9y/R8=")</f>
        <v>#VALUE!</v>
      </c>
      <c r="AG92" t="e">
        <f>AND(resultados!AB24,"AAAAAH9y/SA=")</f>
        <v>#VALUE!</v>
      </c>
      <c r="AH92" t="e">
        <f>AND(resultados!AC24,"AAAAAH9y/SE=")</f>
        <v>#VALUE!</v>
      </c>
      <c r="AI92" t="e">
        <f>AND(resultados!AD24,"AAAAAH9y/SI=")</f>
        <v>#VALUE!</v>
      </c>
      <c r="AJ92" t="e">
        <f>AND(resultados!AE24,"AAAAAH9y/SM=")</f>
        <v>#VALUE!</v>
      </c>
      <c r="AK92" t="e">
        <f>AND(resultados!AF24,"AAAAAH9y/SQ=")</f>
        <v>#VALUE!</v>
      </c>
      <c r="AL92" t="e">
        <f>AND(resultados!AG24,"AAAAAH9y/SU=")</f>
        <v>#VALUE!</v>
      </c>
      <c r="AM92" t="e">
        <f>AND(resultados!AH24,"AAAAAH9y/SY=")</f>
        <v>#VALUE!</v>
      </c>
      <c r="AN92" t="e">
        <f>AND(resultados!AI24,"AAAAAH9y/Sc=")</f>
        <v>#VALUE!</v>
      </c>
      <c r="AO92">
        <f>IF(resultados!25:25,"AAAAAH9y/Sg=",0)</f>
        <v>0</v>
      </c>
      <c r="AP92" t="e">
        <f>AND(resultados!#REF!,"AAAAAH9y/Sk=")</f>
        <v>#REF!</v>
      </c>
      <c r="AQ92" t="e">
        <f>AND(resultados!C25,"AAAAAH9y/So=")</f>
        <v>#VALUE!</v>
      </c>
      <c r="AR92" t="e">
        <f>AND(resultados!D25,"AAAAAH9y/Ss=")</f>
        <v>#VALUE!</v>
      </c>
      <c r="AS92" t="e">
        <f>AND(resultados!E25,"AAAAAH9y/Sw=")</f>
        <v>#VALUE!</v>
      </c>
      <c r="AT92" t="e">
        <f>AND(resultados!#REF!,"AAAAAH9y/S0=")</f>
        <v>#REF!</v>
      </c>
      <c r="AU92" t="e">
        <f>AND(resultados!G25,"AAAAAH9y/S4=")</f>
        <v>#VALUE!</v>
      </c>
      <c r="AV92" t="e">
        <f>AND(resultados!H25,"AAAAAH9y/S8=")</f>
        <v>#VALUE!</v>
      </c>
      <c r="AW92" t="e">
        <f>AND(resultados!I25,"AAAAAH9y/TA=")</f>
        <v>#VALUE!</v>
      </c>
      <c r="AX92" t="e">
        <f>AND(resultados!J25,"AAAAAH9y/TE=")</f>
        <v>#VALUE!</v>
      </c>
      <c r="AY92" t="e">
        <f>AND(resultados!K25,"AAAAAH9y/TI=")</f>
        <v>#VALUE!</v>
      </c>
      <c r="AZ92" t="e">
        <f>AND(resultados!L25,"AAAAAH9y/TM=")</f>
        <v>#VALUE!</v>
      </c>
      <c r="BA92" t="e">
        <f>AND(resultados!M25,"AAAAAH9y/TQ=")</f>
        <v>#VALUE!</v>
      </c>
      <c r="BB92" t="e">
        <f>AND(resultados!N25,"AAAAAH9y/TU=")</f>
        <v>#VALUE!</v>
      </c>
      <c r="BC92" t="e">
        <f>AND(resultados!O25,"AAAAAH9y/TY=")</f>
        <v>#VALUE!</v>
      </c>
      <c r="BD92" t="e">
        <f>AND(resultados!P25,"AAAAAH9y/Tc=")</f>
        <v>#VALUE!</v>
      </c>
      <c r="BE92" t="e">
        <f>AND(resultados!Q25,"AAAAAH9y/Tg=")</f>
        <v>#VALUE!</v>
      </c>
      <c r="BF92" t="e">
        <f>AND(resultados!R25,"AAAAAH9y/Tk=")</f>
        <v>#VALUE!</v>
      </c>
      <c r="BG92" t="e">
        <f>AND(resultados!S25,"AAAAAH9y/To=")</f>
        <v>#VALUE!</v>
      </c>
      <c r="BH92" t="e">
        <f>AND(resultados!T25,"AAAAAH9y/Ts=")</f>
        <v>#VALUE!</v>
      </c>
      <c r="BI92" t="e">
        <f>AND(resultados!U25,"AAAAAH9y/Tw=")</f>
        <v>#VALUE!</v>
      </c>
      <c r="BJ92" t="e">
        <f>AND(resultados!V25,"AAAAAH9y/T0=")</f>
        <v>#VALUE!</v>
      </c>
      <c r="BK92" t="e">
        <f>AND(resultados!W25,"AAAAAH9y/T4=")</f>
        <v>#VALUE!</v>
      </c>
      <c r="BL92" t="e">
        <f>AND(resultados!X25,"AAAAAH9y/T8=")</f>
        <v>#VALUE!</v>
      </c>
      <c r="BM92" t="e">
        <f>AND(resultados!Y25,"AAAAAH9y/UA=")</f>
        <v>#VALUE!</v>
      </c>
      <c r="BN92" t="e">
        <f>AND(resultados!Z25,"AAAAAH9y/UE=")</f>
        <v>#VALUE!</v>
      </c>
      <c r="BO92" t="e">
        <f>AND(resultados!AA25,"AAAAAH9y/UI=")</f>
        <v>#VALUE!</v>
      </c>
      <c r="BP92" t="e">
        <f>AND(resultados!AB25,"AAAAAH9y/UM=")</f>
        <v>#VALUE!</v>
      </c>
      <c r="BQ92" t="e">
        <f>AND(resultados!AC25,"AAAAAH9y/UQ=")</f>
        <v>#VALUE!</v>
      </c>
      <c r="BR92" t="e">
        <f>AND(resultados!AD25,"AAAAAH9y/UU=")</f>
        <v>#VALUE!</v>
      </c>
      <c r="BS92" t="e">
        <f>AND(resultados!AE25,"AAAAAH9y/UY=")</f>
        <v>#VALUE!</v>
      </c>
      <c r="BT92" t="e">
        <f>AND(resultados!AF25,"AAAAAH9y/Uc=")</f>
        <v>#VALUE!</v>
      </c>
      <c r="BU92" t="e">
        <f>AND(resultados!AG25,"AAAAAH9y/Ug=")</f>
        <v>#VALUE!</v>
      </c>
      <c r="BV92" t="e">
        <f>AND(resultados!AH25,"AAAAAH9y/Uk=")</f>
        <v>#VALUE!</v>
      </c>
      <c r="BW92" t="e">
        <f>AND(resultados!AI25,"AAAAAH9y/Uo=")</f>
        <v>#VALUE!</v>
      </c>
      <c r="BX92">
        <f>IF(resultados!26:26,"AAAAAH9y/Us=",0)</f>
        <v>0</v>
      </c>
      <c r="BY92" t="e">
        <f>AND(resultados!#REF!,"AAAAAH9y/Uw=")</f>
        <v>#REF!</v>
      </c>
      <c r="BZ92" t="e">
        <f>AND(resultados!C26,"AAAAAH9y/U0=")</f>
        <v>#VALUE!</v>
      </c>
      <c r="CA92" t="e">
        <f>AND(resultados!D26,"AAAAAH9y/U4=")</f>
        <v>#VALUE!</v>
      </c>
      <c r="CB92" t="e">
        <f>AND(resultados!E26,"AAAAAH9y/U8=")</f>
        <v>#VALUE!</v>
      </c>
      <c r="CC92" t="e">
        <f>AND(resultados!#REF!,"AAAAAH9y/VA=")</f>
        <v>#REF!</v>
      </c>
      <c r="CD92" t="e">
        <f>AND(resultados!G26,"AAAAAH9y/VE=")</f>
        <v>#VALUE!</v>
      </c>
      <c r="CE92" t="e">
        <f>AND(resultados!H26,"AAAAAH9y/VI=")</f>
        <v>#VALUE!</v>
      </c>
      <c r="CF92" t="e">
        <f>AND(resultados!I26,"AAAAAH9y/VM=")</f>
        <v>#VALUE!</v>
      </c>
      <c r="CG92" t="e">
        <f>AND(resultados!J26,"AAAAAH9y/VQ=")</f>
        <v>#VALUE!</v>
      </c>
      <c r="CH92" t="e">
        <f>AND(resultados!K26,"AAAAAH9y/VU=")</f>
        <v>#VALUE!</v>
      </c>
      <c r="CI92" t="e">
        <f>AND(resultados!L26,"AAAAAH9y/VY=")</f>
        <v>#VALUE!</v>
      </c>
      <c r="CJ92" t="e">
        <f>AND(resultados!M26,"AAAAAH9y/Vc=")</f>
        <v>#VALUE!</v>
      </c>
      <c r="CK92" t="e">
        <f>AND(resultados!N26,"AAAAAH9y/Vg=")</f>
        <v>#VALUE!</v>
      </c>
      <c r="CL92" t="e">
        <f>AND(resultados!O26,"AAAAAH9y/Vk=")</f>
        <v>#VALUE!</v>
      </c>
      <c r="CM92" t="e">
        <f>AND(resultados!P26,"AAAAAH9y/Vo=")</f>
        <v>#VALUE!</v>
      </c>
      <c r="CN92" t="e">
        <f>AND(resultados!Q26,"AAAAAH9y/Vs=")</f>
        <v>#VALUE!</v>
      </c>
      <c r="CO92" t="e">
        <f>AND(resultados!R26,"AAAAAH9y/Vw=")</f>
        <v>#VALUE!</v>
      </c>
      <c r="CP92" t="e">
        <f>AND(resultados!S26,"AAAAAH9y/V0=")</f>
        <v>#VALUE!</v>
      </c>
      <c r="CQ92" t="e">
        <f>AND(resultados!T26,"AAAAAH9y/V4=")</f>
        <v>#VALUE!</v>
      </c>
      <c r="CR92" t="e">
        <f>AND(resultados!U26,"AAAAAH9y/V8=")</f>
        <v>#VALUE!</v>
      </c>
      <c r="CS92" t="e">
        <f>AND(resultados!V26,"AAAAAH9y/WA=")</f>
        <v>#VALUE!</v>
      </c>
      <c r="CT92" t="e">
        <f>AND(resultados!W26,"AAAAAH9y/WE=")</f>
        <v>#VALUE!</v>
      </c>
      <c r="CU92" t="e">
        <f>AND(resultados!X26,"AAAAAH9y/WI=")</f>
        <v>#VALUE!</v>
      </c>
      <c r="CV92" t="e">
        <f>AND(resultados!Y26,"AAAAAH9y/WM=")</f>
        <v>#VALUE!</v>
      </c>
      <c r="CW92" t="e">
        <f>AND(resultados!Z26,"AAAAAH9y/WQ=")</f>
        <v>#VALUE!</v>
      </c>
      <c r="CX92" t="e">
        <f>AND(resultados!AA26,"AAAAAH9y/WU=")</f>
        <v>#VALUE!</v>
      </c>
      <c r="CY92" t="e">
        <f>AND(resultados!AB26,"AAAAAH9y/WY=")</f>
        <v>#VALUE!</v>
      </c>
      <c r="CZ92" t="e">
        <f>AND(resultados!AC26,"AAAAAH9y/Wc=")</f>
        <v>#VALUE!</v>
      </c>
      <c r="DA92" t="e">
        <f>AND(resultados!AD26,"AAAAAH9y/Wg=")</f>
        <v>#VALUE!</v>
      </c>
      <c r="DB92" t="e">
        <f>AND(resultados!AE26,"AAAAAH9y/Wk=")</f>
        <v>#VALUE!</v>
      </c>
      <c r="DC92" t="e">
        <f>AND(resultados!AF26,"AAAAAH9y/Wo=")</f>
        <v>#VALUE!</v>
      </c>
      <c r="DD92" t="e">
        <f>AND(resultados!AG26,"AAAAAH9y/Ws=")</f>
        <v>#VALUE!</v>
      </c>
      <c r="DE92" t="e">
        <f>AND(resultados!AH26,"AAAAAH9y/Ww=")</f>
        <v>#VALUE!</v>
      </c>
      <c r="DF92" t="e">
        <f>AND(resultados!AI26,"AAAAAH9y/W0=")</f>
        <v>#VALUE!</v>
      </c>
      <c r="DG92">
        <f>IF(resultados!27:27,"AAAAAH9y/W4=",0)</f>
        <v>0</v>
      </c>
      <c r="DH92" t="e">
        <f>AND(resultados!#REF!,"AAAAAH9y/W8=")</f>
        <v>#REF!</v>
      </c>
      <c r="DI92" t="e">
        <f>AND(resultados!C27,"AAAAAH9y/XA=")</f>
        <v>#VALUE!</v>
      </c>
      <c r="DJ92" t="e">
        <f>AND(resultados!D27,"AAAAAH9y/XE=")</f>
        <v>#VALUE!</v>
      </c>
      <c r="DK92" t="e">
        <f>AND(resultados!E27,"AAAAAH9y/XI=")</f>
        <v>#VALUE!</v>
      </c>
      <c r="DL92" t="e">
        <f>AND(resultados!#REF!,"AAAAAH9y/XM=")</f>
        <v>#REF!</v>
      </c>
      <c r="DM92" t="e">
        <f>AND(resultados!G27,"AAAAAH9y/XQ=")</f>
        <v>#VALUE!</v>
      </c>
      <c r="DN92" t="e">
        <f>AND(resultados!H27,"AAAAAH9y/XU=")</f>
        <v>#VALUE!</v>
      </c>
      <c r="DO92" t="e">
        <f>AND(resultados!I27,"AAAAAH9y/XY=")</f>
        <v>#VALUE!</v>
      </c>
      <c r="DP92" t="e">
        <f>AND(resultados!J27,"AAAAAH9y/Xc=")</f>
        <v>#VALUE!</v>
      </c>
      <c r="DQ92" t="e">
        <f>AND(resultados!K27,"AAAAAH9y/Xg=")</f>
        <v>#VALUE!</v>
      </c>
      <c r="DR92" t="e">
        <f>AND(resultados!L27,"AAAAAH9y/Xk=")</f>
        <v>#VALUE!</v>
      </c>
      <c r="DS92" t="e">
        <f>AND(resultados!M27,"AAAAAH9y/Xo=")</f>
        <v>#VALUE!</v>
      </c>
      <c r="DT92" t="e">
        <f>AND(resultados!N27,"AAAAAH9y/Xs=")</f>
        <v>#VALUE!</v>
      </c>
      <c r="DU92" t="e">
        <f>AND(resultados!O27,"AAAAAH9y/Xw=")</f>
        <v>#VALUE!</v>
      </c>
      <c r="DV92" t="e">
        <f>AND(resultados!P27,"AAAAAH9y/X0=")</f>
        <v>#VALUE!</v>
      </c>
      <c r="DW92" t="e">
        <f>AND(resultados!Q27,"AAAAAH9y/X4=")</f>
        <v>#VALUE!</v>
      </c>
      <c r="DX92" t="e">
        <f>AND(resultados!R27,"AAAAAH9y/X8=")</f>
        <v>#VALUE!</v>
      </c>
      <c r="DY92" t="e">
        <f>AND(resultados!S27,"AAAAAH9y/YA=")</f>
        <v>#VALUE!</v>
      </c>
      <c r="DZ92" t="e">
        <f>AND(resultados!T27,"AAAAAH9y/YE=")</f>
        <v>#VALUE!</v>
      </c>
      <c r="EA92" t="e">
        <f>AND(resultados!U27,"AAAAAH9y/YI=")</f>
        <v>#VALUE!</v>
      </c>
      <c r="EB92" t="e">
        <f>AND(resultados!V27,"AAAAAH9y/YM=")</f>
        <v>#VALUE!</v>
      </c>
      <c r="EC92" t="e">
        <f>AND(resultados!W27,"AAAAAH9y/YQ=")</f>
        <v>#VALUE!</v>
      </c>
      <c r="ED92" t="e">
        <f>AND(resultados!X27,"AAAAAH9y/YU=")</f>
        <v>#VALUE!</v>
      </c>
      <c r="EE92" t="e">
        <f>AND(resultados!Y27,"AAAAAH9y/YY=")</f>
        <v>#VALUE!</v>
      </c>
      <c r="EF92" t="e">
        <f>AND(resultados!Z27,"AAAAAH9y/Yc=")</f>
        <v>#VALUE!</v>
      </c>
      <c r="EG92" t="e">
        <f>AND(resultados!AA27,"AAAAAH9y/Yg=")</f>
        <v>#VALUE!</v>
      </c>
      <c r="EH92" t="e">
        <f>AND(resultados!AB27,"AAAAAH9y/Yk=")</f>
        <v>#VALUE!</v>
      </c>
      <c r="EI92" t="e">
        <f>AND(resultados!AC27,"AAAAAH9y/Yo=")</f>
        <v>#VALUE!</v>
      </c>
      <c r="EJ92" t="e">
        <f>AND(resultados!AD27,"AAAAAH9y/Ys=")</f>
        <v>#VALUE!</v>
      </c>
      <c r="EK92" t="e">
        <f>AND(resultados!AE27,"AAAAAH9y/Yw=")</f>
        <v>#VALUE!</v>
      </c>
      <c r="EL92" t="e">
        <f>AND(resultados!AF27,"AAAAAH9y/Y0=")</f>
        <v>#VALUE!</v>
      </c>
      <c r="EM92" t="e">
        <f>AND(resultados!AG27,"AAAAAH9y/Y4=")</f>
        <v>#VALUE!</v>
      </c>
      <c r="EN92" t="e">
        <f>AND(resultados!AH27,"AAAAAH9y/Y8=")</f>
        <v>#VALUE!</v>
      </c>
      <c r="EO92" t="e">
        <f>AND(resultados!AI27,"AAAAAH9y/ZA=")</f>
        <v>#VALUE!</v>
      </c>
      <c r="EP92">
        <f>IF(resultados!28:28,"AAAAAH9y/ZE=",0)</f>
        <v>0</v>
      </c>
      <c r="EQ92" t="e">
        <f>AND(resultados!#REF!,"AAAAAH9y/ZI=")</f>
        <v>#REF!</v>
      </c>
      <c r="ER92" t="e">
        <f>AND(resultados!C28,"AAAAAH9y/ZM=")</f>
        <v>#VALUE!</v>
      </c>
      <c r="ES92" t="e">
        <f>AND(resultados!D28,"AAAAAH9y/ZQ=")</f>
        <v>#VALUE!</v>
      </c>
      <c r="ET92" t="e">
        <f>AND(resultados!E28,"AAAAAH9y/ZU=")</f>
        <v>#VALUE!</v>
      </c>
      <c r="EU92" t="e">
        <f>AND(resultados!#REF!,"AAAAAH9y/ZY=")</f>
        <v>#REF!</v>
      </c>
      <c r="EV92" t="e">
        <f>AND(resultados!G28,"AAAAAH9y/Zc=")</f>
        <v>#VALUE!</v>
      </c>
      <c r="EW92" t="e">
        <f>AND(resultados!H28,"AAAAAH9y/Zg=")</f>
        <v>#VALUE!</v>
      </c>
      <c r="EX92" t="e">
        <f>AND(resultados!I28,"AAAAAH9y/Zk=")</f>
        <v>#VALUE!</v>
      </c>
      <c r="EY92" t="e">
        <f>AND(resultados!J28,"AAAAAH9y/Zo=")</f>
        <v>#VALUE!</v>
      </c>
      <c r="EZ92" t="e">
        <f>AND(resultados!K28,"AAAAAH9y/Zs=")</f>
        <v>#VALUE!</v>
      </c>
      <c r="FA92" t="e">
        <f>AND(resultados!L28,"AAAAAH9y/Zw=")</f>
        <v>#VALUE!</v>
      </c>
      <c r="FB92" t="e">
        <f>AND(resultados!M28,"AAAAAH9y/Z0=")</f>
        <v>#VALUE!</v>
      </c>
      <c r="FC92" t="e">
        <f>AND(resultados!N28,"AAAAAH9y/Z4=")</f>
        <v>#VALUE!</v>
      </c>
      <c r="FD92" t="e">
        <f>AND(resultados!O28,"AAAAAH9y/Z8=")</f>
        <v>#VALUE!</v>
      </c>
      <c r="FE92" t="e">
        <f>AND(resultados!P28,"AAAAAH9y/aA=")</f>
        <v>#VALUE!</v>
      </c>
      <c r="FF92" t="e">
        <f>AND(resultados!Q28,"AAAAAH9y/aE=")</f>
        <v>#VALUE!</v>
      </c>
      <c r="FG92" t="e">
        <f>AND(resultados!R28,"AAAAAH9y/aI=")</f>
        <v>#VALUE!</v>
      </c>
      <c r="FH92" t="e">
        <f>AND(resultados!S28,"AAAAAH9y/aM=")</f>
        <v>#VALUE!</v>
      </c>
      <c r="FI92" t="e">
        <f>AND(resultados!T28,"AAAAAH9y/aQ=")</f>
        <v>#VALUE!</v>
      </c>
      <c r="FJ92" t="e">
        <f>AND(resultados!U28,"AAAAAH9y/aU=")</f>
        <v>#VALUE!</v>
      </c>
      <c r="FK92" t="e">
        <f>AND(resultados!V28,"AAAAAH9y/aY=")</f>
        <v>#VALUE!</v>
      </c>
      <c r="FL92" t="e">
        <f>AND(resultados!W28,"AAAAAH9y/ac=")</f>
        <v>#VALUE!</v>
      </c>
      <c r="FM92" t="e">
        <f>AND(resultados!X28,"AAAAAH9y/ag=")</f>
        <v>#VALUE!</v>
      </c>
      <c r="FN92" t="e">
        <f>AND(resultados!Y28,"AAAAAH9y/ak=")</f>
        <v>#VALUE!</v>
      </c>
      <c r="FO92" t="e">
        <f>AND(resultados!Z28,"AAAAAH9y/ao=")</f>
        <v>#VALUE!</v>
      </c>
      <c r="FP92" t="e">
        <f>AND(resultados!AA28,"AAAAAH9y/as=")</f>
        <v>#VALUE!</v>
      </c>
      <c r="FQ92" t="e">
        <f>AND(resultados!AB28,"AAAAAH9y/aw=")</f>
        <v>#VALUE!</v>
      </c>
      <c r="FR92" t="e">
        <f>AND(resultados!AC28,"AAAAAH9y/a0=")</f>
        <v>#VALUE!</v>
      </c>
      <c r="FS92" t="e">
        <f>AND(resultados!AD28,"AAAAAH9y/a4=")</f>
        <v>#VALUE!</v>
      </c>
      <c r="FT92" t="e">
        <f>AND(resultados!AE28,"AAAAAH9y/a8=")</f>
        <v>#VALUE!</v>
      </c>
      <c r="FU92" t="e">
        <f>AND(resultados!AF28,"AAAAAH9y/bA=")</f>
        <v>#VALUE!</v>
      </c>
      <c r="FV92" t="e">
        <f>AND(resultados!AG28,"AAAAAH9y/bE=")</f>
        <v>#VALUE!</v>
      </c>
      <c r="FW92" t="e">
        <f>AND(resultados!AH28,"AAAAAH9y/bI=")</f>
        <v>#VALUE!</v>
      </c>
      <c r="FX92" t="e">
        <f>AND(resultados!AI28,"AAAAAH9y/bM=")</f>
        <v>#VALUE!</v>
      </c>
      <c r="FY92">
        <f>IF(resultados!29:29,"AAAAAH9y/bQ=",0)</f>
        <v>0</v>
      </c>
      <c r="FZ92" t="e">
        <f>AND(resultados!#REF!,"AAAAAH9y/bU=")</f>
        <v>#REF!</v>
      </c>
      <c r="GA92" t="e">
        <f>AND(resultados!C29,"AAAAAH9y/bY=")</f>
        <v>#VALUE!</v>
      </c>
      <c r="GB92" t="e">
        <f>AND(resultados!D29,"AAAAAH9y/bc=")</f>
        <v>#VALUE!</v>
      </c>
      <c r="GC92" t="e">
        <f>AND(resultados!E29,"AAAAAH9y/bg=")</f>
        <v>#VALUE!</v>
      </c>
      <c r="GD92" t="e">
        <f>AND(resultados!#REF!,"AAAAAH9y/bk=")</f>
        <v>#REF!</v>
      </c>
      <c r="GE92" t="e">
        <f>AND(resultados!G29,"AAAAAH9y/bo=")</f>
        <v>#VALUE!</v>
      </c>
      <c r="GF92" t="e">
        <f>AND(resultados!H29,"AAAAAH9y/bs=")</f>
        <v>#VALUE!</v>
      </c>
      <c r="GG92" t="e">
        <f>AND(resultados!I29,"AAAAAH9y/bw=")</f>
        <v>#VALUE!</v>
      </c>
      <c r="GH92" t="e">
        <f>AND(resultados!J29,"AAAAAH9y/b0=")</f>
        <v>#VALUE!</v>
      </c>
      <c r="GI92" t="e">
        <f>AND(resultados!K29,"AAAAAH9y/b4=")</f>
        <v>#VALUE!</v>
      </c>
      <c r="GJ92" t="e">
        <f>AND(resultados!L29,"AAAAAH9y/b8=")</f>
        <v>#VALUE!</v>
      </c>
      <c r="GK92" t="e">
        <f>AND(resultados!M29,"AAAAAH9y/cA=")</f>
        <v>#VALUE!</v>
      </c>
      <c r="GL92" t="e">
        <f>AND(resultados!N29,"AAAAAH9y/cE=")</f>
        <v>#VALUE!</v>
      </c>
      <c r="GM92" t="e">
        <f>AND(resultados!O29,"AAAAAH9y/cI=")</f>
        <v>#VALUE!</v>
      </c>
      <c r="GN92" t="e">
        <f>AND(resultados!P29,"AAAAAH9y/cM=")</f>
        <v>#VALUE!</v>
      </c>
      <c r="GO92" t="e">
        <f>AND(resultados!Q29,"AAAAAH9y/cQ=")</f>
        <v>#VALUE!</v>
      </c>
      <c r="GP92" t="e">
        <f>AND(resultados!R29,"AAAAAH9y/cU=")</f>
        <v>#VALUE!</v>
      </c>
      <c r="GQ92" t="e">
        <f>AND(resultados!S29,"AAAAAH9y/cY=")</f>
        <v>#VALUE!</v>
      </c>
      <c r="GR92" t="e">
        <f>AND(resultados!T29,"AAAAAH9y/cc=")</f>
        <v>#VALUE!</v>
      </c>
      <c r="GS92" t="e">
        <f>AND(resultados!U29,"AAAAAH9y/cg=")</f>
        <v>#VALUE!</v>
      </c>
      <c r="GT92" t="e">
        <f>AND(resultados!V29,"AAAAAH9y/ck=")</f>
        <v>#VALUE!</v>
      </c>
      <c r="GU92" t="e">
        <f>AND(resultados!W29,"AAAAAH9y/co=")</f>
        <v>#VALUE!</v>
      </c>
      <c r="GV92" t="e">
        <f>AND(resultados!X29,"AAAAAH9y/cs=")</f>
        <v>#VALUE!</v>
      </c>
      <c r="GW92" t="e">
        <f>AND(resultados!Y29,"AAAAAH9y/cw=")</f>
        <v>#VALUE!</v>
      </c>
      <c r="GX92" t="e">
        <f>AND(resultados!Z29,"AAAAAH9y/c0=")</f>
        <v>#VALUE!</v>
      </c>
      <c r="GY92" t="e">
        <f>AND(resultados!AA29,"AAAAAH9y/c4=")</f>
        <v>#VALUE!</v>
      </c>
      <c r="GZ92" t="e">
        <f>AND(resultados!AB29,"AAAAAH9y/c8=")</f>
        <v>#VALUE!</v>
      </c>
      <c r="HA92" t="e">
        <f>AND(resultados!AC29,"AAAAAH9y/dA=")</f>
        <v>#VALUE!</v>
      </c>
      <c r="HB92" t="e">
        <f>AND(resultados!AD29,"AAAAAH9y/dE=")</f>
        <v>#VALUE!</v>
      </c>
      <c r="HC92" t="e">
        <f>AND(resultados!AE29,"AAAAAH9y/dI=")</f>
        <v>#VALUE!</v>
      </c>
      <c r="HD92" t="e">
        <f>AND(resultados!AF29,"AAAAAH9y/dM=")</f>
        <v>#VALUE!</v>
      </c>
      <c r="HE92" t="e">
        <f>AND(resultados!AG29,"AAAAAH9y/dQ=")</f>
        <v>#VALUE!</v>
      </c>
      <c r="HF92" t="e">
        <f>AND(resultados!AH29,"AAAAAH9y/dU=")</f>
        <v>#VALUE!</v>
      </c>
      <c r="HG92" t="e">
        <f>AND(resultados!AI29,"AAAAAH9y/dY=")</f>
        <v>#VALUE!</v>
      </c>
      <c r="HH92">
        <f>IF(resultados!30:30,"AAAAAH9y/dc=",0)</f>
        <v>0</v>
      </c>
      <c r="HI92" t="e">
        <f>AND(resultados!#REF!,"AAAAAH9y/dg=")</f>
        <v>#REF!</v>
      </c>
      <c r="HJ92" t="e">
        <f>AND(resultados!C30,"AAAAAH9y/dk=")</f>
        <v>#VALUE!</v>
      </c>
      <c r="HK92" t="e">
        <f>AND(resultados!D30,"AAAAAH9y/do=")</f>
        <v>#VALUE!</v>
      </c>
      <c r="HL92" t="e">
        <f>AND(resultados!E30,"AAAAAH9y/ds=")</f>
        <v>#VALUE!</v>
      </c>
      <c r="HM92" t="e">
        <f>AND(resultados!#REF!,"AAAAAH9y/dw=")</f>
        <v>#REF!</v>
      </c>
      <c r="HN92" t="e">
        <f>AND(resultados!G30,"AAAAAH9y/d0=")</f>
        <v>#VALUE!</v>
      </c>
      <c r="HO92" t="e">
        <f>AND(resultados!H30,"AAAAAH9y/d4=")</f>
        <v>#VALUE!</v>
      </c>
      <c r="HP92" t="e">
        <f>AND(resultados!I30,"AAAAAH9y/d8=")</f>
        <v>#VALUE!</v>
      </c>
      <c r="HQ92" t="e">
        <f>AND(resultados!J30,"AAAAAH9y/eA=")</f>
        <v>#VALUE!</v>
      </c>
      <c r="HR92" t="e">
        <f>AND(resultados!K30,"AAAAAH9y/eE=")</f>
        <v>#VALUE!</v>
      </c>
      <c r="HS92" t="e">
        <f>AND(resultados!L30,"AAAAAH9y/eI=")</f>
        <v>#VALUE!</v>
      </c>
      <c r="HT92" t="e">
        <f>AND(resultados!M30,"AAAAAH9y/eM=")</f>
        <v>#VALUE!</v>
      </c>
      <c r="HU92" t="e">
        <f>AND(resultados!N30,"AAAAAH9y/eQ=")</f>
        <v>#VALUE!</v>
      </c>
      <c r="HV92" t="e">
        <f>AND(resultados!O30,"AAAAAH9y/eU=")</f>
        <v>#VALUE!</v>
      </c>
      <c r="HW92" t="e">
        <f>AND(resultados!P30,"AAAAAH9y/eY=")</f>
        <v>#VALUE!</v>
      </c>
      <c r="HX92" t="e">
        <f>AND(resultados!Q30,"AAAAAH9y/ec=")</f>
        <v>#VALUE!</v>
      </c>
      <c r="HY92" t="e">
        <f>AND(resultados!R30,"AAAAAH9y/eg=")</f>
        <v>#VALUE!</v>
      </c>
      <c r="HZ92" t="e">
        <f>AND(resultados!S30,"AAAAAH9y/ek=")</f>
        <v>#VALUE!</v>
      </c>
      <c r="IA92" t="e">
        <f>AND(resultados!T30,"AAAAAH9y/eo=")</f>
        <v>#VALUE!</v>
      </c>
      <c r="IB92" t="e">
        <f>AND(resultados!U30,"AAAAAH9y/es=")</f>
        <v>#VALUE!</v>
      </c>
      <c r="IC92" t="e">
        <f>AND(resultados!V30,"AAAAAH9y/ew=")</f>
        <v>#VALUE!</v>
      </c>
      <c r="ID92" t="e">
        <f>AND(resultados!W30,"AAAAAH9y/e0=")</f>
        <v>#VALUE!</v>
      </c>
      <c r="IE92" t="e">
        <f>AND(resultados!X30,"AAAAAH9y/e4=")</f>
        <v>#VALUE!</v>
      </c>
      <c r="IF92" t="e">
        <f>AND(resultados!Y30,"AAAAAH9y/e8=")</f>
        <v>#VALUE!</v>
      </c>
      <c r="IG92" t="e">
        <f>AND(resultados!Z30,"AAAAAH9y/fA=")</f>
        <v>#VALUE!</v>
      </c>
      <c r="IH92" t="e">
        <f>AND(resultados!AA30,"AAAAAH9y/fE=")</f>
        <v>#VALUE!</v>
      </c>
      <c r="II92" t="e">
        <f>AND(resultados!AB30,"AAAAAH9y/fI=")</f>
        <v>#VALUE!</v>
      </c>
      <c r="IJ92" t="e">
        <f>AND(resultados!AC30,"AAAAAH9y/fM=")</f>
        <v>#VALUE!</v>
      </c>
      <c r="IK92" t="e">
        <f>AND(resultados!AD30,"AAAAAH9y/fQ=")</f>
        <v>#VALUE!</v>
      </c>
      <c r="IL92" t="e">
        <f>AND(resultados!AE30,"AAAAAH9y/fU=")</f>
        <v>#VALUE!</v>
      </c>
      <c r="IM92" t="e">
        <f>AND(resultados!AF30,"AAAAAH9y/fY=")</f>
        <v>#VALUE!</v>
      </c>
      <c r="IN92" t="e">
        <f>AND(resultados!AG30,"AAAAAH9y/fc=")</f>
        <v>#VALUE!</v>
      </c>
      <c r="IO92" t="e">
        <f>AND(resultados!AH30,"AAAAAH9y/fg=")</f>
        <v>#VALUE!</v>
      </c>
      <c r="IP92" t="e">
        <f>AND(resultados!AI30,"AAAAAH9y/fk=")</f>
        <v>#VALUE!</v>
      </c>
      <c r="IQ92">
        <f>IF(resultados!31:31,"AAAAAH9y/fo=",0)</f>
        <v>0</v>
      </c>
      <c r="IR92" t="e">
        <f>AND(resultados!#REF!,"AAAAAH9y/fs=")</f>
        <v>#REF!</v>
      </c>
      <c r="IS92" t="e">
        <f>AND(resultados!C31,"AAAAAH9y/fw=")</f>
        <v>#VALUE!</v>
      </c>
      <c r="IT92" t="e">
        <f>AND(resultados!D31,"AAAAAH9y/f0=")</f>
        <v>#VALUE!</v>
      </c>
      <c r="IU92" t="e">
        <f>AND(resultados!E31,"AAAAAH9y/f4=")</f>
        <v>#VALUE!</v>
      </c>
      <c r="IV92" t="e">
        <f>AND(resultados!#REF!,"AAAAAH9y/f8=")</f>
        <v>#REF!</v>
      </c>
    </row>
    <row r="93" spans="1:256" x14ac:dyDescent="0.2">
      <c r="A93" t="e">
        <f>AND(resultados!G31,"AAAAAGv/MwA=")</f>
        <v>#VALUE!</v>
      </c>
      <c r="B93" t="e">
        <f>AND(resultados!H31,"AAAAAGv/MwE=")</f>
        <v>#VALUE!</v>
      </c>
      <c r="C93" t="e">
        <f>AND(resultados!I31,"AAAAAGv/MwI=")</f>
        <v>#VALUE!</v>
      </c>
      <c r="D93" t="e">
        <f>AND(resultados!J31,"AAAAAGv/MwM=")</f>
        <v>#VALUE!</v>
      </c>
      <c r="E93" t="e">
        <f>AND(resultados!K31,"AAAAAGv/MwQ=")</f>
        <v>#VALUE!</v>
      </c>
      <c r="F93" t="e">
        <f>AND(resultados!L31,"AAAAAGv/MwU=")</f>
        <v>#VALUE!</v>
      </c>
      <c r="G93" t="e">
        <f>AND(resultados!M31,"AAAAAGv/MwY=")</f>
        <v>#VALUE!</v>
      </c>
      <c r="H93" t="e">
        <f>AND(resultados!N31,"AAAAAGv/Mwc=")</f>
        <v>#VALUE!</v>
      </c>
      <c r="I93" t="e">
        <f>AND(resultados!O31,"AAAAAGv/Mwg=")</f>
        <v>#VALUE!</v>
      </c>
      <c r="J93" t="e">
        <f>AND(resultados!P31,"AAAAAGv/Mwk=")</f>
        <v>#VALUE!</v>
      </c>
      <c r="K93" t="e">
        <f>AND(resultados!Q31,"AAAAAGv/Mwo=")</f>
        <v>#VALUE!</v>
      </c>
      <c r="L93" t="e">
        <f>AND(resultados!R31,"AAAAAGv/Mws=")</f>
        <v>#VALUE!</v>
      </c>
      <c r="M93" t="e">
        <f>AND(resultados!S31,"AAAAAGv/Mww=")</f>
        <v>#VALUE!</v>
      </c>
      <c r="N93" t="e">
        <f>AND(resultados!T31,"AAAAAGv/Mw0=")</f>
        <v>#VALUE!</v>
      </c>
      <c r="O93" t="e">
        <f>AND(resultados!U31,"AAAAAGv/Mw4=")</f>
        <v>#VALUE!</v>
      </c>
      <c r="P93" t="e">
        <f>AND(resultados!V31,"AAAAAGv/Mw8=")</f>
        <v>#VALUE!</v>
      </c>
      <c r="Q93" t="e">
        <f>AND(resultados!W31,"AAAAAGv/MxA=")</f>
        <v>#VALUE!</v>
      </c>
      <c r="R93" t="e">
        <f>AND(resultados!X31,"AAAAAGv/MxE=")</f>
        <v>#VALUE!</v>
      </c>
      <c r="S93" t="e">
        <f>AND(resultados!Y31,"AAAAAGv/MxI=")</f>
        <v>#VALUE!</v>
      </c>
      <c r="T93" t="e">
        <f>AND(resultados!Z31,"AAAAAGv/MxM=")</f>
        <v>#VALUE!</v>
      </c>
      <c r="U93" t="e">
        <f>AND(resultados!AA31,"AAAAAGv/MxQ=")</f>
        <v>#VALUE!</v>
      </c>
      <c r="V93" t="e">
        <f>AND(resultados!AB31,"AAAAAGv/MxU=")</f>
        <v>#VALUE!</v>
      </c>
      <c r="W93" t="e">
        <f>AND(resultados!AC31,"AAAAAGv/MxY=")</f>
        <v>#VALUE!</v>
      </c>
      <c r="X93" t="e">
        <f>AND(resultados!AD31,"AAAAAGv/Mxc=")</f>
        <v>#VALUE!</v>
      </c>
      <c r="Y93" t="e">
        <f>AND(resultados!AE31,"AAAAAGv/Mxg=")</f>
        <v>#VALUE!</v>
      </c>
      <c r="Z93" t="e">
        <f>AND(resultados!AF31,"AAAAAGv/Mxk=")</f>
        <v>#VALUE!</v>
      </c>
      <c r="AA93" t="e">
        <f>AND(resultados!AG31,"AAAAAGv/Mxo=")</f>
        <v>#VALUE!</v>
      </c>
      <c r="AB93" t="e">
        <f>AND(resultados!AH31,"AAAAAGv/Mxs=")</f>
        <v>#VALUE!</v>
      </c>
      <c r="AC93" t="e">
        <f>AND(resultados!AI31,"AAAAAGv/Mxw=")</f>
        <v>#VALUE!</v>
      </c>
      <c r="AD93">
        <f>IF(resultados!32:32,"AAAAAGv/Mx0=",0)</f>
        <v>0</v>
      </c>
      <c r="AE93" t="e">
        <f>AND(resultados!#REF!,"AAAAAGv/Mx4=")</f>
        <v>#REF!</v>
      </c>
      <c r="AF93" t="e">
        <f>AND(resultados!C32,"AAAAAGv/Mx8=")</f>
        <v>#VALUE!</v>
      </c>
      <c r="AG93" t="e">
        <f>AND(resultados!D32,"AAAAAGv/MyA=")</f>
        <v>#VALUE!</v>
      </c>
      <c r="AH93" t="e">
        <f>AND(resultados!E32,"AAAAAGv/MyE=")</f>
        <v>#VALUE!</v>
      </c>
      <c r="AI93" t="e">
        <f>AND(resultados!#REF!,"AAAAAGv/MyI=")</f>
        <v>#REF!</v>
      </c>
      <c r="AJ93" t="e">
        <f>AND(resultados!G32,"AAAAAGv/MyM=")</f>
        <v>#VALUE!</v>
      </c>
      <c r="AK93" t="e">
        <f>AND(resultados!H32,"AAAAAGv/MyQ=")</f>
        <v>#VALUE!</v>
      </c>
      <c r="AL93" t="e">
        <f>AND(resultados!I32,"AAAAAGv/MyU=")</f>
        <v>#VALUE!</v>
      </c>
      <c r="AM93" t="e">
        <f>AND(resultados!J32,"AAAAAGv/MyY=")</f>
        <v>#VALUE!</v>
      </c>
      <c r="AN93" t="e">
        <f>AND(resultados!K32,"AAAAAGv/Myc=")</f>
        <v>#VALUE!</v>
      </c>
      <c r="AO93" t="e">
        <f>AND(resultados!L32,"AAAAAGv/Myg=")</f>
        <v>#VALUE!</v>
      </c>
      <c r="AP93" t="e">
        <f>AND(resultados!M32,"AAAAAGv/Myk=")</f>
        <v>#VALUE!</v>
      </c>
      <c r="AQ93" t="e">
        <f>AND(resultados!N32,"AAAAAGv/Myo=")</f>
        <v>#VALUE!</v>
      </c>
      <c r="AR93" t="e">
        <f>AND(resultados!O32,"AAAAAGv/Mys=")</f>
        <v>#VALUE!</v>
      </c>
      <c r="AS93" t="e">
        <f>AND(resultados!P32,"AAAAAGv/Myw=")</f>
        <v>#VALUE!</v>
      </c>
      <c r="AT93" t="e">
        <f>AND(resultados!Q32,"AAAAAGv/My0=")</f>
        <v>#VALUE!</v>
      </c>
      <c r="AU93" t="e">
        <f>AND(resultados!R32,"AAAAAGv/My4=")</f>
        <v>#VALUE!</v>
      </c>
      <c r="AV93" t="e">
        <f>AND(resultados!S32,"AAAAAGv/My8=")</f>
        <v>#VALUE!</v>
      </c>
      <c r="AW93" t="e">
        <f>AND(resultados!T32,"AAAAAGv/MzA=")</f>
        <v>#VALUE!</v>
      </c>
      <c r="AX93" t="e">
        <f>AND(resultados!U32,"AAAAAGv/MzE=")</f>
        <v>#VALUE!</v>
      </c>
      <c r="AY93" t="e">
        <f>AND(resultados!V32,"AAAAAGv/MzI=")</f>
        <v>#VALUE!</v>
      </c>
      <c r="AZ93" t="e">
        <f>AND(resultados!W32,"AAAAAGv/MzM=")</f>
        <v>#VALUE!</v>
      </c>
      <c r="BA93" t="e">
        <f>AND(resultados!X32,"AAAAAGv/MzQ=")</f>
        <v>#VALUE!</v>
      </c>
      <c r="BB93" t="e">
        <f>AND(resultados!Y32,"AAAAAGv/MzU=")</f>
        <v>#VALUE!</v>
      </c>
      <c r="BC93" t="e">
        <f>AND(resultados!Z32,"AAAAAGv/MzY=")</f>
        <v>#VALUE!</v>
      </c>
      <c r="BD93" t="e">
        <f>AND(resultados!AA32,"AAAAAGv/Mzc=")</f>
        <v>#VALUE!</v>
      </c>
      <c r="BE93" t="e">
        <f>AND(resultados!AB32,"AAAAAGv/Mzg=")</f>
        <v>#VALUE!</v>
      </c>
      <c r="BF93" t="e">
        <f>AND(resultados!AC32,"AAAAAGv/Mzk=")</f>
        <v>#VALUE!</v>
      </c>
      <c r="BG93" t="e">
        <f>AND(resultados!AD32,"AAAAAGv/Mzo=")</f>
        <v>#VALUE!</v>
      </c>
      <c r="BH93" t="e">
        <f>AND(resultados!AE32,"AAAAAGv/Mzs=")</f>
        <v>#VALUE!</v>
      </c>
      <c r="BI93" t="e">
        <f>AND(resultados!AF32,"AAAAAGv/Mzw=")</f>
        <v>#VALUE!</v>
      </c>
      <c r="BJ93" t="e">
        <f>AND(resultados!AG32,"AAAAAGv/Mz0=")</f>
        <v>#VALUE!</v>
      </c>
      <c r="BK93" t="e">
        <f>AND(resultados!AH32,"AAAAAGv/Mz4=")</f>
        <v>#VALUE!</v>
      </c>
      <c r="BL93" t="e">
        <f>AND(resultados!AI32,"AAAAAGv/Mz8=")</f>
        <v>#VALUE!</v>
      </c>
      <c r="BM93">
        <f>IF(resultados!33:33,"AAAAAGv/M0A=",0)</f>
        <v>0</v>
      </c>
      <c r="BN93" t="e">
        <f>AND(resultados!#REF!,"AAAAAGv/M0E=")</f>
        <v>#REF!</v>
      </c>
      <c r="BO93" t="e">
        <f>AND(resultados!C33,"AAAAAGv/M0I=")</f>
        <v>#VALUE!</v>
      </c>
      <c r="BP93" t="e">
        <f>AND(resultados!D33,"AAAAAGv/M0M=")</f>
        <v>#VALUE!</v>
      </c>
      <c r="BQ93" t="e">
        <f>AND(resultados!E33,"AAAAAGv/M0Q=")</f>
        <v>#VALUE!</v>
      </c>
      <c r="BR93" t="e">
        <f>AND(resultados!#REF!,"AAAAAGv/M0U=")</f>
        <v>#REF!</v>
      </c>
      <c r="BS93" t="e">
        <f>AND(resultados!G33,"AAAAAGv/M0Y=")</f>
        <v>#VALUE!</v>
      </c>
      <c r="BT93" t="e">
        <f>AND(resultados!H33,"AAAAAGv/M0c=")</f>
        <v>#VALUE!</v>
      </c>
      <c r="BU93" t="e">
        <f>AND(resultados!I33,"AAAAAGv/M0g=")</f>
        <v>#VALUE!</v>
      </c>
      <c r="BV93" t="e">
        <f>AND(resultados!J33,"AAAAAGv/M0k=")</f>
        <v>#VALUE!</v>
      </c>
      <c r="BW93" t="e">
        <f>AND(resultados!K33,"AAAAAGv/M0o=")</f>
        <v>#VALUE!</v>
      </c>
      <c r="BX93" t="e">
        <f>AND(resultados!L33,"AAAAAGv/M0s=")</f>
        <v>#VALUE!</v>
      </c>
      <c r="BY93" t="e">
        <f>AND(resultados!M33,"AAAAAGv/M0w=")</f>
        <v>#VALUE!</v>
      </c>
      <c r="BZ93" t="e">
        <f>AND(resultados!N33,"AAAAAGv/M00=")</f>
        <v>#VALUE!</v>
      </c>
      <c r="CA93" t="e">
        <f>AND(resultados!O33,"AAAAAGv/M04=")</f>
        <v>#VALUE!</v>
      </c>
      <c r="CB93" t="e">
        <f>AND(resultados!P33,"AAAAAGv/M08=")</f>
        <v>#VALUE!</v>
      </c>
      <c r="CC93" t="e">
        <f>AND(resultados!Q33,"AAAAAGv/M1A=")</f>
        <v>#VALUE!</v>
      </c>
      <c r="CD93" t="e">
        <f>AND(resultados!R33,"AAAAAGv/M1E=")</f>
        <v>#VALUE!</v>
      </c>
      <c r="CE93" t="e">
        <f>AND(resultados!S33,"AAAAAGv/M1I=")</f>
        <v>#VALUE!</v>
      </c>
      <c r="CF93" t="e">
        <f>AND(resultados!T33,"AAAAAGv/M1M=")</f>
        <v>#VALUE!</v>
      </c>
      <c r="CG93" t="e">
        <f>AND(resultados!U33,"AAAAAGv/M1Q=")</f>
        <v>#VALUE!</v>
      </c>
      <c r="CH93" t="e">
        <f>AND(resultados!V33,"AAAAAGv/M1U=")</f>
        <v>#VALUE!</v>
      </c>
      <c r="CI93" t="e">
        <f>AND(resultados!W33,"AAAAAGv/M1Y=")</f>
        <v>#VALUE!</v>
      </c>
      <c r="CJ93" t="e">
        <f>AND(resultados!X33,"AAAAAGv/M1c=")</f>
        <v>#VALUE!</v>
      </c>
      <c r="CK93" t="e">
        <f>AND(resultados!Y33,"AAAAAGv/M1g=")</f>
        <v>#VALUE!</v>
      </c>
      <c r="CL93" t="e">
        <f>AND(resultados!Z33,"AAAAAGv/M1k=")</f>
        <v>#VALUE!</v>
      </c>
      <c r="CM93" t="e">
        <f>AND(resultados!AA33,"AAAAAGv/M1o=")</f>
        <v>#VALUE!</v>
      </c>
      <c r="CN93" t="e">
        <f>AND(resultados!AB33,"AAAAAGv/M1s=")</f>
        <v>#VALUE!</v>
      </c>
      <c r="CO93" t="e">
        <f>AND(resultados!AC33,"AAAAAGv/M1w=")</f>
        <v>#VALUE!</v>
      </c>
      <c r="CP93" t="e">
        <f>AND(resultados!AD33,"AAAAAGv/M10=")</f>
        <v>#VALUE!</v>
      </c>
      <c r="CQ93" t="e">
        <f>AND(resultados!AE33,"AAAAAGv/M14=")</f>
        <v>#VALUE!</v>
      </c>
      <c r="CR93" t="e">
        <f>AND(resultados!AF33,"AAAAAGv/M18=")</f>
        <v>#VALUE!</v>
      </c>
      <c r="CS93" t="e">
        <f>AND(resultados!AG33,"AAAAAGv/M2A=")</f>
        <v>#VALUE!</v>
      </c>
      <c r="CT93" t="e">
        <f>AND(resultados!AH33,"AAAAAGv/M2E=")</f>
        <v>#VALUE!</v>
      </c>
      <c r="CU93" t="e">
        <f>AND(resultados!AI33,"AAAAAGv/M2I=")</f>
        <v>#VALUE!</v>
      </c>
      <c r="CV93">
        <f>IF(resultados!34:34,"AAAAAGv/M2M=",0)</f>
        <v>0</v>
      </c>
      <c r="CW93" t="e">
        <f>AND(resultados!#REF!,"AAAAAGv/M2Q=")</f>
        <v>#REF!</v>
      </c>
      <c r="CX93" t="e">
        <f>AND(resultados!C34,"AAAAAGv/M2U=")</f>
        <v>#VALUE!</v>
      </c>
      <c r="CY93" t="e">
        <f>AND(resultados!D34,"AAAAAGv/M2Y=")</f>
        <v>#VALUE!</v>
      </c>
      <c r="CZ93" t="e">
        <f>AND(resultados!E34,"AAAAAGv/M2c=")</f>
        <v>#VALUE!</v>
      </c>
      <c r="DA93" t="e">
        <f>AND(resultados!#REF!,"AAAAAGv/M2g=")</f>
        <v>#REF!</v>
      </c>
      <c r="DB93" t="e">
        <f>AND(resultados!G34,"AAAAAGv/M2k=")</f>
        <v>#VALUE!</v>
      </c>
      <c r="DC93" t="e">
        <f>AND(resultados!H34,"AAAAAGv/M2o=")</f>
        <v>#VALUE!</v>
      </c>
      <c r="DD93" t="e">
        <f>AND(resultados!I34,"AAAAAGv/M2s=")</f>
        <v>#VALUE!</v>
      </c>
      <c r="DE93" t="e">
        <f>AND(resultados!J34,"AAAAAGv/M2w=")</f>
        <v>#VALUE!</v>
      </c>
      <c r="DF93" t="e">
        <f>AND(resultados!K34,"AAAAAGv/M20=")</f>
        <v>#VALUE!</v>
      </c>
      <c r="DG93" t="e">
        <f>AND(resultados!L34,"AAAAAGv/M24=")</f>
        <v>#VALUE!</v>
      </c>
      <c r="DH93" t="e">
        <f>AND(resultados!M34,"AAAAAGv/M28=")</f>
        <v>#VALUE!</v>
      </c>
      <c r="DI93" t="e">
        <f>AND(resultados!N34,"AAAAAGv/M3A=")</f>
        <v>#VALUE!</v>
      </c>
      <c r="DJ93" t="e">
        <f>AND(resultados!O34,"AAAAAGv/M3E=")</f>
        <v>#VALUE!</v>
      </c>
      <c r="DK93" t="e">
        <f>AND(resultados!P34,"AAAAAGv/M3I=")</f>
        <v>#VALUE!</v>
      </c>
      <c r="DL93" t="e">
        <f>AND(resultados!Q34,"AAAAAGv/M3M=")</f>
        <v>#VALUE!</v>
      </c>
      <c r="DM93" t="e">
        <f>AND(resultados!R34,"AAAAAGv/M3Q=")</f>
        <v>#VALUE!</v>
      </c>
      <c r="DN93" t="e">
        <f>AND(resultados!S34,"AAAAAGv/M3U=")</f>
        <v>#VALUE!</v>
      </c>
      <c r="DO93" t="e">
        <f>AND(resultados!T34,"AAAAAGv/M3Y=")</f>
        <v>#VALUE!</v>
      </c>
      <c r="DP93" t="e">
        <f>AND(resultados!U34,"AAAAAGv/M3c=")</f>
        <v>#VALUE!</v>
      </c>
      <c r="DQ93" t="e">
        <f>AND(resultados!V34,"AAAAAGv/M3g=")</f>
        <v>#VALUE!</v>
      </c>
      <c r="DR93" t="e">
        <f>AND(resultados!W34,"AAAAAGv/M3k=")</f>
        <v>#VALUE!</v>
      </c>
      <c r="DS93" t="e">
        <f>AND(resultados!X34,"AAAAAGv/M3o=")</f>
        <v>#VALUE!</v>
      </c>
      <c r="DT93" t="e">
        <f>AND(resultados!Y34,"AAAAAGv/M3s=")</f>
        <v>#VALUE!</v>
      </c>
      <c r="DU93" t="e">
        <f>AND(resultados!Z34,"AAAAAGv/M3w=")</f>
        <v>#VALUE!</v>
      </c>
      <c r="DV93" t="e">
        <f>AND(resultados!AA34,"AAAAAGv/M30=")</f>
        <v>#VALUE!</v>
      </c>
      <c r="DW93" t="e">
        <f>AND(resultados!AB34,"AAAAAGv/M34=")</f>
        <v>#VALUE!</v>
      </c>
      <c r="DX93" t="e">
        <f>AND(resultados!AC34,"AAAAAGv/M38=")</f>
        <v>#VALUE!</v>
      </c>
      <c r="DY93" t="e">
        <f>AND(resultados!AD34,"AAAAAGv/M4A=")</f>
        <v>#VALUE!</v>
      </c>
      <c r="DZ93" t="e">
        <f>AND(resultados!AE34,"AAAAAGv/M4E=")</f>
        <v>#VALUE!</v>
      </c>
      <c r="EA93" t="e">
        <f>AND(resultados!AF34,"AAAAAGv/M4I=")</f>
        <v>#VALUE!</v>
      </c>
      <c r="EB93" t="e">
        <f>AND(resultados!AG34,"AAAAAGv/M4M=")</f>
        <v>#VALUE!</v>
      </c>
      <c r="EC93" t="e">
        <f>AND(resultados!AH34,"AAAAAGv/M4Q=")</f>
        <v>#VALUE!</v>
      </c>
      <c r="ED93" t="e">
        <f>AND(resultados!AI34,"AAAAAGv/M4U=")</f>
        <v>#VALUE!</v>
      </c>
      <c r="EE93">
        <f>IF(resultados!35:35,"AAAAAGv/M4Y=",0)</f>
        <v>0</v>
      </c>
      <c r="EF93" t="e">
        <f>AND(resultados!#REF!,"AAAAAGv/M4c=")</f>
        <v>#REF!</v>
      </c>
      <c r="EG93" t="e">
        <f>AND(resultados!C35,"AAAAAGv/M4g=")</f>
        <v>#VALUE!</v>
      </c>
      <c r="EH93" t="e">
        <f>AND(resultados!D35,"AAAAAGv/M4k=")</f>
        <v>#VALUE!</v>
      </c>
      <c r="EI93" t="e">
        <f>AND(resultados!E35,"AAAAAGv/M4o=")</f>
        <v>#VALUE!</v>
      </c>
      <c r="EJ93" t="e">
        <f>AND(resultados!#REF!,"AAAAAGv/M4s=")</f>
        <v>#REF!</v>
      </c>
      <c r="EK93" t="e">
        <f>AND(resultados!G35,"AAAAAGv/M4w=")</f>
        <v>#VALUE!</v>
      </c>
      <c r="EL93" t="e">
        <f>AND(resultados!H35,"AAAAAGv/M40=")</f>
        <v>#VALUE!</v>
      </c>
      <c r="EM93" t="e">
        <f>AND(resultados!I35,"AAAAAGv/M44=")</f>
        <v>#VALUE!</v>
      </c>
      <c r="EN93" t="e">
        <f>AND(resultados!J35,"AAAAAGv/M48=")</f>
        <v>#VALUE!</v>
      </c>
      <c r="EO93" t="e">
        <f>AND(resultados!K35,"AAAAAGv/M5A=")</f>
        <v>#VALUE!</v>
      </c>
      <c r="EP93" t="e">
        <f>AND(resultados!L35,"AAAAAGv/M5E=")</f>
        <v>#VALUE!</v>
      </c>
      <c r="EQ93" t="e">
        <f>AND(resultados!M35,"AAAAAGv/M5I=")</f>
        <v>#VALUE!</v>
      </c>
      <c r="ER93" t="e">
        <f>AND(resultados!N35,"AAAAAGv/M5M=")</f>
        <v>#VALUE!</v>
      </c>
      <c r="ES93" t="e">
        <f>AND(resultados!O35,"AAAAAGv/M5Q=")</f>
        <v>#VALUE!</v>
      </c>
      <c r="ET93" t="e">
        <f>AND(resultados!P35,"AAAAAGv/M5U=")</f>
        <v>#VALUE!</v>
      </c>
      <c r="EU93" t="e">
        <f>AND(resultados!Q35,"AAAAAGv/M5Y=")</f>
        <v>#VALUE!</v>
      </c>
      <c r="EV93" t="e">
        <f>AND(resultados!R35,"AAAAAGv/M5c=")</f>
        <v>#VALUE!</v>
      </c>
      <c r="EW93" t="e">
        <f>AND(resultados!S35,"AAAAAGv/M5g=")</f>
        <v>#VALUE!</v>
      </c>
      <c r="EX93" t="e">
        <f>AND(resultados!T35,"AAAAAGv/M5k=")</f>
        <v>#VALUE!</v>
      </c>
      <c r="EY93" t="e">
        <f>AND(resultados!U35,"AAAAAGv/M5o=")</f>
        <v>#VALUE!</v>
      </c>
      <c r="EZ93" t="e">
        <f>AND(resultados!V35,"AAAAAGv/M5s=")</f>
        <v>#VALUE!</v>
      </c>
      <c r="FA93" t="e">
        <f>AND(resultados!W35,"AAAAAGv/M5w=")</f>
        <v>#VALUE!</v>
      </c>
      <c r="FB93" t="e">
        <f>AND(resultados!X35,"AAAAAGv/M50=")</f>
        <v>#VALUE!</v>
      </c>
      <c r="FC93" t="e">
        <f>AND(resultados!Y35,"AAAAAGv/M54=")</f>
        <v>#VALUE!</v>
      </c>
      <c r="FD93" t="e">
        <f>AND(resultados!Z35,"AAAAAGv/M58=")</f>
        <v>#VALUE!</v>
      </c>
      <c r="FE93" t="e">
        <f>AND(resultados!AA35,"AAAAAGv/M6A=")</f>
        <v>#VALUE!</v>
      </c>
      <c r="FF93" t="e">
        <f>AND(resultados!AB35,"AAAAAGv/M6E=")</f>
        <v>#VALUE!</v>
      </c>
      <c r="FG93" t="e">
        <f>AND(resultados!AC35,"AAAAAGv/M6I=")</f>
        <v>#VALUE!</v>
      </c>
      <c r="FH93" t="e">
        <f>AND(resultados!AD35,"AAAAAGv/M6M=")</f>
        <v>#VALUE!</v>
      </c>
      <c r="FI93" t="e">
        <f>AND(resultados!AE35,"AAAAAGv/M6Q=")</f>
        <v>#VALUE!</v>
      </c>
      <c r="FJ93" t="e">
        <f>AND(resultados!AF35,"AAAAAGv/M6U=")</f>
        <v>#VALUE!</v>
      </c>
      <c r="FK93" t="e">
        <f>AND(resultados!AG35,"AAAAAGv/M6Y=")</f>
        <v>#VALUE!</v>
      </c>
      <c r="FL93" t="e">
        <f>AND(resultados!AH35,"AAAAAGv/M6c=")</f>
        <v>#VALUE!</v>
      </c>
      <c r="FM93" t="e">
        <f>AND(resultados!AI35,"AAAAAGv/M6g=")</f>
        <v>#VALUE!</v>
      </c>
      <c r="FN93">
        <f>IF(resultados!36:36,"AAAAAGv/M6k=",0)</f>
        <v>0</v>
      </c>
      <c r="FO93" t="e">
        <f>AND(resultados!#REF!,"AAAAAGv/M6o=")</f>
        <v>#REF!</v>
      </c>
      <c r="FP93" t="e">
        <f>AND(resultados!C36,"AAAAAGv/M6s=")</f>
        <v>#VALUE!</v>
      </c>
      <c r="FQ93" t="e">
        <f>AND(resultados!D36,"AAAAAGv/M6w=")</f>
        <v>#VALUE!</v>
      </c>
      <c r="FR93" t="e">
        <f>AND(resultados!E36,"AAAAAGv/M60=")</f>
        <v>#VALUE!</v>
      </c>
      <c r="FS93" t="e">
        <f>AND(resultados!#REF!,"AAAAAGv/M64=")</f>
        <v>#REF!</v>
      </c>
      <c r="FT93" t="e">
        <f>AND(resultados!G36,"AAAAAGv/M68=")</f>
        <v>#VALUE!</v>
      </c>
      <c r="FU93" t="e">
        <f>AND(resultados!H36,"AAAAAGv/M7A=")</f>
        <v>#VALUE!</v>
      </c>
      <c r="FV93" t="e">
        <f>AND(resultados!I36,"AAAAAGv/M7E=")</f>
        <v>#VALUE!</v>
      </c>
      <c r="FW93" t="e">
        <f>AND(resultados!J36,"AAAAAGv/M7I=")</f>
        <v>#VALUE!</v>
      </c>
      <c r="FX93" t="e">
        <f>AND(resultados!K36,"AAAAAGv/M7M=")</f>
        <v>#VALUE!</v>
      </c>
      <c r="FY93" t="e">
        <f>AND(resultados!L36,"AAAAAGv/M7Q=")</f>
        <v>#VALUE!</v>
      </c>
      <c r="FZ93" t="e">
        <f>AND(resultados!M36,"AAAAAGv/M7U=")</f>
        <v>#VALUE!</v>
      </c>
      <c r="GA93" t="e">
        <f>AND(resultados!N36,"AAAAAGv/M7Y=")</f>
        <v>#VALUE!</v>
      </c>
      <c r="GB93" t="e">
        <f>AND(resultados!O36,"AAAAAGv/M7c=")</f>
        <v>#VALUE!</v>
      </c>
      <c r="GC93" t="e">
        <f>AND(resultados!P36,"AAAAAGv/M7g=")</f>
        <v>#VALUE!</v>
      </c>
      <c r="GD93" t="e">
        <f>AND(resultados!Q36,"AAAAAGv/M7k=")</f>
        <v>#VALUE!</v>
      </c>
      <c r="GE93" t="e">
        <f>AND(resultados!R36,"AAAAAGv/M7o=")</f>
        <v>#VALUE!</v>
      </c>
      <c r="GF93" t="e">
        <f>AND(resultados!S36,"AAAAAGv/M7s=")</f>
        <v>#VALUE!</v>
      </c>
      <c r="GG93" t="e">
        <f>AND(resultados!T36,"AAAAAGv/M7w=")</f>
        <v>#VALUE!</v>
      </c>
      <c r="GH93" t="e">
        <f>AND(resultados!U36,"AAAAAGv/M70=")</f>
        <v>#VALUE!</v>
      </c>
      <c r="GI93" t="e">
        <f>AND(resultados!V36,"AAAAAGv/M74=")</f>
        <v>#VALUE!</v>
      </c>
      <c r="GJ93" t="e">
        <f>AND(resultados!W36,"AAAAAGv/M78=")</f>
        <v>#VALUE!</v>
      </c>
      <c r="GK93" t="e">
        <f>AND(resultados!X36,"AAAAAGv/M8A=")</f>
        <v>#VALUE!</v>
      </c>
      <c r="GL93" t="e">
        <f>AND(resultados!Y36,"AAAAAGv/M8E=")</f>
        <v>#VALUE!</v>
      </c>
      <c r="GM93" t="e">
        <f>AND(resultados!Z36,"AAAAAGv/M8I=")</f>
        <v>#VALUE!</v>
      </c>
      <c r="GN93" t="e">
        <f>AND(resultados!AA36,"AAAAAGv/M8M=")</f>
        <v>#VALUE!</v>
      </c>
      <c r="GO93" t="e">
        <f>AND(resultados!AB36,"AAAAAGv/M8Q=")</f>
        <v>#VALUE!</v>
      </c>
      <c r="GP93" t="e">
        <f>AND(resultados!AC36,"AAAAAGv/M8U=")</f>
        <v>#VALUE!</v>
      </c>
      <c r="GQ93" t="e">
        <f>AND(resultados!AD36,"AAAAAGv/M8Y=")</f>
        <v>#VALUE!</v>
      </c>
      <c r="GR93" t="e">
        <f>AND(resultados!AE36,"AAAAAGv/M8c=")</f>
        <v>#VALUE!</v>
      </c>
      <c r="GS93" t="e">
        <f>AND(resultados!AF36,"AAAAAGv/M8g=")</f>
        <v>#VALUE!</v>
      </c>
      <c r="GT93" t="e">
        <f>AND(resultados!AG36,"AAAAAGv/M8k=")</f>
        <v>#VALUE!</v>
      </c>
      <c r="GU93" t="e">
        <f>AND(resultados!AH36,"AAAAAGv/M8o=")</f>
        <v>#VALUE!</v>
      </c>
      <c r="GV93" t="e">
        <f>AND(resultados!AI36,"AAAAAGv/M8s=")</f>
        <v>#VALUE!</v>
      </c>
      <c r="GW93">
        <f>IF(resultados!37:37,"AAAAAGv/M8w=",0)</f>
        <v>0</v>
      </c>
      <c r="GX93" t="e">
        <f>AND(resultados!#REF!,"AAAAAGv/M80=")</f>
        <v>#REF!</v>
      </c>
      <c r="GY93" t="e">
        <f>AND(resultados!C37,"AAAAAGv/M84=")</f>
        <v>#VALUE!</v>
      </c>
      <c r="GZ93" t="e">
        <f>AND(resultados!D37,"AAAAAGv/M88=")</f>
        <v>#VALUE!</v>
      </c>
      <c r="HA93" t="e">
        <f>AND(resultados!E37,"AAAAAGv/M9A=")</f>
        <v>#VALUE!</v>
      </c>
      <c r="HB93" t="e">
        <f>AND(resultados!#REF!,"AAAAAGv/M9E=")</f>
        <v>#REF!</v>
      </c>
      <c r="HC93" t="e">
        <f>AND(resultados!G37,"AAAAAGv/M9I=")</f>
        <v>#VALUE!</v>
      </c>
      <c r="HD93" t="e">
        <f>AND(resultados!H37,"AAAAAGv/M9M=")</f>
        <v>#VALUE!</v>
      </c>
      <c r="HE93" t="e">
        <f>AND(resultados!I37,"AAAAAGv/M9Q=")</f>
        <v>#VALUE!</v>
      </c>
      <c r="HF93" t="e">
        <f>AND(resultados!J37,"AAAAAGv/M9U=")</f>
        <v>#VALUE!</v>
      </c>
      <c r="HG93" t="e">
        <f>AND(resultados!K37,"AAAAAGv/M9Y=")</f>
        <v>#VALUE!</v>
      </c>
      <c r="HH93" t="e">
        <f>AND(resultados!L37,"AAAAAGv/M9c=")</f>
        <v>#VALUE!</v>
      </c>
      <c r="HI93" t="e">
        <f>AND(resultados!M37,"AAAAAGv/M9g=")</f>
        <v>#VALUE!</v>
      </c>
      <c r="HJ93" t="e">
        <f>AND(resultados!N37,"AAAAAGv/M9k=")</f>
        <v>#VALUE!</v>
      </c>
      <c r="HK93" t="e">
        <f>AND(resultados!O37,"AAAAAGv/M9o=")</f>
        <v>#VALUE!</v>
      </c>
      <c r="HL93" t="e">
        <f>AND(resultados!P37,"AAAAAGv/M9s=")</f>
        <v>#VALUE!</v>
      </c>
      <c r="HM93" t="e">
        <f>AND(resultados!Q37,"AAAAAGv/M9w=")</f>
        <v>#VALUE!</v>
      </c>
      <c r="HN93" t="e">
        <f>AND(resultados!R37,"AAAAAGv/M90=")</f>
        <v>#VALUE!</v>
      </c>
      <c r="HO93" t="e">
        <f>AND(resultados!S37,"AAAAAGv/M94=")</f>
        <v>#VALUE!</v>
      </c>
      <c r="HP93" t="e">
        <f>AND(resultados!T37,"AAAAAGv/M98=")</f>
        <v>#VALUE!</v>
      </c>
      <c r="HQ93" t="e">
        <f>AND(resultados!U37,"AAAAAGv/M+A=")</f>
        <v>#VALUE!</v>
      </c>
      <c r="HR93" t="e">
        <f>AND(resultados!V37,"AAAAAGv/M+E=")</f>
        <v>#VALUE!</v>
      </c>
      <c r="HS93" t="e">
        <f>AND(resultados!W37,"AAAAAGv/M+I=")</f>
        <v>#VALUE!</v>
      </c>
      <c r="HT93" t="e">
        <f>AND(resultados!X37,"AAAAAGv/M+M=")</f>
        <v>#VALUE!</v>
      </c>
      <c r="HU93" t="e">
        <f>AND(resultados!Y37,"AAAAAGv/M+Q=")</f>
        <v>#VALUE!</v>
      </c>
      <c r="HV93" t="e">
        <f>AND(resultados!Z37,"AAAAAGv/M+U=")</f>
        <v>#VALUE!</v>
      </c>
      <c r="HW93" t="e">
        <f>AND(resultados!AA37,"AAAAAGv/M+Y=")</f>
        <v>#VALUE!</v>
      </c>
      <c r="HX93" t="e">
        <f>AND(resultados!AB37,"AAAAAGv/M+c=")</f>
        <v>#VALUE!</v>
      </c>
      <c r="HY93" t="e">
        <f>AND(resultados!AC37,"AAAAAGv/M+g=")</f>
        <v>#VALUE!</v>
      </c>
      <c r="HZ93" t="e">
        <f>AND(resultados!AD37,"AAAAAGv/M+k=")</f>
        <v>#VALUE!</v>
      </c>
      <c r="IA93" t="e">
        <f>AND(resultados!AE37,"AAAAAGv/M+o=")</f>
        <v>#VALUE!</v>
      </c>
      <c r="IB93" t="e">
        <f>AND(resultados!AF37,"AAAAAGv/M+s=")</f>
        <v>#VALUE!</v>
      </c>
      <c r="IC93" t="e">
        <f>AND(resultados!AG37,"AAAAAGv/M+w=")</f>
        <v>#VALUE!</v>
      </c>
      <c r="ID93" t="e">
        <f>AND(resultados!AH37,"AAAAAGv/M+0=")</f>
        <v>#VALUE!</v>
      </c>
      <c r="IE93" t="e">
        <f>AND(resultados!AI37,"AAAAAGv/M+4=")</f>
        <v>#VALUE!</v>
      </c>
      <c r="IF93">
        <f>IF(resultados!38:38,"AAAAAGv/M+8=",0)</f>
        <v>0</v>
      </c>
      <c r="IG93" t="e">
        <f>AND(resultados!#REF!,"AAAAAGv/M/A=")</f>
        <v>#REF!</v>
      </c>
      <c r="IH93" t="e">
        <f>AND(resultados!C38,"AAAAAGv/M/E=")</f>
        <v>#VALUE!</v>
      </c>
      <c r="II93" t="e">
        <f>AND(resultados!D38,"AAAAAGv/M/I=")</f>
        <v>#VALUE!</v>
      </c>
      <c r="IJ93" t="e">
        <f>AND(resultados!E38,"AAAAAGv/M/M=")</f>
        <v>#VALUE!</v>
      </c>
      <c r="IK93" t="e">
        <f>AND(resultados!#REF!,"AAAAAGv/M/Q=")</f>
        <v>#REF!</v>
      </c>
      <c r="IL93" t="e">
        <f>AND(resultados!G38,"AAAAAGv/M/U=")</f>
        <v>#VALUE!</v>
      </c>
      <c r="IM93" t="e">
        <f>AND(resultados!H38,"AAAAAGv/M/Y=")</f>
        <v>#VALUE!</v>
      </c>
      <c r="IN93" t="e">
        <f>AND(resultados!I38,"AAAAAGv/M/c=")</f>
        <v>#VALUE!</v>
      </c>
      <c r="IO93" t="e">
        <f>AND(resultados!J38,"AAAAAGv/M/g=")</f>
        <v>#VALUE!</v>
      </c>
      <c r="IP93" t="e">
        <f>AND(resultados!K38,"AAAAAGv/M/k=")</f>
        <v>#VALUE!</v>
      </c>
      <c r="IQ93" t="e">
        <f>AND(resultados!L38,"AAAAAGv/M/o=")</f>
        <v>#VALUE!</v>
      </c>
      <c r="IR93" t="e">
        <f>AND(resultados!M38,"AAAAAGv/M/s=")</f>
        <v>#VALUE!</v>
      </c>
      <c r="IS93" t="e">
        <f>AND(resultados!N38,"AAAAAGv/M/w=")</f>
        <v>#VALUE!</v>
      </c>
      <c r="IT93" t="e">
        <f>AND(resultados!O38,"AAAAAGv/M/0=")</f>
        <v>#VALUE!</v>
      </c>
      <c r="IU93" t="e">
        <f>AND(resultados!P38,"AAAAAGv/M/4=")</f>
        <v>#VALUE!</v>
      </c>
      <c r="IV93" t="e">
        <f>AND(resultados!Q38,"AAAAAGv/M/8=")</f>
        <v>#VALUE!</v>
      </c>
    </row>
    <row r="94" spans="1:256" x14ac:dyDescent="0.2">
      <c r="A94" t="e">
        <f>AND(resultados!R38,"AAAAAF5/9QA=")</f>
        <v>#VALUE!</v>
      </c>
      <c r="B94" t="e">
        <f>AND(resultados!S38,"AAAAAF5/9QE=")</f>
        <v>#VALUE!</v>
      </c>
      <c r="C94" t="e">
        <f>AND(resultados!T38,"AAAAAF5/9QI=")</f>
        <v>#VALUE!</v>
      </c>
      <c r="D94" t="e">
        <f>AND(resultados!U38,"AAAAAF5/9QM=")</f>
        <v>#VALUE!</v>
      </c>
      <c r="E94" t="e">
        <f>AND(resultados!V38,"AAAAAF5/9QQ=")</f>
        <v>#VALUE!</v>
      </c>
      <c r="F94" t="e">
        <f>AND(resultados!W38,"AAAAAF5/9QU=")</f>
        <v>#VALUE!</v>
      </c>
      <c r="G94" t="e">
        <f>AND(resultados!X38,"AAAAAF5/9QY=")</f>
        <v>#VALUE!</v>
      </c>
      <c r="H94" t="e">
        <f>AND(resultados!Y38,"AAAAAF5/9Qc=")</f>
        <v>#VALUE!</v>
      </c>
      <c r="I94" t="e">
        <f>AND(resultados!Z38,"AAAAAF5/9Qg=")</f>
        <v>#VALUE!</v>
      </c>
      <c r="J94" t="e">
        <f>AND(resultados!AA38,"AAAAAF5/9Qk=")</f>
        <v>#VALUE!</v>
      </c>
      <c r="K94" t="e">
        <f>AND(resultados!AB38,"AAAAAF5/9Qo=")</f>
        <v>#VALUE!</v>
      </c>
      <c r="L94" t="e">
        <f>AND(resultados!AC38,"AAAAAF5/9Qs=")</f>
        <v>#VALUE!</v>
      </c>
      <c r="M94" t="e">
        <f>AND(resultados!AD38,"AAAAAF5/9Qw=")</f>
        <v>#VALUE!</v>
      </c>
      <c r="N94" t="e">
        <f>AND(resultados!AE38,"AAAAAF5/9Q0=")</f>
        <v>#VALUE!</v>
      </c>
      <c r="O94" t="e">
        <f>AND(resultados!AF38,"AAAAAF5/9Q4=")</f>
        <v>#VALUE!</v>
      </c>
      <c r="P94" t="e">
        <f>AND(resultados!AG38,"AAAAAF5/9Q8=")</f>
        <v>#VALUE!</v>
      </c>
      <c r="Q94" t="e">
        <f>AND(resultados!AH38,"AAAAAF5/9RA=")</f>
        <v>#VALUE!</v>
      </c>
      <c r="R94" t="e">
        <f>AND(resultados!AI38,"AAAAAF5/9RE=")</f>
        <v>#VALUE!</v>
      </c>
      <c r="S94">
        <f>IF(resultados!39:39,"AAAAAF5/9RI=",0)</f>
        <v>0</v>
      </c>
      <c r="T94" t="e">
        <f>AND(resultados!#REF!,"AAAAAF5/9RM=")</f>
        <v>#REF!</v>
      </c>
      <c r="U94" t="e">
        <f>AND(resultados!C39,"AAAAAF5/9RQ=")</f>
        <v>#VALUE!</v>
      </c>
      <c r="V94" t="e">
        <f>AND(resultados!D39,"AAAAAF5/9RU=")</f>
        <v>#VALUE!</v>
      </c>
      <c r="W94" t="e">
        <f>AND(resultados!E39,"AAAAAF5/9RY=")</f>
        <v>#VALUE!</v>
      </c>
      <c r="X94" t="e">
        <f>AND(resultados!#REF!,"AAAAAF5/9Rc=")</f>
        <v>#REF!</v>
      </c>
      <c r="Y94" t="e">
        <f>AND(resultados!G39,"AAAAAF5/9Rg=")</f>
        <v>#VALUE!</v>
      </c>
      <c r="Z94" t="e">
        <f>AND(resultados!H39,"AAAAAF5/9Rk=")</f>
        <v>#VALUE!</v>
      </c>
      <c r="AA94" t="e">
        <f>AND(resultados!I39,"AAAAAF5/9Ro=")</f>
        <v>#VALUE!</v>
      </c>
      <c r="AB94" t="e">
        <f>AND(resultados!J39,"AAAAAF5/9Rs=")</f>
        <v>#VALUE!</v>
      </c>
      <c r="AC94" t="e">
        <f>AND(resultados!K39,"AAAAAF5/9Rw=")</f>
        <v>#VALUE!</v>
      </c>
      <c r="AD94" t="e">
        <f>AND(resultados!L39,"AAAAAF5/9R0=")</f>
        <v>#VALUE!</v>
      </c>
      <c r="AE94" t="e">
        <f>AND(resultados!M39,"AAAAAF5/9R4=")</f>
        <v>#VALUE!</v>
      </c>
      <c r="AF94" t="e">
        <f>AND(resultados!N39,"AAAAAF5/9R8=")</f>
        <v>#VALUE!</v>
      </c>
      <c r="AG94" t="e">
        <f>AND(resultados!O39,"AAAAAF5/9SA=")</f>
        <v>#VALUE!</v>
      </c>
      <c r="AH94" t="e">
        <f>AND(resultados!P39,"AAAAAF5/9SE=")</f>
        <v>#VALUE!</v>
      </c>
      <c r="AI94" t="e">
        <f>AND(resultados!Q39,"AAAAAF5/9SI=")</f>
        <v>#VALUE!</v>
      </c>
      <c r="AJ94" t="e">
        <f>AND(resultados!R39,"AAAAAF5/9SM=")</f>
        <v>#VALUE!</v>
      </c>
      <c r="AK94" t="e">
        <f>AND(resultados!S39,"AAAAAF5/9SQ=")</f>
        <v>#VALUE!</v>
      </c>
      <c r="AL94" t="e">
        <f>AND(resultados!T39,"AAAAAF5/9SU=")</f>
        <v>#VALUE!</v>
      </c>
      <c r="AM94" t="e">
        <f>AND(resultados!U39,"AAAAAF5/9SY=")</f>
        <v>#VALUE!</v>
      </c>
      <c r="AN94" t="e">
        <f>AND(resultados!V39,"AAAAAF5/9Sc=")</f>
        <v>#VALUE!</v>
      </c>
      <c r="AO94" t="e">
        <f>AND(resultados!W39,"AAAAAF5/9Sg=")</f>
        <v>#VALUE!</v>
      </c>
      <c r="AP94" t="e">
        <f>AND(resultados!X39,"AAAAAF5/9Sk=")</f>
        <v>#VALUE!</v>
      </c>
      <c r="AQ94" t="e">
        <f>AND(resultados!Y39,"AAAAAF5/9So=")</f>
        <v>#VALUE!</v>
      </c>
      <c r="AR94" t="e">
        <f>AND(resultados!Z39,"AAAAAF5/9Ss=")</f>
        <v>#VALUE!</v>
      </c>
      <c r="AS94" t="e">
        <f>AND(resultados!AA39,"AAAAAF5/9Sw=")</f>
        <v>#VALUE!</v>
      </c>
      <c r="AT94" t="e">
        <f>AND(resultados!AB39,"AAAAAF5/9S0=")</f>
        <v>#VALUE!</v>
      </c>
      <c r="AU94" t="e">
        <f>AND(resultados!AC39,"AAAAAF5/9S4=")</f>
        <v>#VALUE!</v>
      </c>
      <c r="AV94" t="e">
        <f>AND(resultados!AD39,"AAAAAF5/9S8=")</f>
        <v>#VALUE!</v>
      </c>
      <c r="AW94" t="e">
        <f>AND(resultados!AE39,"AAAAAF5/9TA=")</f>
        <v>#VALUE!</v>
      </c>
      <c r="AX94" t="e">
        <f>AND(resultados!AF39,"AAAAAF5/9TE=")</f>
        <v>#VALUE!</v>
      </c>
      <c r="AY94" t="e">
        <f>AND(resultados!AG39,"AAAAAF5/9TI=")</f>
        <v>#VALUE!</v>
      </c>
      <c r="AZ94" t="e">
        <f>AND(resultados!AH39,"AAAAAF5/9TM=")</f>
        <v>#VALUE!</v>
      </c>
      <c r="BA94" t="e">
        <f>AND(resultados!AI39,"AAAAAF5/9TQ=")</f>
        <v>#VALUE!</v>
      </c>
      <c r="BB94">
        <f>IF(resultados!40:40,"AAAAAF5/9TU=",0)</f>
        <v>0</v>
      </c>
      <c r="BC94" t="e">
        <f>AND(resultados!#REF!,"AAAAAF5/9TY=")</f>
        <v>#REF!</v>
      </c>
      <c r="BD94" t="e">
        <f>AND(resultados!C40,"AAAAAF5/9Tc=")</f>
        <v>#VALUE!</v>
      </c>
      <c r="BE94" t="e">
        <f>AND(resultados!D40,"AAAAAF5/9Tg=")</f>
        <v>#VALUE!</v>
      </c>
      <c r="BF94" t="e">
        <f>AND(resultados!E40,"AAAAAF5/9Tk=")</f>
        <v>#VALUE!</v>
      </c>
      <c r="BG94" t="e">
        <f>AND(resultados!#REF!,"AAAAAF5/9To=")</f>
        <v>#REF!</v>
      </c>
      <c r="BH94" t="e">
        <f>AND(resultados!G40,"AAAAAF5/9Ts=")</f>
        <v>#VALUE!</v>
      </c>
      <c r="BI94" t="e">
        <f>AND(resultados!H40,"AAAAAF5/9Tw=")</f>
        <v>#VALUE!</v>
      </c>
      <c r="BJ94" t="e">
        <f>AND(resultados!I40,"AAAAAF5/9T0=")</f>
        <v>#VALUE!</v>
      </c>
      <c r="BK94" t="e">
        <f>AND(resultados!J40,"AAAAAF5/9T4=")</f>
        <v>#VALUE!</v>
      </c>
      <c r="BL94" t="e">
        <f>AND(resultados!K40,"AAAAAF5/9T8=")</f>
        <v>#VALUE!</v>
      </c>
      <c r="BM94" t="e">
        <f>AND(resultados!L40,"AAAAAF5/9UA=")</f>
        <v>#VALUE!</v>
      </c>
      <c r="BN94" t="e">
        <f>AND(resultados!M40,"AAAAAF5/9UE=")</f>
        <v>#VALUE!</v>
      </c>
      <c r="BO94" t="e">
        <f>AND(resultados!N40,"AAAAAF5/9UI=")</f>
        <v>#VALUE!</v>
      </c>
      <c r="BP94" t="e">
        <f>AND(resultados!O40,"AAAAAF5/9UM=")</f>
        <v>#VALUE!</v>
      </c>
      <c r="BQ94" t="e">
        <f>AND(resultados!P40,"AAAAAF5/9UQ=")</f>
        <v>#VALUE!</v>
      </c>
      <c r="BR94" t="e">
        <f>AND(resultados!Q40,"AAAAAF5/9UU=")</f>
        <v>#VALUE!</v>
      </c>
      <c r="BS94" t="e">
        <f>AND(resultados!R40,"AAAAAF5/9UY=")</f>
        <v>#VALUE!</v>
      </c>
      <c r="BT94" t="e">
        <f>AND(resultados!S40,"AAAAAF5/9Uc=")</f>
        <v>#VALUE!</v>
      </c>
      <c r="BU94" t="e">
        <f>AND(resultados!T40,"AAAAAF5/9Ug=")</f>
        <v>#VALUE!</v>
      </c>
      <c r="BV94" t="e">
        <f>AND(resultados!U40,"AAAAAF5/9Uk=")</f>
        <v>#VALUE!</v>
      </c>
      <c r="BW94" t="e">
        <f>AND(resultados!V40,"AAAAAF5/9Uo=")</f>
        <v>#VALUE!</v>
      </c>
      <c r="BX94" t="e">
        <f>AND(resultados!W40,"AAAAAF5/9Us=")</f>
        <v>#VALUE!</v>
      </c>
      <c r="BY94" t="e">
        <f>AND(resultados!X40,"AAAAAF5/9Uw=")</f>
        <v>#VALUE!</v>
      </c>
      <c r="BZ94" t="e">
        <f>AND(resultados!Y40,"AAAAAF5/9U0=")</f>
        <v>#VALUE!</v>
      </c>
      <c r="CA94" t="e">
        <f>AND(resultados!Z40,"AAAAAF5/9U4=")</f>
        <v>#VALUE!</v>
      </c>
      <c r="CB94" t="e">
        <f>AND(resultados!AA40,"AAAAAF5/9U8=")</f>
        <v>#VALUE!</v>
      </c>
      <c r="CC94" t="e">
        <f>AND(resultados!AB40,"AAAAAF5/9VA=")</f>
        <v>#VALUE!</v>
      </c>
      <c r="CD94" t="e">
        <f>AND(resultados!AC40,"AAAAAF5/9VE=")</f>
        <v>#VALUE!</v>
      </c>
      <c r="CE94" t="e">
        <f>AND(resultados!AD40,"AAAAAF5/9VI=")</f>
        <v>#VALUE!</v>
      </c>
      <c r="CF94" t="e">
        <f>AND(resultados!AE40,"AAAAAF5/9VM=")</f>
        <v>#VALUE!</v>
      </c>
      <c r="CG94" t="e">
        <f>AND(resultados!AF40,"AAAAAF5/9VQ=")</f>
        <v>#VALUE!</v>
      </c>
      <c r="CH94" t="e">
        <f>AND(resultados!AG40,"AAAAAF5/9VU=")</f>
        <v>#VALUE!</v>
      </c>
      <c r="CI94" t="e">
        <f>AND(resultados!AH40,"AAAAAF5/9VY=")</f>
        <v>#VALUE!</v>
      </c>
      <c r="CJ94" t="e">
        <f>AND(resultados!AI40,"AAAAAF5/9Vc=")</f>
        <v>#VALUE!</v>
      </c>
      <c r="CK94">
        <f>IF(resultados!41:41,"AAAAAF5/9Vg=",0)</f>
        <v>0</v>
      </c>
      <c r="CL94" t="e">
        <f>AND(resultados!#REF!,"AAAAAF5/9Vk=")</f>
        <v>#REF!</v>
      </c>
      <c r="CM94" t="e">
        <f>AND(resultados!C41,"AAAAAF5/9Vo=")</f>
        <v>#VALUE!</v>
      </c>
      <c r="CN94" t="e">
        <f>AND(resultados!D41,"AAAAAF5/9Vs=")</f>
        <v>#VALUE!</v>
      </c>
      <c r="CO94" t="e">
        <f>AND(resultados!E41,"AAAAAF5/9Vw=")</f>
        <v>#VALUE!</v>
      </c>
      <c r="CP94" t="e">
        <f>AND(resultados!#REF!,"AAAAAF5/9V0=")</f>
        <v>#REF!</v>
      </c>
      <c r="CQ94" t="e">
        <f>AND(resultados!G41,"AAAAAF5/9V4=")</f>
        <v>#VALUE!</v>
      </c>
      <c r="CR94" t="e">
        <f>AND(resultados!H41,"AAAAAF5/9V8=")</f>
        <v>#VALUE!</v>
      </c>
      <c r="CS94" t="e">
        <f>AND(resultados!I41,"AAAAAF5/9WA=")</f>
        <v>#VALUE!</v>
      </c>
      <c r="CT94" t="e">
        <f>AND(resultados!J41,"AAAAAF5/9WE=")</f>
        <v>#VALUE!</v>
      </c>
      <c r="CU94" t="e">
        <f>AND(resultados!K41,"AAAAAF5/9WI=")</f>
        <v>#VALUE!</v>
      </c>
      <c r="CV94" t="e">
        <f>AND(resultados!L41,"AAAAAF5/9WM=")</f>
        <v>#VALUE!</v>
      </c>
      <c r="CW94" t="e">
        <f>AND(resultados!M41,"AAAAAF5/9WQ=")</f>
        <v>#VALUE!</v>
      </c>
      <c r="CX94" t="e">
        <f>AND(resultados!N41,"AAAAAF5/9WU=")</f>
        <v>#VALUE!</v>
      </c>
      <c r="CY94" t="e">
        <f>AND(resultados!O41,"AAAAAF5/9WY=")</f>
        <v>#VALUE!</v>
      </c>
      <c r="CZ94" t="e">
        <f>AND(resultados!P41,"AAAAAF5/9Wc=")</f>
        <v>#VALUE!</v>
      </c>
      <c r="DA94" t="e">
        <f>AND(resultados!Q41,"AAAAAF5/9Wg=")</f>
        <v>#VALUE!</v>
      </c>
      <c r="DB94" t="e">
        <f>AND(resultados!R41,"AAAAAF5/9Wk=")</f>
        <v>#VALUE!</v>
      </c>
      <c r="DC94" t="e">
        <f>AND(resultados!S41,"AAAAAF5/9Wo=")</f>
        <v>#VALUE!</v>
      </c>
      <c r="DD94" t="e">
        <f>AND(resultados!T41,"AAAAAF5/9Ws=")</f>
        <v>#VALUE!</v>
      </c>
      <c r="DE94" t="e">
        <f>AND(resultados!U41,"AAAAAF5/9Ww=")</f>
        <v>#VALUE!</v>
      </c>
      <c r="DF94" t="e">
        <f>AND(resultados!V41,"AAAAAF5/9W0=")</f>
        <v>#VALUE!</v>
      </c>
      <c r="DG94" t="e">
        <f>AND(resultados!W41,"AAAAAF5/9W4=")</f>
        <v>#VALUE!</v>
      </c>
      <c r="DH94" t="e">
        <f>AND(resultados!X41,"AAAAAF5/9W8=")</f>
        <v>#VALUE!</v>
      </c>
      <c r="DI94" t="e">
        <f>AND(resultados!Y41,"AAAAAF5/9XA=")</f>
        <v>#VALUE!</v>
      </c>
      <c r="DJ94" t="e">
        <f>AND(resultados!Z41,"AAAAAF5/9XE=")</f>
        <v>#VALUE!</v>
      </c>
      <c r="DK94" t="e">
        <f>AND(resultados!AA41,"AAAAAF5/9XI=")</f>
        <v>#VALUE!</v>
      </c>
      <c r="DL94" t="e">
        <f>AND(resultados!AB41,"AAAAAF5/9XM=")</f>
        <v>#VALUE!</v>
      </c>
      <c r="DM94" t="e">
        <f>AND(resultados!AC41,"AAAAAF5/9XQ=")</f>
        <v>#VALUE!</v>
      </c>
      <c r="DN94" t="e">
        <f>AND(resultados!AD41,"AAAAAF5/9XU=")</f>
        <v>#VALUE!</v>
      </c>
      <c r="DO94" t="e">
        <f>AND(resultados!AE41,"AAAAAF5/9XY=")</f>
        <v>#VALUE!</v>
      </c>
      <c r="DP94" t="e">
        <f>AND(resultados!AF41,"AAAAAF5/9Xc=")</f>
        <v>#VALUE!</v>
      </c>
      <c r="DQ94" t="e">
        <f>AND(resultados!AG41,"AAAAAF5/9Xg=")</f>
        <v>#VALUE!</v>
      </c>
      <c r="DR94" t="e">
        <f>AND(resultados!AH41,"AAAAAF5/9Xk=")</f>
        <v>#VALUE!</v>
      </c>
      <c r="DS94" t="e">
        <f>AND(resultados!AI41,"AAAAAF5/9Xo=")</f>
        <v>#VALUE!</v>
      </c>
      <c r="DT94">
        <f>IF(resultados!42:42,"AAAAAF5/9Xs=",0)</f>
        <v>0</v>
      </c>
      <c r="DU94" t="e">
        <f>AND(resultados!#REF!,"AAAAAF5/9Xw=")</f>
        <v>#REF!</v>
      </c>
      <c r="DV94" t="e">
        <f>AND(resultados!C42,"AAAAAF5/9X0=")</f>
        <v>#VALUE!</v>
      </c>
      <c r="DW94" t="e">
        <f>AND(resultados!D42,"AAAAAF5/9X4=")</f>
        <v>#VALUE!</v>
      </c>
      <c r="DX94" t="e">
        <f>AND(resultados!E42,"AAAAAF5/9X8=")</f>
        <v>#VALUE!</v>
      </c>
      <c r="DY94" t="e">
        <f>AND(resultados!#REF!,"AAAAAF5/9YA=")</f>
        <v>#REF!</v>
      </c>
      <c r="DZ94" t="e">
        <f>AND(resultados!G42,"AAAAAF5/9YE=")</f>
        <v>#VALUE!</v>
      </c>
      <c r="EA94" t="e">
        <f>AND(resultados!H42,"AAAAAF5/9YI=")</f>
        <v>#VALUE!</v>
      </c>
      <c r="EB94" t="e">
        <f>AND(resultados!I42,"AAAAAF5/9YM=")</f>
        <v>#VALUE!</v>
      </c>
      <c r="EC94" t="e">
        <f>AND(resultados!J42,"AAAAAF5/9YQ=")</f>
        <v>#VALUE!</v>
      </c>
      <c r="ED94" t="e">
        <f>AND(resultados!K42,"AAAAAF5/9YU=")</f>
        <v>#VALUE!</v>
      </c>
      <c r="EE94" t="e">
        <f>AND(resultados!L42,"AAAAAF5/9YY=")</f>
        <v>#VALUE!</v>
      </c>
      <c r="EF94" t="e">
        <f>AND(resultados!M42,"AAAAAF5/9Yc=")</f>
        <v>#VALUE!</v>
      </c>
      <c r="EG94" t="e">
        <f>AND(resultados!N42,"AAAAAF5/9Yg=")</f>
        <v>#VALUE!</v>
      </c>
      <c r="EH94" t="e">
        <f>AND(resultados!O42,"AAAAAF5/9Yk=")</f>
        <v>#VALUE!</v>
      </c>
      <c r="EI94" t="e">
        <f>AND(resultados!P42,"AAAAAF5/9Yo=")</f>
        <v>#VALUE!</v>
      </c>
      <c r="EJ94" t="e">
        <f>AND(resultados!Q42,"AAAAAF5/9Ys=")</f>
        <v>#VALUE!</v>
      </c>
      <c r="EK94" t="e">
        <f>AND(resultados!R42,"AAAAAF5/9Yw=")</f>
        <v>#VALUE!</v>
      </c>
      <c r="EL94" t="e">
        <f>AND(resultados!S42,"AAAAAF5/9Y0=")</f>
        <v>#VALUE!</v>
      </c>
      <c r="EM94" t="e">
        <f>AND(resultados!T42,"AAAAAF5/9Y4=")</f>
        <v>#VALUE!</v>
      </c>
      <c r="EN94" t="e">
        <f>AND(resultados!U42,"AAAAAF5/9Y8=")</f>
        <v>#VALUE!</v>
      </c>
      <c r="EO94" t="e">
        <f>AND(resultados!V42,"AAAAAF5/9ZA=")</f>
        <v>#VALUE!</v>
      </c>
      <c r="EP94" t="e">
        <f>AND(resultados!W42,"AAAAAF5/9ZE=")</f>
        <v>#VALUE!</v>
      </c>
      <c r="EQ94" t="e">
        <f>AND(resultados!X42,"AAAAAF5/9ZI=")</f>
        <v>#VALUE!</v>
      </c>
      <c r="ER94" t="e">
        <f>AND(resultados!Y42,"AAAAAF5/9ZM=")</f>
        <v>#VALUE!</v>
      </c>
      <c r="ES94" t="e">
        <f>AND(resultados!Z42,"AAAAAF5/9ZQ=")</f>
        <v>#VALUE!</v>
      </c>
      <c r="ET94" t="e">
        <f>AND(resultados!AA42,"AAAAAF5/9ZU=")</f>
        <v>#VALUE!</v>
      </c>
      <c r="EU94" t="e">
        <f>AND(resultados!AB42,"AAAAAF5/9ZY=")</f>
        <v>#VALUE!</v>
      </c>
      <c r="EV94" t="e">
        <f>AND(resultados!AC42,"AAAAAF5/9Zc=")</f>
        <v>#VALUE!</v>
      </c>
      <c r="EW94" t="e">
        <f>AND(resultados!AD42,"AAAAAF5/9Zg=")</f>
        <v>#VALUE!</v>
      </c>
      <c r="EX94" t="e">
        <f>AND(resultados!AE42,"AAAAAF5/9Zk=")</f>
        <v>#VALUE!</v>
      </c>
      <c r="EY94" t="e">
        <f>AND(resultados!AF42,"AAAAAF5/9Zo=")</f>
        <v>#VALUE!</v>
      </c>
      <c r="EZ94" t="e">
        <f>AND(resultados!AG42,"AAAAAF5/9Zs=")</f>
        <v>#VALUE!</v>
      </c>
      <c r="FA94" t="e">
        <f>AND(resultados!AH42,"AAAAAF5/9Zw=")</f>
        <v>#VALUE!</v>
      </c>
      <c r="FB94" t="e">
        <f>AND(resultados!AI42,"AAAAAF5/9Z0=")</f>
        <v>#VALUE!</v>
      </c>
      <c r="FC94">
        <f>IF(resultados!43:43,"AAAAAF5/9Z4=",0)</f>
        <v>0</v>
      </c>
      <c r="FD94" t="e">
        <f>AND(resultados!#REF!,"AAAAAF5/9Z8=")</f>
        <v>#REF!</v>
      </c>
      <c r="FE94" t="e">
        <f>AND(resultados!C43,"AAAAAF5/9aA=")</f>
        <v>#VALUE!</v>
      </c>
      <c r="FF94" t="e">
        <f>AND(resultados!D43,"AAAAAF5/9aE=")</f>
        <v>#VALUE!</v>
      </c>
      <c r="FG94" t="e">
        <f>AND(resultados!E43,"AAAAAF5/9aI=")</f>
        <v>#VALUE!</v>
      </c>
      <c r="FH94" t="e">
        <f>AND(resultados!#REF!,"AAAAAF5/9aM=")</f>
        <v>#REF!</v>
      </c>
      <c r="FI94" t="e">
        <f>AND(resultados!G43,"AAAAAF5/9aQ=")</f>
        <v>#VALUE!</v>
      </c>
      <c r="FJ94" t="e">
        <f>AND(resultados!H43,"AAAAAF5/9aU=")</f>
        <v>#VALUE!</v>
      </c>
      <c r="FK94" t="e">
        <f>AND(resultados!I43,"AAAAAF5/9aY=")</f>
        <v>#VALUE!</v>
      </c>
      <c r="FL94" t="e">
        <f>AND(resultados!J43,"AAAAAF5/9ac=")</f>
        <v>#VALUE!</v>
      </c>
      <c r="FM94" t="e">
        <f>AND(resultados!K43,"AAAAAF5/9ag=")</f>
        <v>#VALUE!</v>
      </c>
      <c r="FN94" t="e">
        <f>AND(resultados!L43,"AAAAAF5/9ak=")</f>
        <v>#VALUE!</v>
      </c>
      <c r="FO94" t="e">
        <f>AND(resultados!M43,"AAAAAF5/9ao=")</f>
        <v>#VALUE!</v>
      </c>
      <c r="FP94" t="e">
        <f>AND(resultados!N43,"AAAAAF5/9as=")</f>
        <v>#VALUE!</v>
      </c>
      <c r="FQ94" t="e">
        <f>AND(resultados!O43,"AAAAAF5/9aw=")</f>
        <v>#VALUE!</v>
      </c>
      <c r="FR94" t="e">
        <f>AND(resultados!P43,"AAAAAF5/9a0=")</f>
        <v>#VALUE!</v>
      </c>
      <c r="FS94" t="e">
        <f>AND(resultados!Q43,"AAAAAF5/9a4=")</f>
        <v>#VALUE!</v>
      </c>
      <c r="FT94" t="e">
        <f>AND(resultados!R43,"AAAAAF5/9a8=")</f>
        <v>#VALUE!</v>
      </c>
      <c r="FU94" t="e">
        <f>AND(resultados!S43,"AAAAAF5/9bA=")</f>
        <v>#VALUE!</v>
      </c>
      <c r="FV94" t="e">
        <f>AND(resultados!T43,"AAAAAF5/9bE=")</f>
        <v>#VALUE!</v>
      </c>
      <c r="FW94" t="e">
        <f>AND(resultados!U43,"AAAAAF5/9bI=")</f>
        <v>#VALUE!</v>
      </c>
      <c r="FX94" t="e">
        <f>AND(resultados!V43,"AAAAAF5/9bM=")</f>
        <v>#VALUE!</v>
      </c>
      <c r="FY94" t="e">
        <f>AND(resultados!W43,"AAAAAF5/9bQ=")</f>
        <v>#VALUE!</v>
      </c>
      <c r="FZ94" t="e">
        <f>AND(resultados!X43,"AAAAAF5/9bU=")</f>
        <v>#VALUE!</v>
      </c>
      <c r="GA94" t="e">
        <f>AND(resultados!Y43,"AAAAAF5/9bY=")</f>
        <v>#VALUE!</v>
      </c>
      <c r="GB94" t="e">
        <f>AND(resultados!Z43,"AAAAAF5/9bc=")</f>
        <v>#VALUE!</v>
      </c>
      <c r="GC94" t="e">
        <f>AND(resultados!AA43,"AAAAAF5/9bg=")</f>
        <v>#VALUE!</v>
      </c>
      <c r="GD94" t="e">
        <f>AND(resultados!AB43,"AAAAAF5/9bk=")</f>
        <v>#VALUE!</v>
      </c>
      <c r="GE94" t="e">
        <f>AND(resultados!AC43,"AAAAAF5/9bo=")</f>
        <v>#VALUE!</v>
      </c>
      <c r="GF94" t="e">
        <f>AND(resultados!AD43,"AAAAAF5/9bs=")</f>
        <v>#VALUE!</v>
      </c>
      <c r="GG94" t="e">
        <f>AND(resultados!AE43,"AAAAAF5/9bw=")</f>
        <v>#VALUE!</v>
      </c>
      <c r="GH94" t="e">
        <f>AND(resultados!AF43,"AAAAAF5/9b0=")</f>
        <v>#VALUE!</v>
      </c>
      <c r="GI94" t="e">
        <f>AND(resultados!AG43,"AAAAAF5/9b4=")</f>
        <v>#VALUE!</v>
      </c>
      <c r="GJ94" t="e">
        <f>AND(resultados!AH43,"AAAAAF5/9b8=")</f>
        <v>#VALUE!</v>
      </c>
      <c r="GK94" t="e">
        <f>AND(resultados!AI43,"AAAAAF5/9cA=")</f>
        <v>#VALUE!</v>
      </c>
      <c r="GL94">
        <f>IF(resultados!44:44,"AAAAAF5/9cE=",0)</f>
        <v>0</v>
      </c>
      <c r="GM94" t="e">
        <f>AND(resultados!#REF!,"AAAAAF5/9cI=")</f>
        <v>#REF!</v>
      </c>
      <c r="GN94" t="e">
        <f>AND(resultados!C44,"AAAAAF5/9cM=")</f>
        <v>#VALUE!</v>
      </c>
      <c r="GO94" t="e">
        <f>AND(resultados!D44,"AAAAAF5/9cQ=")</f>
        <v>#VALUE!</v>
      </c>
      <c r="GP94" t="e">
        <f>AND(resultados!E44,"AAAAAF5/9cU=")</f>
        <v>#VALUE!</v>
      </c>
      <c r="GQ94" t="e">
        <f>AND(resultados!#REF!,"AAAAAF5/9cY=")</f>
        <v>#REF!</v>
      </c>
      <c r="GR94" t="e">
        <f>AND(resultados!G44,"AAAAAF5/9cc=")</f>
        <v>#VALUE!</v>
      </c>
      <c r="GS94" t="e">
        <f>AND(resultados!H44,"AAAAAF5/9cg=")</f>
        <v>#VALUE!</v>
      </c>
      <c r="GT94" t="e">
        <f>AND(resultados!I44,"AAAAAF5/9ck=")</f>
        <v>#VALUE!</v>
      </c>
      <c r="GU94" t="e">
        <f>AND(resultados!J44,"AAAAAF5/9co=")</f>
        <v>#VALUE!</v>
      </c>
      <c r="GV94" t="e">
        <f>AND(resultados!K44,"AAAAAF5/9cs=")</f>
        <v>#VALUE!</v>
      </c>
      <c r="GW94" t="e">
        <f>AND(resultados!L44,"AAAAAF5/9cw=")</f>
        <v>#VALUE!</v>
      </c>
      <c r="GX94" t="e">
        <f>AND(resultados!M44,"AAAAAF5/9c0=")</f>
        <v>#VALUE!</v>
      </c>
      <c r="GY94" t="e">
        <f>AND(resultados!N44,"AAAAAF5/9c4=")</f>
        <v>#VALUE!</v>
      </c>
      <c r="GZ94" t="e">
        <f>AND(resultados!O44,"AAAAAF5/9c8=")</f>
        <v>#VALUE!</v>
      </c>
      <c r="HA94" t="e">
        <f>AND(resultados!P44,"AAAAAF5/9dA=")</f>
        <v>#VALUE!</v>
      </c>
      <c r="HB94" t="e">
        <f>AND(resultados!Q44,"AAAAAF5/9dE=")</f>
        <v>#VALUE!</v>
      </c>
      <c r="HC94" t="e">
        <f>AND(resultados!R44,"AAAAAF5/9dI=")</f>
        <v>#VALUE!</v>
      </c>
      <c r="HD94" t="e">
        <f>AND(resultados!S44,"AAAAAF5/9dM=")</f>
        <v>#VALUE!</v>
      </c>
      <c r="HE94" t="e">
        <f>AND(resultados!T44,"AAAAAF5/9dQ=")</f>
        <v>#VALUE!</v>
      </c>
      <c r="HF94" t="e">
        <f>AND(resultados!U44,"AAAAAF5/9dU=")</f>
        <v>#VALUE!</v>
      </c>
      <c r="HG94" t="e">
        <f>AND(resultados!V44,"AAAAAF5/9dY=")</f>
        <v>#VALUE!</v>
      </c>
      <c r="HH94" t="e">
        <f>AND(resultados!W44,"AAAAAF5/9dc=")</f>
        <v>#VALUE!</v>
      </c>
      <c r="HI94" t="e">
        <f>AND(resultados!X44,"AAAAAF5/9dg=")</f>
        <v>#VALUE!</v>
      </c>
      <c r="HJ94" t="e">
        <f>AND(resultados!Y44,"AAAAAF5/9dk=")</f>
        <v>#VALUE!</v>
      </c>
      <c r="HK94" t="e">
        <f>AND(resultados!Z44,"AAAAAF5/9do=")</f>
        <v>#VALUE!</v>
      </c>
      <c r="HL94" t="e">
        <f>AND(resultados!AA44,"AAAAAF5/9ds=")</f>
        <v>#VALUE!</v>
      </c>
      <c r="HM94" t="e">
        <f>AND(resultados!AB44,"AAAAAF5/9dw=")</f>
        <v>#VALUE!</v>
      </c>
      <c r="HN94" t="e">
        <f>AND(resultados!AC44,"AAAAAF5/9d0=")</f>
        <v>#VALUE!</v>
      </c>
      <c r="HO94" t="e">
        <f>AND(resultados!AD44,"AAAAAF5/9d4=")</f>
        <v>#VALUE!</v>
      </c>
      <c r="HP94" t="e">
        <f>AND(resultados!AE44,"AAAAAF5/9d8=")</f>
        <v>#VALUE!</v>
      </c>
      <c r="HQ94" t="e">
        <f>AND(resultados!AF44,"AAAAAF5/9eA=")</f>
        <v>#VALUE!</v>
      </c>
      <c r="HR94" t="e">
        <f>AND(resultados!AG44,"AAAAAF5/9eE=")</f>
        <v>#VALUE!</v>
      </c>
      <c r="HS94" t="e">
        <f>AND(resultados!AH44,"AAAAAF5/9eI=")</f>
        <v>#VALUE!</v>
      </c>
      <c r="HT94" t="e">
        <f>AND(resultados!AI44,"AAAAAF5/9eM=")</f>
        <v>#VALUE!</v>
      </c>
      <c r="HU94">
        <f>IF(resultados!45:45,"AAAAAF5/9eQ=",0)</f>
        <v>0</v>
      </c>
      <c r="HV94" t="e">
        <f>AND(resultados!#REF!,"AAAAAF5/9eU=")</f>
        <v>#REF!</v>
      </c>
      <c r="HW94" t="e">
        <f>AND(resultados!C45,"AAAAAF5/9eY=")</f>
        <v>#VALUE!</v>
      </c>
      <c r="HX94" t="e">
        <f>AND(resultados!D45,"AAAAAF5/9ec=")</f>
        <v>#VALUE!</v>
      </c>
      <c r="HY94" t="e">
        <f>AND(resultados!E45,"AAAAAF5/9eg=")</f>
        <v>#VALUE!</v>
      </c>
      <c r="HZ94" t="e">
        <f>AND(resultados!#REF!,"AAAAAF5/9ek=")</f>
        <v>#REF!</v>
      </c>
      <c r="IA94" t="e">
        <f>AND(resultados!G45,"AAAAAF5/9eo=")</f>
        <v>#VALUE!</v>
      </c>
      <c r="IB94" t="e">
        <f>AND(resultados!H45,"AAAAAF5/9es=")</f>
        <v>#VALUE!</v>
      </c>
      <c r="IC94" t="e">
        <f>AND(resultados!I45,"AAAAAF5/9ew=")</f>
        <v>#VALUE!</v>
      </c>
      <c r="ID94" t="e">
        <f>AND(resultados!J45,"AAAAAF5/9e0=")</f>
        <v>#VALUE!</v>
      </c>
      <c r="IE94" t="e">
        <f>AND(resultados!K45,"AAAAAF5/9e4=")</f>
        <v>#VALUE!</v>
      </c>
      <c r="IF94" t="e">
        <f>AND(resultados!L45,"AAAAAF5/9e8=")</f>
        <v>#VALUE!</v>
      </c>
      <c r="IG94" t="e">
        <f>AND(resultados!M45,"AAAAAF5/9fA=")</f>
        <v>#VALUE!</v>
      </c>
      <c r="IH94" t="e">
        <f>AND(resultados!N45,"AAAAAF5/9fE=")</f>
        <v>#VALUE!</v>
      </c>
      <c r="II94" t="e">
        <f>AND(resultados!O45,"AAAAAF5/9fI=")</f>
        <v>#VALUE!</v>
      </c>
      <c r="IJ94" t="e">
        <f>AND(resultados!P45,"AAAAAF5/9fM=")</f>
        <v>#VALUE!</v>
      </c>
      <c r="IK94" t="e">
        <f>AND(resultados!Q45,"AAAAAF5/9fQ=")</f>
        <v>#VALUE!</v>
      </c>
      <c r="IL94" t="e">
        <f>AND(resultados!R45,"AAAAAF5/9fU=")</f>
        <v>#VALUE!</v>
      </c>
      <c r="IM94" t="e">
        <f>AND(resultados!S45,"AAAAAF5/9fY=")</f>
        <v>#VALUE!</v>
      </c>
      <c r="IN94" t="e">
        <f>AND(resultados!T45,"AAAAAF5/9fc=")</f>
        <v>#VALUE!</v>
      </c>
      <c r="IO94" t="e">
        <f>AND(resultados!U45,"AAAAAF5/9fg=")</f>
        <v>#VALUE!</v>
      </c>
      <c r="IP94" t="e">
        <f>AND(resultados!V45,"AAAAAF5/9fk=")</f>
        <v>#VALUE!</v>
      </c>
      <c r="IQ94" t="e">
        <f>AND(resultados!W45,"AAAAAF5/9fo=")</f>
        <v>#VALUE!</v>
      </c>
      <c r="IR94" t="e">
        <f>AND(resultados!X45,"AAAAAF5/9fs=")</f>
        <v>#VALUE!</v>
      </c>
      <c r="IS94" t="e">
        <f>AND(resultados!Y45,"AAAAAF5/9fw=")</f>
        <v>#VALUE!</v>
      </c>
      <c r="IT94" t="e">
        <f>AND(resultados!Z45,"AAAAAF5/9f0=")</f>
        <v>#VALUE!</v>
      </c>
      <c r="IU94" t="e">
        <f>AND(resultados!AA45,"AAAAAF5/9f4=")</f>
        <v>#VALUE!</v>
      </c>
      <c r="IV94" t="e">
        <f>AND(resultados!AB45,"AAAAAF5/9f8=")</f>
        <v>#VALUE!</v>
      </c>
    </row>
    <row r="95" spans="1:256" x14ac:dyDescent="0.2">
      <c r="A95" t="e">
        <f>AND(resultados!AC45,"AAAAAGa/WwA=")</f>
        <v>#VALUE!</v>
      </c>
      <c r="B95" t="e">
        <f>AND(resultados!AD45,"AAAAAGa/WwE=")</f>
        <v>#VALUE!</v>
      </c>
      <c r="C95" t="e">
        <f>AND(resultados!AE45,"AAAAAGa/WwI=")</f>
        <v>#VALUE!</v>
      </c>
      <c r="D95" t="e">
        <f>AND(resultados!AF45,"AAAAAGa/WwM=")</f>
        <v>#VALUE!</v>
      </c>
      <c r="E95" t="e">
        <f>AND(resultados!AG45,"AAAAAGa/WwQ=")</f>
        <v>#VALUE!</v>
      </c>
      <c r="F95" t="e">
        <f>AND(resultados!AH45,"AAAAAGa/WwU=")</f>
        <v>#VALUE!</v>
      </c>
      <c r="G95" t="e">
        <f>AND(resultados!AI45,"AAAAAGa/WwY=")</f>
        <v>#VALUE!</v>
      </c>
      <c r="H95" t="e">
        <f>IF(resultados!46:46,"AAAAAGa/Wwc=",0)</f>
        <v>#VALUE!</v>
      </c>
      <c r="I95" t="e">
        <f>AND(resultados!#REF!,"AAAAAGa/Wwg=")</f>
        <v>#REF!</v>
      </c>
      <c r="J95" t="e">
        <f>AND(resultados!C46,"AAAAAGa/Wwk=")</f>
        <v>#VALUE!</v>
      </c>
      <c r="K95" t="e">
        <f>AND(resultados!D46,"AAAAAGa/Wwo=")</f>
        <v>#VALUE!</v>
      </c>
      <c r="L95" t="e">
        <f>AND(resultados!E46,"AAAAAGa/Wws=")</f>
        <v>#VALUE!</v>
      </c>
      <c r="M95" t="e">
        <f>AND(resultados!#REF!,"AAAAAGa/Www=")</f>
        <v>#REF!</v>
      </c>
      <c r="N95" t="e">
        <f>AND(resultados!G46,"AAAAAGa/Ww0=")</f>
        <v>#VALUE!</v>
      </c>
      <c r="O95" t="e">
        <f>AND(resultados!H46,"AAAAAGa/Ww4=")</f>
        <v>#VALUE!</v>
      </c>
      <c r="P95" t="e">
        <f>AND(resultados!I46,"AAAAAGa/Ww8=")</f>
        <v>#VALUE!</v>
      </c>
      <c r="Q95" t="e">
        <f>AND(resultados!J46,"AAAAAGa/WxA=")</f>
        <v>#VALUE!</v>
      </c>
      <c r="R95" t="e">
        <f>AND(resultados!K46,"AAAAAGa/WxE=")</f>
        <v>#VALUE!</v>
      </c>
      <c r="S95" t="e">
        <f>AND(resultados!L46,"AAAAAGa/WxI=")</f>
        <v>#VALUE!</v>
      </c>
      <c r="T95" t="e">
        <f>AND(resultados!M46,"AAAAAGa/WxM=")</f>
        <v>#VALUE!</v>
      </c>
      <c r="U95" t="e">
        <f>AND(resultados!N46,"AAAAAGa/WxQ=")</f>
        <v>#VALUE!</v>
      </c>
      <c r="V95" t="e">
        <f>AND(resultados!O46,"AAAAAGa/WxU=")</f>
        <v>#VALUE!</v>
      </c>
      <c r="W95" t="e">
        <f>AND(resultados!P46,"AAAAAGa/WxY=")</f>
        <v>#VALUE!</v>
      </c>
      <c r="X95" t="e">
        <f>AND(resultados!Q46,"AAAAAGa/Wxc=")</f>
        <v>#VALUE!</v>
      </c>
      <c r="Y95" t="e">
        <f>AND(resultados!R46,"AAAAAGa/Wxg=")</f>
        <v>#VALUE!</v>
      </c>
      <c r="Z95" t="e">
        <f>AND(resultados!S46,"AAAAAGa/Wxk=")</f>
        <v>#VALUE!</v>
      </c>
      <c r="AA95" t="e">
        <f>AND(resultados!T46,"AAAAAGa/Wxo=")</f>
        <v>#VALUE!</v>
      </c>
      <c r="AB95" t="e">
        <f>AND(resultados!U46,"AAAAAGa/Wxs=")</f>
        <v>#VALUE!</v>
      </c>
      <c r="AC95" t="e">
        <f>AND(resultados!V46,"AAAAAGa/Wxw=")</f>
        <v>#VALUE!</v>
      </c>
      <c r="AD95" t="e">
        <f>AND(resultados!W46,"AAAAAGa/Wx0=")</f>
        <v>#VALUE!</v>
      </c>
      <c r="AE95" t="e">
        <f>AND(resultados!X46,"AAAAAGa/Wx4=")</f>
        <v>#VALUE!</v>
      </c>
      <c r="AF95" t="e">
        <f>AND(resultados!Y46,"AAAAAGa/Wx8=")</f>
        <v>#VALUE!</v>
      </c>
      <c r="AG95" t="e">
        <f>AND(resultados!Z46,"AAAAAGa/WyA=")</f>
        <v>#VALUE!</v>
      </c>
      <c r="AH95" t="e">
        <f>AND(resultados!AA46,"AAAAAGa/WyE=")</f>
        <v>#VALUE!</v>
      </c>
      <c r="AI95" t="e">
        <f>AND(resultados!AB46,"AAAAAGa/WyI=")</f>
        <v>#VALUE!</v>
      </c>
      <c r="AJ95" t="e">
        <f>AND(resultados!AC46,"AAAAAGa/WyM=")</f>
        <v>#VALUE!</v>
      </c>
      <c r="AK95" t="e">
        <f>AND(resultados!AD46,"AAAAAGa/WyQ=")</f>
        <v>#VALUE!</v>
      </c>
      <c r="AL95" t="e">
        <f>AND(resultados!AE46,"AAAAAGa/WyU=")</f>
        <v>#VALUE!</v>
      </c>
      <c r="AM95" t="e">
        <f>AND(resultados!AF46,"AAAAAGa/WyY=")</f>
        <v>#VALUE!</v>
      </c>
      <c r="AN95" t="e">
        <f>AND(resultados!AG46,"AAAAAGa/Wyc=")</f>
        <v>#VALUE!</v>
      </c>
      <c r="AO95" t="e">
        <f>AND(resultados!AH46,"AAAAAGa/Wyg=")</f>
        <v>#VALUE!</v>
      </c>
      <c r="AP95" t="e">
        <f>AND(resultados!AI46,"AAAAAGa/Wyk=")</f>
        <v>#VALUE!</v>
      </c>
      <c r="AQ95">
        <f>IF(resultados!47:47,"AAAAAGa/Wyo=",0)</f>
        <v>0</v>
      </c>
      <c r="AR95" t="e">
        <f>AND(resultados!#REF!,"AAAAAGa/Wys=")</f>
        <v>#REF!</v>
      </c>
      <c r="AS95" t="e">
        <f>AND(resultados!C47,"AAAAAGa/Wyw=")</f>
        <v>#VALUE!</v>
      </c>
      <c r="AT95" t="e">
        <f>AND(resultados!D47,"AAAAAGa/Wy0=")</f>
        <v>#VALUE!</v>
      </c>
      <c r="AU95" t="e">
        <f>AND(resultados!E47,"AAAAAGa/Wy4=")</f>
        <v>#VALUE!</v>
      </c>
      <c r="AV95" t="e">
        <f>AND(resultados!#REF!,"AAAAAGa/Wy8=")</f>
        <v>#REF!</v>
      </c>
      <c r="AW95" t="e">
        <f>AND(resultados!G47,"AAAAAGa/WzA=")</f>
        <v>#VALUE!</v>
      </c>
      <c r="AX95" t="e">
        <f>AND(resultados!H47,"AAAAAGa/WzE=")</f>
        <v>#VALUE!</v>
      </c>
      <c r="AY95" t="e">
        <f>AND(resultados!I47,"AAAAAGa/WzI=")</f>
        <v>#VALUE!</v>
      </c>
      <c r="AZ95" t="e">
        <f>AND(resultados!J47,"AAAAAGa/WzM=")</f>
        <v>#VALUE!</v>
      </c>
      <c r="BA95" t="e">
        <f>AND(resultados!K47,"AAAAAGa/WzQ=")</f>
        <v>#VALUE!</v>
      </c>
      <c r="BB95" t="e">
        <f>AND(resultados!L47,"AAAAAGa/WzU=")</f>
        <v>#VALUE!</v>
      </c>
      <c r="BC95" t="e">
        <f>AND(resultados!M47,"AAAAAGa/WzY=")</f>
        <v>#VALUE!</v>
      </c>
      <c r="BD95" t="e">
        <f>AND(resultados!N47,"AAAAAGa/Wzc=")</f>
        <v>#VALUE!</v>
      </c>
      <c r="BE95" t="e">
        <f>AND(resultados!O47,"AAAAAGa/Wzg=")</f>
        <v>#VALUE!</v>
      </c>
      <c r="BF95" t="e">
        <f>AND(resultados!P47,"AAAAAGa/Wzk=")</f>
        <v>#VALUE!</v>
      </c>
      <c r="BG95" t="e">
        <f>AND(resultados!Q47,"AAAAAGa/Wzo=")</f>
        <v>#VALUE!</v>
      </c>
      <c r="BH95" t="e">
        <f>AND(resultados!R47,"AAAAAGa/Wzs=")</f>
        <v>#VALUE!</v>
      </c>
      <c r="BI95" t="e">
        <f>AND(resultados!S47,"AAAAAGa/Wzw=")</f>
        <v>#VALUE!</v>
      </c>
      <c r="BJ95" t="e">
        <f>AND(resultados!T47,"AAAAAGa/Wz0=")</f>
        <v>#VALUE!</v>
      </c>
      <c r="BK95" t="e">
        <f>AND(resultados!U47,"AAAAAGa/Wz4=")</f>
        <v>#VALUE!</v>
      </c>
      <c r="BL95" t="e">
        <f>AND(resultados!V47,"AAAAAGa/Wz8=")</f>
        <v>#VALUE!</v>
      </c>
      <c r="BM95" t="e">
        <f>AND(resultados!W47,"AAAAAGa/W0A=")</f>
        <v>#VALUE!</v>
      </c>
      <c r="BN95" t="e">
        <f>AND(resultados!X47,"AAAAAGa/W0E=")</f>
        <v>#VALUE!</v>
      </c>
      <c r="BO95" t="e">
        <f>AND(resultados!Y47,"AAAAAGa/W0I=")</f>
        <v>#VALUE!</v>
      </c>
      <c r="BP95" t="e">
        <f>AND(resultados!Z47,"AAAAAGa/W0M=")</f>
        <v>#VALUE!</v>
      </c>
      <c r="BQ95" t="e">
        <f>AND(resultados!AA47,"AAAAAGa/W0Q=")</f>
        <v>#VALUE!</v>
      </c>
      <c r="BR95" t="e">
        <f>AND(resultados!AB47,"AAAAAGa/W0U=")</f>
        <v>#VALUE!</v>
      </c>
      <c r="BS95" t="e">
        <f>AND(resultados!AC47,"AAAAAGa/W0Y=")</f>
        <v>#VALUE!</v>
      </c>
      <c r="BT95" t="e">
        <f>AND(resultados!AD47,"AAAAAGa/W0c=")</f>
        <v>#VALUE!</v>
      </c>
      <c r="BU95" t="e">
        <f>AND(resultados!AE47,"AAAAAGa/W0g=")</f>
        <v>#VALUE!</v>
      </c>
      <c r="BV95" t="e">
        <f>AND(resultados!AF47,"AAAAAGa/W0k=")</f>
        <v>#VALUE!</v>
      </c>
      <c r="BW95" t="e">
        <f>AND(resultados!AG47,"AAAAAGa/W0o=")</f>
        <v>#VALUE!</v>
      </c>
      <c r="BX95" t="e">
        <f>AND(resultados!AH47,"AAAAAGa/W0s=")</f>
        <v>#VALUE!</v>
      </c>
      <c r="BY95" t="e">
        <f>AND(resultados!AI47,"AAAAAGa/W0w=")</f>
        <v>#VALUE!</v>
      </c>
      <c r="BZ95">
        <f>IF(resultados!48:48,"AAAAAGa/W00=",0)</f>
        <v>0</v>
      </c>
      <c r="CA95" t="e">
        <f>AND(resultados!#REF!,"AAAAAGa/W04=")</f>
        <v>#REF!</v>
      </c>
      <c r="CB95" t="e">
        <f>AND(resultados!C48,"AAAAAGa/W08=")</f>
        <v>#VALUE!</v>
      </c>
      <c r="CC95" t="e">
        <f>AND(resultados!D48,"AAAAAGa/W1A=")</f>
        <v>#VALUE!</v>
      </c>
      <c r="CD95" t="e">
        <f>AND(resultados!E48,"AAAAAGa/W1E=")</f>
        <v>#VALUE!</v>
      </c>
      <c r="CE95" t="e">
        <f>AND(resultados!#REF!,"AAAAAGa/W1I=")</f>
        <v>#REF!</v>
      </c>
      <c r="CF95" t="e">
        <f>AND(resultados!G48,"AAAAAGa/W1M=")</f>
        <v>#VALUE!</v>
      </c>
      <c r="CG95" t="e">
        <f>AND(resultados!H48,"AAAAAGa/W1Q=")</f>
        <v>#VALUE!</v>
      </c>
      <c r="CH95" t="e">
        <f>AND(resultados!I48,"AAAAAGa/W1U=")</f>
        <v>#VALUE!</v>
      </c>
      <c r="CI95" t="e">
        <f>AND(resultados!J48,"AAAAAGa/W1Y=")</f>
        <v>#VALUE!</v>
      </c>
      <c r="CJ95" t="e">
        <f>AND(resultados!K48,"AAAAAGa/W1c=")</f>
        <v>#VALUE!</v>
      </c>
      <c r="CK95" t="e">
        <f>AND(resultados!L48,"AAAAAGa/W1g=")</f>
        <v>#VALUE!</v>
      </c>
      <c r="CL95" t="e">
        <f>AND(resultados!M48,"AAAAAGa/W1k=")</f>
        <v>#VALUE!</v>
      </c>
      <c r="CM95" t="e">
        <f>AND(resultados!N48,"AAAAAGa/W1o=")</f>
        <v>#VALUE!</v>
      </c>
      <c r="CN95" t="e">
        <f>AND(resultados!O48,"AAAAAGa/W1s=")</f>
        <v>#VALUE!</v>
      </c>
      <c r="CO95" t="e">
        <f>AND(resultados!P48,"AAAAAGa/W1w=")</f>
        <v>#VALUE!</v>
      </c>
      <c r="CP95" t="e">
        <f>AND(resultados!Q48,"AAAAAGa/W10=")</f>
        <v>#VALUE!</v>
      </c>
      <c r="CQ95" t="e">
        <f>AND(resultados!R48,"AAAAAGa/W14=")</f>
        <v>#VALUE!</v>
      </c>
      <c r="CR95" t="e">
        <f>AND(resultados!S48,"AAAAAGa/W18=")</f>
        <v>#VALUE!</v>
      </c>
      <c r="CS95" t="e">
        <f>AND(resultados!T48,"AAAAAGa/W2A=")</f>
        <v>#VALUE!</v>
      </c>
      <c r="CT95" t="e">
        <f>AND(resultados!U48,"AAAAAGa/W2E=")</f>
        <v>#VALUE!</v>
      </c>
      <c r="CU95" t="e">
        <f>AND(resultados!V48,"AAAAAGa/W2I=")</f>
        <v>#VALUE!</v>
      </c>
      <c r="CV95" t="e">
        <f>AND(resultados!W48,"AAAAAGa/W2M=")</f>
        <v>#VALUE!</v>
      </c>
      <c r="CW95" t="e">
        <f>AND(resultados!X48,"AAAAAGa/W2Q=")</f>
        <v>#VALUE!</v>
      </c>
      <c r="CX95" t="e">
        <f>AND(resultados!Y48,"AAAAAGa/W2U=")</f>
        <v>#VALUE!</v>
      </c>
      <c r="CY95" t="e">
        <f>AND(resultados!Z48,"AAAAAGa/W2Y=")</f>
        <v>#VALUE!</v>
      </c>
      <c r="CZ95" t="e">
        <f>AND(resultados!AA48,"AAAAAGa/W2c=")</f>
        <v>#VALUE!</v>
      </c>
      <c r="DA95" t="e">
        <f>AND(resultados!AB48,"AAAAAGa/W2g=")</f>
        <v>#VALUE!</v>
      </c>
      <c r="DB95" t="e">
        <f>AND(resultados!AC48,"AAAAAGa/W2k=")</f>
        <v>#VALUE!</v>
      </c>
      <c r="DC95" t="e">
        <f>AND(resultados!AD48,"AAAAAGa/W2o=")</f>
        <v>#VALUE!</v>
      </c>
      <c r="DD95" t="e">
        <f>AND(resultados!AE48,"AAAAAGa/W2s=")</f>
        <v>#VALUE!</v>
      </c>
      <c r="DE95" t="e">
        <f>AND(resultados!AF48,"AAAAAGa/W2w=")</f>
        <v>#VALUE!</v>
      </c>
      <c r="DF95" t="e">
        <f>AND(resultados!AG48,"AAAAAGa/W20=")</f>
        <v>#VALUE!</v>
      </c>
      <c r="DG95" t="e">
        <f>AND(resultados!AH48,"AAAAAGa/W24=")</f>
        <v>#VALUE!</v>
      </c>
      <c r="DH95" t="e">
        <f>AND(resultados!AI48,"AAAAAGa/W28=")</f>
        <v>#VALUE!</v>
      </c>
      <c r="DI95">
        <f>IF(resultados!49:49,"AAAAAGa/W3A=",0)</f>
        <v>0</v>
      </c>
      <c r="DJ95" t="e">
        <f>AND(resultados!#REF!,"AAAAAGa/W3E=")</f>
        <v>#REF!</v>
      </c>
      <c r="DK95" t="e">
        <f>AND(resultados!C49,"AAAAAGa/W3I=")</f>
        <v>#VALUE!</v>
      </c>
      <c r="DL95" t="e">
        <f>AND(resultados!D49,"AAAAAGa/W3M=")</f>
        <v>#VALUE!</v>
      </c>
      <c r="DM95" t="e">
        <f>AND(resultados!E49,"AAAAAGa/W3Q=")</f>
        <v>#VALUE!</v>
      </c>
      <c r="DN95" t="e">
        <f>AND(resultados!#REF!,"AAAAAGa/W3U=")</f>
        <v>#REF!</v>
      </c>
      <c r="DO95" t="e">
        <f>AND(resultados!G49,"AAAAAGa/W3Y=")</f>
        <v>#VALUE!</v>
      </c>
      <c r="DP95" t="e">
        <f>AND(resultados!H49,"AAAAAGa/W3c=")</f>
        <v>#VALUE!</v>
      </c>
      <c r="DQ95" t="e">
        <f>AND(resultados!I49,"AAAAAGa/W3g=")</f>
        <v>#VALUE!</v>
      </c>
      <c r="DR95" t="e">
        <f>AND(resultados!J49,"AAAAAGa/W3k=")</f>
        <v>#VALUE!</v>
      </c>
      <c r="DS95" t="e">
        <f>AND(resultados!K49,"AAAAAGa/W3o=")</f>
        <v>#VALUE!</v>
      </c>
      <c r="DT95" t="e">
        <f>AND(resultados!L49,"AAAAAGa/W3s=")</f>
        <v>#VALUE!</v>
      </c>
      <c r="DU95" t="e">
        <f>AND(resultados!M49,"AAAAAGa/W3w=")</f>
        <v>#VALUE!</v>
      </c>
      <c r="DV95" t="e">
        <f>AND(resultados!N49,"AAAAAGa/W30=")</f>
        <v>#VALUE!</v>
      </c>
      <c r="DW95" t="e">
        <f>AND(resultados!O49,"AAAAAGa/W34=")</f>
        <v>#VALUE!</v>
      </c>
      <c r="DX95" t="e">
        <f>AND(resultados!P49,"AAAAAGa/W38=")</f>
        <v>#VALUE!</v>
      </c>
      <c r="DY95" t="e">
        <f>AND(resultados!Q49,"AAAAAGa/W4A=")</f>
        <v>#VALUE!</v>
      </c>
      <c r="DZ95" t="e">
        <f>AND(resultados!R49,"AAAAAGa/W4E=")</f>
        <v>#VALUE!</v>
      </c>
      <c r="EA95" t="e">
        <f>AND(resultados!S49,"AAAAAGa/W4I=")</f>
        <v>#VALUE!</v>
      </c>
      <c r="EB95" t="e">
        <f>AND(resultados!T49,"AAAAAGa/W4M=")</f>
        <v>#VALUE!</v>
      </c>
      <c r="EC95" t="e">
        <f>AND(resultados!U49,"AAAAAGa/W4Q=")</f>
        <v>#VALUE!</v>
      </c>
      <c r="ED95" t="e">
        <f>AND(resultados!V49,"AAAAAGa/W4U=")</f>
        <v>#VALUE!</v>
      </c>
      <c r="EE95" t="e">
        <f>AND(resultados!W49,"AAAAAGa/W4Y=")</f>
        <v>#VALUE!</v>
      </c>
      <c r="EF95" t="e">
        <f>AND(resultados!X49,"AAAAAGa/W4c=")</f>
        <v>#VALUE!</v>
      </c>
      <c r="EG95" t="e">
        <f>AND(resultados!Y49,"AAAAAGa/W4g=")</f>
        <v>#VALUE!</v>
      </c>
      <c r="EH95" t="e">
        <f>AND(resultados!Z49,"AAAAAGa/W4k=")</f>
        <v>#VALUE!</v>
      </c>
      <c r="EI95" t="e">
        <f>AND(resultados!AA49,"AAAAAGa/W4o=")</f>
        <v>#VALUE!</v>
      </c>
      <c r="EJ95" t="e">
        <f>AND(resultados!AB49,"AAAAAGa/W4s=")</f>
        <v>#VALUE!</v>
      </c>
      <c r="EK95" t="e">
        <f>AND(resultados!AC49,"AAAAAGa/W4w=")</f>
        <v>#VALUE!</v>
      </c>
      <c r="EL95" t="e">
        <f>AND(resultados!AD49,"AAAAAGa/W40=")</f>
        <v>#VALUE!</v>
      </c>
      <c r="EM95" t="e">
        <f>AND(resultados!AE49,"AAAAAGa/W44=")</f>
        <v>#VALUE!</v>
      </c>
      <c r="EN95" t="e">
        <f>AND(resultados!AF49,"AAAAAGa/W48=")</f>
        <v>#VALUE!</v>
      </c>
      <c r="EO95" t="e">
        <f>AND(resultados!AG49,"AAAAAGa/W5A=")</f>
        <v>#VALUE!</v>
      </c>
      <c r="EP95" t="e">
        <f>AND(resultados!AH49,"AAAAAGa/W5E=")</f>
        <v>#VALUE!</v>
      </c>
      <c r="EQ95" t="e">
        <f>AND(resultados!AI49,"AAAAAGa/W5I=")</f>
        <v>#VALUE!</v>
      </c>
      <c r="ER95">
        <f>IF(resultados!50:50,"AAAAAGa/W5M=",0)</f>
        <v>0</v>
      </c>
      <c r="ES95" t="e">
        <f>AND(resultados!#REF!,"AAAAAGa/W5Q=")</f>
        <v>#REF!</v>
      </c>
      <c r="ET95" t="e">
        <f>AND(resultados!C50,"AAAAAGa/W5U=")</f>
        <v>#VALUE!</v>
      </c>
      <c r="EU95" t="e">
        <f>AND(resultados!D50,"AAAAAGa/W5Y=")</f>
        <v>#VALUE!</v>
      </c>
      <c r="EV95" t="e">
        <f>AND(resultados!E50,"AAAAAGa/W5c=")</f>
        <v>#VALUE!</v>
      </c>
      <c r="EW95" t="e">
        <f>AND(resultados!#REF!,"AAAAAGa/W5g=")</f>
        <v>#REF!</v>
      </c>
      <c r="EX95" t="e">
        <f>AND(resultados!G50,"AAAAAGa/W5k=")</f>
        <v>#VALUE!</v>
      </c>
      <c r="EY95" t="e">
        <f>AND(resultados!H50,"AAAAAGa/W5o=")</f>
        <v>#VALUE!</v>
      </c>
      <c r="EZ95" t="e">
        <f>AND(resultados!I50,"AAAAAGa/W5s=")</f>
        <v>#VALUE!</v>
      </c>
      <c r="FA95" t="e">
        <f>AND(resultados!J50,"AAAAAGa/W5w=")</f>
        <v>#VALUE!</v>
      </c>
      <c r="FB95" t="e">
        <f>AND(resultados!K50,"AAAAAGa/W50=")</f>
        <v>#VALUE!</v>
      </c>
      <c r="FC95" t="e">
        <f>AND(resultados!L50,"AAAAAGa/W54=")</f>
        <v>#VALUE!</v>
      </c>
      <c r="FD95" t="e">
        <f>AND(resultados!M50,"AAAAAGa/W58=")</f>
        <v>#VALUE!</v>
      </c>
      <c r="FE95" t="e">
        <f>AND(resultados!N50,"AAAAAGa/W6A=")</f>
        <v>#VALUE!</v>
      </c>
      <c r="FF95" t="e">
        <f>AND(resultados!O50,"AAAAAGa/W6E=")</f>
        <v>#VALUE!</v>
      </c>
      <c r="FG95" t="e">
        <f>AND(resultados!P50,"AAAAAGa/W6I=")</f>
        <v>#VALUE!</v>
      </c>
      <c r="FH95" t="e">
        <f>AND(resultados!Q50,"AAAAAGa/W6M=")</f>
        <v>#VALUE!</v>
      </c>
      <c r="FI95" t="e">
        <f>AND(resultados!R50,"AAAAAGa/W6Q=")</f>
        <v>#VALUE!</v>
      </c>
      <c r="FJ95" t="e">
        <f>AND(resultados!S50,"AAAAAGa/W6U=")</f>
        <v>#VALUE!</v>
      </c>
      <c r="FK95" t="e">
        <f>AND(resultados!T50,"AAAAAGa/W6Y=")</f>
        <v>#VALUE!</v>
      </c>
      <c r="FL95" t="e">
        <f>AND(resultados!U50,"AAAAAGa/W6c=")</f>
        <v>#VALUE!</v>
      </c>
      <c r="FM95" t="e">
        <f>AND(resultados!V50,"AAAAAGa/W6g=")</f>
        <v>#VALUE!</v>
      </c>
      <c r="FN95" t="e">
        <f>AND(resultados!W50,"AAAAAGa/W6k=")</f>
        <v>#VALUE!</v>
      </c>
      <c r="FO95" t="e">
        <f>AND(resultados!X50,"AAAAAGa/W6o=")</f>
        <v>#VALUE!</v>
      </c>
      <c r="FP95" t="e">
        <f>AND(resultados!Y50,"AAAAAGa/W6s=")</f>
        <v>#VALUE!</v>
      </c>
      <c r="FQ95" t="e">
        <f>AND(resultados!Z50,"AAAAAGa/W6w=")</f>
        <v>#VALUE!</v>
      </c>
      <c r="FR95" t="e">
        <f>AND(resultados!AA50,"AAAAAGa/W60=")</f>
        <v>#VALUE!</v>
      </c>
      <c r="FS95" t="e">
        <f>AND(resultados!AB50,"AAAAAGa/W64=")</f>
        <v>#VALUE!</v>
      </c>
      <c r="FT95" t="e">
        <f>AND(resultados!AC50,"AAAAAGa/W68=")</f>
        <v>#VALUE!</v>
      </c>
      <c r="FU95" t="e">
        <f>AND(resultados!AD50,"AAAAAGa/W7A=")</f>
        <v>#VALUE!</v>
      </c>
      <c r="FV95" t="e">
        <f>AND(resultados!AE50,"AAAAAGa/W7E=")</f>
        <v>#VALUE!</v>
      </c>
      <c r="FW95" t="e">
        <f>AND(resultados!AF50,"AAAAAGa/W7I=")</f>
        <v>#VALUE!</v>
      </c>
      <c r="FX95" t="e">
        <f>AND(resultados!AG50,"AAAAAGa/W7M=")</f>
        <v>#VALUE!</v>
      </c>
      <c r="FY95" t="e">
        <f>AND(resultados!AH50,"AAAAAGa/W7Q=")</f>
        <v>#VALUE!</v>
      </c>
      <c r="FZ95" t="e">
        <f>AND(resultados!AI50,"AAAAAGa/W7U=")</f>
        <v>#VALUE!</v>
      </c>
      <c r="GA95">
        <f>IF(resultados!51:51,"AAAAAGa/W7Y=",0)</f>
        <v>0</v>
      </c>
      <c r="GB95" t="e">
        <f>AND(resultados!#REF!,"AAAAAGa/W7c=")</f>
        <v>#REF!</v>
      </c>
      <c r="GC95" t="e">
        <f>AND(resultados!C51,"AAAAAGa/W7g=")</f>
        <v>#VALUE!</v>
      </c>
      <c r="GD95" t="e">
        <f>AND(resultados!D51,"AAAAAGa/W7k=")</f>
        <v>#VALUE!</v>
      </c>
      <c r="GE95" t="e">
        <f>AND(resultados!E51,"AAAAAGa/W7o=")</f>
        <v>#VALUE!</v>
      </c>
      <c r="GF95" t="e">
        <f>AND(resultados!#REF!,"AAAAAGa/W7s=")</f>
        <v>#REF!</v>
      </c>
      <c r="GG95" t="e">
        <f>AND(resultados!G51,"AAAAAGa/W7w=")</f>
        <v>#VALUE!</v>
      </c>
      <c r="GH95" t="e">
        <f>AND(resultados!H51,"AAAAAGa/W70=")</f>
        <v>#VALUE!</v>
      </c>
      <c r="GI95" t="e">
        <f>AND(resultados!I51,"AAAAAGa/W74=")</f>
        <v>#VALUE!</v>
      </c>
      <c r="GJ95" t="e">
        <f>AND(resultados!J51,"AAAAAGa/W78=")</f>
        <v>#VALUE!</v>
      </c>
      <c r="GK95" t="e">
        <f>AND(resultados!K51,"AAAAAGa/W8A=")</f>
        <v>#VALUE!</v>
      </c>
      <c r="GL95" t="e">
        <f>AND(resultados!L51,"AAAAAGa/W8E=")</f>
        <v>#VALUE!</v>
      </c>
      <c r="GM95" t="e">
        <f>AND(resultados!M51,"AAAAAGa/W8I=")</f>
        <v>#VALUE!</v>
      </c>
      <c r="GN95" t="e">
        <f>AND(resultados!N51,"AAAAAGa/W8M=")</f>
        <v>#VALUE!</v>
      </c>
      <c r="GO95" t="e">
        <f>AND(resultados!O51,"AAAAAGa/W8Q=")</f>
        <v>#VALUE!</v>
      </c>
      <c r="GP95" t="e">
        <f>AND(resultados!P51,"AAAAAGa/W8U=")</f>
        <v>#VALUE!</v>
      </c>
      <c r="GQ95" t="e">
        <f>AND(resultados!Q51,"AAAAAGa/W8Y=")</f>
        <v>#VALUE!</v>
      </c>
      <c r="GR95" t="e">
        <f>AND(resultados!R51,"AAAAAGa/W8c=")</f>
        <v>#VALUE!</v>
      </c>
      <c r="GS95" t="e">
        <f>AND(resultados!S51,"AAAAAGa/W8g=")</f>
        <v>#VALUE!</v>
      </c>
      <c r="GT95" t="e">
        <f>AND(resultados!T51,"AAAAAGa/W8k=")</f>
        <v>#VALUE!</v>
      </c>
      <c r="GU95" t="e">
        <f>AND(resultados!U51,"AAAAAGa/W8o=")</f>
        <v>#VALUE!</v>
      </c>
      <c r="GV95" t="e">
        <f>AND(resultados!V51,"AAAAAGa/W8s=")</f>
        <v>#VALUE!</v>
      </c>
      <c r="GW95" t="e">
        <f>AND(resultados!W51,"AAAAAGa/W8w=")</f>
        <v>#VALUE!</v>
      </c>
      <c r="GX95" t="e">
        <f>AND(resultados!X51,"AAAAAGa/W80=")</f>
        <v>#VALUE!</v>
      </c>
      <c r="GY95" t="e">
        <f>AND(resultados!Y51,"AAAAAGa/W84=")</f>
        <v>#VALUE!</v>
      </c>
      <c r="GZ95" t="e">
        <f>AND(resultados!Z51,"AAAAAGa/W88=")</f>
        <v>#VALUE!</v>
      </c>
      <c r="HA95" t="e">
        <f>AND(resultados!AA51,"AAAAAGa/W9A=")</f>
        <v>#VALUE!</v>
      </c>
      <c r="HB95" t="e">
        <f>AND(resultados!AB51,"AAAAAGa/W9E=")</f>
        <v>#VALUE!</v>
      </c>
      <c r="HC95" t="e">
        <f>AND(resultados!AC51,"AAAAAGa/W9I=")</f>
        <v>#VALUE!</v>
      </c>
      <c r="HD95" t="e">
        <f>AND(resultados!AD51,"AAAAAGa/W9M=")</f>
        <v>#VALUE!</v>
      </c>
      <c r="HE95" t="e">
        <f>AND(resultados!AE51,"AAAAAGa/W9Q=")</f>
        <v>#VALUE!</v>
      </c>
      <c r="HF95" t="e">
        <f>AND(resultados!AF51,"AAAAAGa/W9U=")</f>
        <v>#VALUE!</v>
      </c>
      <c r="HG95" t="e">
        <f>AND(resultados!AG51,"AAAAAGa/W9Y=")</f>
        <v>#VALUE!</v>
      </c>
      <c r="HH95" t="e">
        <f>AND(resultados!AH51,"AAAAAGa/W9c=")</f>
        <v>#VALUE!</v>
      </c>
      <c r="HI95" t="e">
        <f>AND(resultados!AI51,"AAAAAGa/W9g=")</f>
        <v>#VALUE!</v>
      </c>
      <c r="HJ95">
        <f>IF(resultados!52:52,"AAAAAGa/W9k=",0)</f>
        <v>0</v>
      </c>
      <c r="HK95" t="e">
        <f>AND(resultados!#REF!,"AAAAAGa/W9o=")</f>
        <v>#REF!</v>
      </c>
      <c r="HL95" t="e">
        <f>AND(resultados!C52,"AAAAAGa/W9s=")</f>
        <v>#VALUE!</v>
      </c>
      <c r="HM95" t="e">
        <f>AND(resultados!D52,"AAAAAGa/W9w=")</f>
        <v>#VALUE!</v>
      </c>
      <c r="HN95" t="e">
        <f>AND(resultados!E52,"AAAAAGa/W90=")</f>
        <v>#VALUE!</v>
      </c>
      <c r="HO95" t="e">
        <f>AND(resultados!#REF!,"AAAAAGa/W94=")</f>
        <v>#REF!</v>
      </c>
      <c r="HP95" t="e">
        <f>AND(resultados!G52,"AAAAAGa/W98=")</f>
        <v>#VALUE!</v>
      </c>
      <c r="HQ95" t="e">
        <f>AND(resultados!H52,"AAAAAGa/W+A=")</f>
        <v>#VALUE!</v>
      </c>
      <c r="HR95" t="e">
        <f>AND(resultados!I52,"AAAAAGa/W+E=")</f>
        <v>#VALUE!</v>
      </c>
      <c r="HS95" t="e">
        <f>AND(resultados!J52,"AAAAAGa/W+I=")</f>
        <v>#VALUE!</v>
      </c>
      <c r="HT95" t="e">
        <f>AND(resultados!K52,"AAAAAGa/W+M=")</f>
        <v>#VALUE!</v>
      </c>
      <c r="HU95" t="e">
        <f>AND(resultados!L52,"AAAAAGa/W+Q=")</f>
        <v>#VALUE!</v>
      </c>
      <c r="HV95" t="e">
        <f>AND(resultados!M52,"AAAAAGa/W+U=")</f>
        <v>#VALUE!</v>
      </c>
      <c r="HW95" t="e">
        <f>AND(resultados!N52,"AAAAAGa/W+Y=")</f>
        <v>#VALUE!</v>
      </c>
      <c r="HX95" t="e">
        <f>AND(resultados!O52,"AAAAAGa/W+c=")</f>
        <v>#VALUE!</v>
      </c>
      <c r="HY95" t="e">
        <f>AND(resultados!P52,"AAAAAGa/W+g=")</f>
        <v>#VALUE!</v>
      </c>
      <c r="HZ95" t="e">
        <f>AND(resultados!Q52,"AAAAAGa/W+k=")</f>
        <v>#VALUE!</v>
      </c>
      <c r="IA95" t="e">
        <f>AND(resultados!R52,"AAAAAGa/W+o=")</f>
        <v>#VALUE!</v>
      </c>
      <c r="IB95" t="e">
        <f>AND(resultados!S52,"AAAAAGa/W+s=")</f>
        <v>#VALUE!</v>
      </c>
      <c r="IC95" t="e">
        <f>AND(resultados!T52,"AAAAAGa/W+w=")</f>
        <v>#VALUE!</v>
      </c>
      <c r="ID95" t="e">
        <f>AND(resultados!U52,"AAAAAGa/W+0=")</f>
        <v>#VALUE!</v>
      </c>
      <c r="IE95" t="e">
        <f>AND(resultados!V52,"AAAAAGa/W+4=")</f>
        <v>#VALUE!</v>
      </c>
      <c r="IF95" t="e">
        <f>AND(resultados!W52,"AAAAAGa/W+8=")</f>
        <v>#VALUE!</v>
      </c>
      <c r="IG95" t="e">
        <f>AND(resultados!X52,"AAAAAGa/W/A=")</f>
        <v>#VALUE!</v>
      </c>
      <c r="IH95" t="e">
        <f>AND(resultados!Y52,"AAAAAGa/W/E=")</f>
        <v>#VALUE!</v>
      </c>
      <c r="II95" t="e">
        <f>AND(resultados!Z52,"AAAAAGa/W/I=")</f>
        <v>#VALUE!</v>
      </c>
      <c r="IJ95" t="e">
        <f>AND(resultados!AA52,"AAAAAGa/W/M=")</f>
        <v>#VALUE!</v>
      </c>
      <c r="IK95" t="e">
        <f>AND(resultados!AB52,"AAAAAGa/W/Q=")</f>
        <v>#VALUE!</v>
      </c>
      <c r="IL95" t="e">
        <f>AND(resultados!AC52,"AAAAAGa/W/U=")</f>
        <v>#VALUE!</v>
      </c>
      <c r="IM95" t="e">
        <f>AND(resultados!AD52,"AAAAAGa/W/Y=")</f>
        <v>#VALUE!</v>
      </c>
      <c r="IN95" t="e">
        <f>AND(resultados!AE52,"AAAAAGa/W/c=")</f>
        <v>#VALUE!</v>
      </c>
      <c r="IO95" t="e">
        <f>AND(resultados!AF52,"AAAAAGa/W/g=")</f>
        <v>#VALUE!</v>
      </c>
      <c r="IP95" t="e">
        <f>AND(resultados!AG52,"AAAAAGa/W/k=")</f>
        <v>#VALUE!</v>
      </c>
      <c r="IQ95" t="e">
        <f>AND(resultados!AH52,"AAAAAGa/W/o=")</f>
        <v>#VALUE!</v>
      </c>
      <c r="IR95" t="e">
        <f>AND(resultados!AI52,"AAAAAGa/W/s=")</f>
        <v>#VALUE!</v>
      </c>
      <c r="IS95">
        <f>IF(resultados!53:53,"AAAAAGa/W/w=",0)</f>
        <v>0</v>
      </c>
      <c r="IT95" t="e">
        <f>AND(resultados!#REF!,"AAAAAGa/W/0=")</f>
        <v>#REF!</v>
      </c>
      <c r="IU95" t="e">
        <f>AND(resultados!C53,"AAAAAGa/W/4=")</f>
        <v>#VALUE!</v>
      </c>
      <c r="IV95" t="e">
        <f>AND(resultados!D53,"AAAAAGa/W/8=")</f>
        <v>#VALUE!</v>
      </c>
    </row>
    <row r="96" spans="1:256" x14ac:dyDescent="0.2">
      <c r="A96" t="e">
        <f>AND(resultados!E53,"AAAAAHf8PQA=")</f>
        <v>#VALUE!</v>
      </c>
      <c r="B96" t="e">
        <f>AND(resultados!#REF!,"AAAAAHf8PQE=")</f>
        <v>#REF!</v>
      </c>
      <c r="C96" t="e">
        <f>AND(resultados!G53,"AAAAAHf8PQI=")</f>
        <v>#VALUE!</v>
      </c>
      <c r="D96" t="e">
        <f>AND(resultados!H53,"AAAAAHf8PQM=")</f>
        <v>#VALUE!</v>
      </c>
      <c r="E96" t="e">
        <f>AND(resultados!I53,"AAAAAHf8PQQ=")</f>
        <v>#VALUE!</v>
      </c>
      <c r="F96" t="e">
        <f>AND(resultados!J53,"AAAAAHf8PQU=")</f>
        <v>#VALUE!</v>
      </c>
      <c r="G96" t="e">
        <f>AND(resultados!K53,"AAAAAHf8PQY=")</f>
        <v>#VALUE!</v>
      </c>
      <c r="H96" t="e">
        <f>AND(resultados!L53,"AAAAAHf8PQc=")</f>
        <v>#VALUE!</v>
      </c>
      <c r="I96" t="e">
        <f>AND(resultados!M53,"AAAAAHf8PQg=")</f>
        <v>#VALUE!</v>
      </c>
      <c r="J96" t="e">
        <f>AND(resultados!N53,"AAAAAHf8PQk=")</f>
        <v>#VALUE!</v>
      </c>
      <c r="K96" t="e">
        <f>AND(resultados!O53,"AAAAAHf8PQo=")</f>
        <v>#VALUE!</v>
      </c>
      <c r="L96" t="e">
        <f>AND(resultados!P53,"AAAAAHf8PQs=")</f>
        <v>#VALUE!</v>
      </c>
      <c r="M96" t="e">
        <f>AND(resultados!Q53,"AAAAAHf8PQw=")</f>
        <v>#VALUE!</v>
      </c>
      <c r="N96" t="e">
        <f>AND(resultados!R53,"AAAAAHf8PQ0=")</f>
        <v>#VALUE!</v>
      </c>
      <c r="O96" t="e">
        <f>AND(resultados!S53,"AAAAAHf8PQ4=")</f>
        <v>#VALUE!</v>
      </c>
      <c r="P96" t="e">
        <f>AND(resultados!T53,"AAAAAHf8PQ8=")</f>
        <v>#VALUE!</v>
      </c>
      <c r="Q96" t="e">
        <f>AND(resultados!U53,"AAAAAHf8PRA=")</f>
        <v>#VALUE!</v>
      </c>
      <c r="R96" t="e">
        <f>AND(resultados!V53,"AAAAAHf8PRE=")</f>
        <v>#VALUE!</v>
      </c>
      <c r="S96" t="e">
        <f>AND(resultados!W53,"AAAAAHf8PRI=")</f>
        <v>#VALUE!</v>
      </c>
      <c r="T96" t="e">
        <f>AND(resultados!X53,"AAAAAHf8PRM=")</f>
        <v>#VALUE!</v>
      </c>
      <c r="U96" t="e">
        <f>AND(resultados!Y53,"AAAAAHf8PRQ=")</f>
        <v>#VALUE!</v>
      </c>
      <c r="V96" t="e">
        <f>AND(resultados!Z53,"AAAAAHf8PRU=")</f>
        <v>#VALUE!</v>
      </c>
      <c r="W96" t="e">
        <f>AND(resultados!AA53,"AAAAAHf8PRY=")</f>
        <v>#VALUE!</v>
      </c>
      <c r="X96" t="e">
        <f>AND(resultados!AB53,"AAAAAHf8PRc=")</f>
        <v>#VALUE!</v>
      </c>
      <c r="Y96" t="e">
        <f>AND(resultados!AC53,"AAAAAHf8PRg=")</f>
        <v>#VALUE!</v>
      </c>
      <c r="Z96" t="e">
        <f>AND(resultados!AD53,"AAAAAHf8PRk=")</f>
        <v>#VALUE!</v>
      </c>
      <c r="AA96" t="e">
        <f>AND(resultados!AE53,"AAAAAHf8PRo=")</f>
        <v>#VALUE!</v>
      </c>
      <c r="AB96" t="e">
        <f>AND(resultados!AF53,"AAAAAHf8PRs=")</f>
        <v>#VALUE!</v>
      </c>
      <c r="AC96" t="e">
        <f>AND(resultados!AG53,"AAAAAHf8PRw=")</f>
        <v>#VALUE!</v>
      </c>
      <c r="AD96" t="e">
        <f>AND(resultados!AH53,"AAAAAHf8PR0=")</f>
        <v>#VALUE!</v>
      </c>
      <c r="AE96" t="e">
        <f>AND(resultados!AI53,"AAAAAHf8PR4=")</f>
        <v>#VALUE!</v>
      </c>
      <c r="AF96">
        <f>IF(resultados!54:54,"AAAAAHf8PR8=",0)</f>
        <v>0</v>
      </c>
      <c r="AG96" t="e">
        <f>AND(resultados!#REF!,"AAAAAHf8PSA=")</f>
        <v>#REF!</v>
      </c>
      <c r="AH96" t="e">
        <f>AND(resultados!C54,"AAAAAHf8PSE=")</f>
        <v>#VALUE!</v>
      </c>
      <c r="AI96" t="e">
        <f>AND(resultados!D54,"AAAAAHf8PSI=")</f>
        <v>#VALUE!</v>
      </c>
      <c r="AJ96" t="e">
        <f>AND(resultados!E54,"AAAAAHf8PSM=")</f>
        <v>#VALUE!</v>
      </c>
      <c r="AK96" t="e">
        <f>AND(resultados!#REF!,"AAAAAHf8PSQ=")</f>
        <v>#REF!</v>
      </c>
      <c r="AL96" t="e">
        <f>AND(resultados!G54,"AAAAAHf8PSU=")</f>
        <v>#VALUE!</v>
      </c>
      <c r="AM96" t="e">
        <f>AND(resultados!H54,"AAAAAHf8PSY=")</f>
        <v>#VALUE!</v>
      </c>
      <c r="AN96" t="e">
        <f>AND(resultados!I54,"AAAAAHf8PSc=")</f>
        <v>#VALUE!</v>
      </c>
      <c r="AO96" t="e">
        <f>AND(resultados!J54,"AAAAAHf8PSg=")</f>
        <v>#VALUE!</v>
      </c>
      <c r="AP96" t="e">
        <f>AND(resultados!K54,"AAAAAHf8PSk=")</f>
        <v>#VALUE!</v>
      </c>
      <c r="AQ96" t="e">
        <f>AND(resultados!L54,"AAAAAHf8PSo=")</f>
        <v>#VALUE!</v>
      </c>
      <c r="AR96" t="e">
        <f>AND(resultados!M54,"AAAAAHf8PSs=")</f>
        <v>#VALUE!</v>
      </c>
      <c r="AS96" t="e">
        <f>AND(resultados!N54,"AAAAAHf8PSw=")</f>
        <v>#VALUE!</v>
      </c>
      <c r="AT96" t="e">
        <f>AND(resultados!O54,"AAAAAHf8PS0=")</f>
        <v>#VALUE!</v>
      </c>
      <c r="AU96" t="e">
        <f>AND(resultados!P54,"AAAAAHf8PS4=")</f>
        <v>#VALUE!</v>
      </c>
      <c r="AV96" t="e">
        <f>AND(resultados!Q54,"AAAAAHf8PS8=")</f>
        <v>#VALUE!</v>
      </c>
      <c r="AW96" t="e">
        <f>AND(resultados!R54,"AAAAAHf8PTA=")</f>
        <v>#VALUE!</v>
      </c>
      <c r="AX96" t="e">
        <f>AND(resultados!S54,"AAAAAHf8PTE=")</f>
        <v>#VALUE!</v>
      </c>
      <c r="AY96" t="e">
        <f>AND(resultados!T54,"AAAAAHf8PTI=")</f>
        <v>#VALUE!</v>
      </c>
      <c r="AZ96" t="e">
        <f>AND(resultados!U54,"AAAAAHf8PTM=")</f>
        <v>#VALUE!</v>
      </c>
      <c r="BA96" t="e">
        <f>AND(resultados!V54,"AAAAAHf8PTQ=")</f>
        <v>#VALUE!</v>
      </c>
      <c r="BB96" t="e">
        <f>AND(resultados!W54,"AAAAAHf8PTU=")</f>
        <v>#VALUE!</v>
      </c>
      <c r="BC96" t="e">
        <f>AND(resultados!X54,"AAAAAHf8PTY=")</f>
        <v>#VALUE!</v>
      </c>
      <c r="BD96" t="e">
        <f>AND(resultados!Y54,"AAAAAHf8PTc=")</f>
        <v>#VALUE!</v>
      </c>
      <c r="BE96" t="e">
        <f>AND(resultados!Z54,"AAAAAHf8PTg=")</f>
        <v>#VALUE!</v>
      </c>
      <c r="BF96" t="e">
        <f>AND(resultados!AA54,"AAAAAHf8PTk=")</f>
        <v>#VALUE!</v>
      </c>
      <c r="BG96" t="e">
        <f>AND(resultados!AB54,"AAAAAHf8PTo=")</f>
        <v>#VALUE!</v>
      </c>
      <c r="BH96" t="e">
        <f>AND(resultados!AC54,"AAAAAHf8PTs=")</f>
        <v>#VALUE!</v>
      </c>
      <c r="BI96" t="e">
        <f>AND(resultados!AD54,"AAAAAHf8PTw=")</f>
        <v>#VALUE!</v>
      </c>
      <c r="BJ96" t="e">
        <f>AND(resultados!AE54,"AAAAAHf8PT0=")</f>
        <v>#VALUE!</v>
      </c>
      <c r="BK96" t="e">
        <f>AND(resultados!AF54,"AAAAAHf8PT4=")</f>
        <v>#VALUE!</v>
      </c>
      <c r="BL96" t="e">
        <f>AND(resultados!AG54,"AAAAAHf8PT8=")</f>
        <v>#VALUE!</v>
      </c>
      <c r="BM96" t="e">
        <f>AND(resultados!AH54,"AAAAAHf8PUA=")</f>
        <v>#VALUE!</v>
      </c>
      <c r="BN96" t="e">
        <f>AND(resultados!AI54,"AAAAAHf8PUE=")</f>
        <v>#VALUE!</v>
      </c>
      <c r="BO96">
        <f>IF(resultados!55:55,"AAAAAHf8PUI=",0)</f>
        <v>0</v>
      </c>
      <c r="BP96" t="e">
        <f>AND(resultados!#REF!,"AAAAAHf8PUM=")</f>
        <v>#REF!</v>
      </c>
      <c r="BQ96" t="e">
        <f>AND(resultados!C55,"AAAAAHf8PUQ=")</f>
        <v>#VALUE!</v>
      </c>
      <c r="BR96" t="e">
        <f>AND(resultados!D55,"AAAAAHf8PUU=")</f>
        <v>#VALUE!</v>
      </c>
      <c r="BS96" t="e">
        <f>AND(resultados!E55,"AAAAAHf8PUY=")</f>
        <v>#VALUE!</v>
      </c>
      <c r="BT96" t="e">
        <f>AND(resultados!#REF!,"AAAAAHf8PUc=")</f>
        <v>#REF!</v>
      </c>
      <c r="BU96" t="e">
        <f>AND(resultados!G55,"AAAAAHf8PUg=")</f>
        <v>#VALUE!</v>
      </c>
      <c r="BV96" t="e">
        <f>AND(resultados!H55,"AAAAAHf8PUk=")</f>
        <v>#VALUE!</v>
      </c>
      <c r="BW96" t="e">
        <f>AND(resultados!I55,"AAAAAHf8PUo=")</f>
        <v>#VALUE!</v>
      </c>
      <c r="BX96" t="e">
        <f>AND(resultados!J55,"AAAAAHf8PUs=")</f>
        <v>#VALUE!</v>
      </c>
      <c r="BY96" t="e">
        <f>AND(resultados!K55,"AAAAAHf8PUw=")</f>
        <v>#VALUE!</v>
      </c>
      <c r="BZ96" t="e">
        <f>AND(resultados!L55,"AAAAAHf8PU0=")</f>
        <v>#VALUE!</v>
      </c>
      <c r="CA96" t="e">
        <f>AND(resultados!M55,"AAAAAHf8PU4=")</f>
        <v>#VALUE!</v>
      </c>
      <c r="CB96" t="e">
        <f>AND(resultados!N55,"AAAAAHf8PU8=")</f>
        <v>#VALUE!</v>
      </c>
      <c r="CC96" t="e">
        <f>AND(resultados!O55,"AAAAAHf8PVA=")</f>
        <v>#VALUE!</v>
      </c>
      <c r="CD96" t="e">
        <f>AND(resultados!P55,"AAAAAHf8PVE=")</f>
        <v>#VALUE!</v>
      </c>
      <c r="CE96" t="e">
        <f>AND(resultados!Q55,"AAAAAHf8PVI=")</f>
        <v>#VALUE!</v>
      </c>
      <c r="CF96" t="e">
        <f>AND(resultados!R55,"AAAAAHf8PVM=")</f>
        <v>#VALUE!</v>
      </c>
      <c r="CG96" t="e">
        <f>AND(resultados!S55,"AAAAAHf8PVQ=")</f>
        <v>#VALUE!</v>
      </c>
      <c r="CH96" t="e">
        <f>AND(resultados!T55,"AAAAAHf8PVU=")</f>
        <v>#VALUE!</v>
      </c>
      <c r="CI96" t="e">
        <f>AND(resultados!U55,"AAAAAHf8PVY=")</f>
        <v>#VALUE!</v>
      </c>
      <c r="CJ96" t="e">
        <f>AND(resultados!V55,"AAAAAHf8PVc=")</f>
        <v>#VALUE!</v>
      </c>
      <c r="CK96" t="e">
        <f>AND(resultados!W55,"AAAAAHf8PVg=")</f>
        <v>#VALUE!</v>
      </c>
      <c r="CL96" t="e">
        <f>AND(resultados!X55,"AAAAAHf8PVk=")</f>
        <v>#VALUE!</v>
      </c>
      <c r="CM96" t="e">
        <f>AND(resultados!Y55,"AAAAAHf8PVo=")</f>
        <v>#VALUE!</v>
      </c>
      <c r="CN96" t="e">
        <f>AND(resultados!Z55,"AAAAAHf8PVs=")</f>
        <v>#VALUE!</v>
      </c>
      <c r="CO96" t="e">
        <f>AND(resultados!AA55,"AAAAAHf8PVw=")</f>
        <v>#VALUE!</v>
      </c>
      <c r="CP96" t="e">
        <f>AND(resultados!AB55,"AAAAAHf8PV0=")</f>
        <v>#VALUE!</v>
      </c>
      <c r="CQ96" t="e">
        <f>AND(resultados!AC55,"AAAAAHf8PV4=")</f>
        <v>#VALUE!</v>
      </c>
      <c r="CR96" t="e">
        <f>AND(resultados!AD55,"AAAAAHf8PV8=")</f>
        <v>#VALUE!</v>
      </c>
      <c r="CS96" t="e">
        <f>AND(resultados!AE55,"AAAAAHf8PWA=")</f>
        <v>#VALUE!</v>
      </c>
      <c r="CT96" t="e">
        <f>AND(resultados!AF55,"AAAAAHf8PWE=")</f>
        <v>#VALUE!</v>
      </c>
      <c r="CU96" t="e">
        <f>AND(resultados!AG55,"AAAAAHf8PWI=")</f>
        <v>#VALUE!</v>
      </c>
      <c r="CV96" t="e">
        <f>AND(resultados!AH55,"AAAAAHf8PWM=")</f>
        <v>#VALUE!</v>
      </c>
      <c r="CW96" t="e">
        <f>AND(resultados!AI55,"AAAAAHf8PWQ=")</f>
        <v>#VALUE!</v>
      </c>
      <c r="CX96">
        <f>IF(resultados!56:56,"AAAAAHf8PWU=",0)</f>
        <v>0</v>
      </c>
      <c r="CY96" t="e">
        <f>AND(resultados!#REF!,"AAAAAHf8PWY=")</f>
        <v>#REF!</v>
      </c>
      <c r="CZ96" t="e">
        <f>AND(resultados!C56,"AAAAAHf8PWc=")</f>
        <v>#VALUE!</v>
      </c>
      <c r="DA96" t="e">
        <f>AND(resultados!D56,"AAAAAHf8PWg=")</f>
        <v>#VALUE!</v>
      </c>
      <c r="DB96" t="e">
        <f>AND(resultados!E56,"AAAAAHf8PWk=")</f>
        <v>#VALUE!</v>
      </c>
      <c r="DC96" t="e">
        <f>AND(resultados!#REF!,"AAAAAHf8PWo=")</f>
        <v>#REF!</v>
      </c>
      <c r="DD96" t="e">
        <f>AND(resultados!G56,"AAAAAHf8PWs=")</f>
        <v>#VALUE!</v>
      </c>
      <c r="DE96" t="e">
        <f>AND(resultados!H56,"AAAAAHf8PWw=")</f>
        <v>#VALUE!</v>
      </c>
      <c r="DF96" t="e">
        <f>AND(resultados!I56,"AAAAAHf8PW0=")</f>
        <v>#VALUE!</v>
      </c>
      <c r="DG96" t="e">
        <f>AND(resultados!J56,"AAAAAHf8PW4=")</f>
        <v>#VALUE!</v>
      </c>
      <c r="DH96" t="e">
        <f>AND(resultados!K56,"AAAAAHf8PW8=")</f>
        <v>#VALUE!</v>
      </c>
      <c r="DI96" t="e">
        <f>AND(resultados!L56,"AAAAAHf8PXA=")</f>
        <v>#VALUE!</v>
      </c>
      <c r="DJ96" t="e">
        <f>AND(resultados!M56,"AAAAAHf8PXE=")</f>
        <v>#VALUE!</v>
      </c>
      <c r="DK96" t="e">
        <f>AND(resultados!N56,"AAAAAHf8PXI=")</f>
        <v>#VALUE!</v>
      </c>
      <c r="DL96" t="e">
        <f>AND(resultados!O56,"AAAAAHf8PXM=")</f>
        <v>#VALUE!</v>
      </c>
      <c r="DM96" t="e">
        <f>AND(resultados!P56,"AAAAAHf8PXQ=")</f>
        <v>#VALUE!</v>
      </c>
      <c r="DN96" t="e">
        <f>AND(resultados!Q56,"AAAAAHf8PXU=")</f>
        <v>#VALUE!</v>
      </c>
      <c r="DO96" t="e">
        <f>AND(resultados!R56,"AAAAAHf8PXY=")</f>
        <v>#VALUE!</v>
      </c>
      <c r="DP96" t="e">
        <f>AND(resultados!S56,"AAAAAHf8PXc=")</f>
        <v>#VALUE!</v>
      </c>
      <c r="DQ96" t="e">
        <f>AND(resultados!T56,"AAAAAHf8PXg=")</f>
        <v>#VALUE!</v>
      </c>
      <c r="DR96" t="e">
        <f>AND(resultados!U56,"AAAAAHf8PXk=")</f>
        <v>#VALUE!</v>
      </c>
      <c r="DS96" t="e">
        <f>AND(resultados!V56,"AAAAAHf8PXo=")</f>
        <v>#VALUE!</v>
      </c>
      <c r="DT96" t="e">
        <f>AND(resultados!W56,"AAAAAHf8PXs=")</f>
        <v>#VALUE!</v>
      </c>
      <c r="DU96" t="e">
        <f>AND(resultados!X56,"AAAAAHf8PXw=")</f>
        <v>#VALUE!</v>
      </c>
      <c r="DV96" t="e">
        <f>AND(resultados!Y56,"AAAAAHf8PX0=")</f>
        <v>#VALUE!</v>
      </c>
      <c r="DW96" t="e">
        <f>AND(resultados!Z56,"AAAAAHf8PX4=")</f>
        <v>#VALUE!</v>
      </c>
      <c r="DX96" t="e">
        <f>AND(resultados!AA56,"AAAAAHf8PX8=")</f>
        <v>#VALUE!</v>
      </c>
      <c r="DY96" t="e">
        <f>AND(resultados!AB56,"AAAAAHf8PYA=")</f>
        <v>#VALUE!</v>
      </c>
      <c r="DZ96" t="e">
        <f>AND(resultados!AC56,"AAAAAHf8PYE=")</f>
        <v>#VALUE!</v>
      </c>
      <c r="EA96" t="e">
        <f>AND(resultados!AD56,"AAAAAHf8PYI=")</f>
        <v>#VALUE!</v>
      </c>
      <c r="EB96" t="e">
        <f>AND(resultados!AE56,"AAAAAHf8PYM=")</f>
        <v>#VALUE!</v>
      </c>
      <c r="EC96" t="e">
        <f>AND(resultados!AF56,"AAAAAHf8PYQ=")</f>
        <v>#VALUE!</v>
      </c>
      <c r="ED96" t="e">
        <f>AND(resultados!AG56,"AAAAAHf8PYU=")</f>
        <v>#VALUE!</v>
      </c>
      <c r="EE96" t="e">
        <f>AND(resultados!AH56,"AAAAAHf8PYY=")</f>
        <v>#VALUE!</v>
      </c>
      <c r="EF96" t="e">
        <f>AND(resultados!AI56,"AAAAAHf8PYc=")</f>
        <v>#VALUE!</v>
      </c>
      <c r="EG96">
        <f>IF(resultados!57:57,"AAAAAHf8PYg=",0)</f>
        <v>0</v>
      </c>
      <c r="EH96" t="e">
        <f>AND(resultados!#REF!,"AAAAAHf8PYk=")</f>
        <v>#REF!</v>
      </c>
      <c r="EI96" t="e">
        <f>AND(resultados!C57,"AAAAAHf8PYo=")</f>
        <v>#VALUE!</v>
      </c>
      <c r="EJ96" t="e">
        <f>AND(resultados!D57,"AAAAAHf8PYs=")</f>
        <v>#VALUE!</v>
      </c>
      <c r="EK96" t="e">
        <f>AND(resultados!E57,"AAAAAHf8PYw=")</f>
        <v>#VALUE!</v>
      </c>
      <c r="EL96" t="e">
        <f>AND(resultados!#REF!,"AAAAAHf8PY0=")</f>
        <v>#REF!</v>
      </c>
      <c r="EM96" t="e">
        <f>AND(resultados!G57,"AAAAAHf8PY4=")</f>
        <v>#VALUE!</v>
      </c>
      <c r="EN96" t="e">
        <f>AND(resultados!H57,"AAAAAHf8PY8=")</f>
        <v>#VALUE!</v>
      </c>
      <c r="EO96" t="e">
        <f>AND(resultados!I57,"AAAAAHf8PZA=")</f>
        <v>#VALUE!</v>
      </c>
      <c r="EP96" t="e">
        <f>AND(resultados!J57,"AAAAAHf8PZE=")</f>
        <v>#VALUE!</v>
      </c>
      <c r="EQ96" t="e">
        <f>AND(resultados!K57,"AAAAAHf8PZI=")</f>
        <v>#VALUE!</v>
      </c>
      <c r="ER96" t="e">
        <f>AND(resultados!L57,"AAAAAHf8PZM=")</f>
        <v>#VALUE!</v>
      </c>
      <c r="ES96" t="e">
        <f>AND(resultados!M57,"AAAAAHf8PZQ=")</f>
        <v>#VALUE!</v>
      </c>
      <c r="ET96" t="e">
        <f>AND(resultados!N57,"AAAAAHf8PZU=")</f>
        <v>#VALUE!</v>
      </c>
      <c r="EU96" t="e">
        <f>AND(resultados!O57,"AAAAAHf8PZY=")</f>
        <v>#VALUE!</v>
      </c>
      <c r="EV96" t="e">
        <f>AND(resultados!P57,"AAAAAHf8PZc=")</f>
        <v>#VALUE!</v>
      </c>
      <c r="EW96" t="e">
        <f>AND(resultados!Q57,"AAAAAHf8PZg=")</f>
        <v>#VALUE!</v>
      </c>
      <c r="EX96" t="e">
        <f>AND(resultados!R57,"AAAAAHf8PZk=")</f>
        <v>#VALUE!</v>
      </c>
      <c r="EY96" t="e">
        <f>AND(resultados!S57,"AAAAAHf8PZo=")</f>
        <v>#VALUE!</v>
      </c>
      <c r="EZ96" t="e">
        <f>AND(resultados!T57,"AAAAAHf8PZs=")</f>
        <v>#VALUE!</v>
      </c>
      <c r="FA96" t="e">
        <f>AND(resultados!U57,"AAAAAHf8PZw=")</f>
        <v>#VALUE!</v>
      </c>
      <c r="FB96" t="e">
        <f>AND(resultados!V57,"AAAAAHf8PZ0=")</f>
        <v>#VALUE!</v>
      </c>
      <c r="FC96" t="e">
        <f>AND(resultados!W57,"AAAAAHf8PZ4=")</f>
        <v>#VALUE!</v>
      </c>
      <c r="FD96" t="e">
        <f>AND(resultados!X57,"AAAAAHf8PZ8=")</f>
        <v>#VALUE!</v>
      </c>
      <c r="FE96" t="e">
        <f>AND(resultados!Y57,"AAAAAHf8PaA=")</f>
        <v>#VALUE!</v>
      </c>
      <c r="FF96" t="e">
        <f>AND(resultados!Z57,"AAAAAHf8PaE=")</f>
        <v>#VALUE!</v>
      </c>
      <c r="FG96" t="e">
        <f>AND(resultados!AA57,"AAAAAHf8PaI=")</f>
        <v>#VALUE!</v>
      </c>
      <c r="FH96" t="e">
        <f>AND(resultados!AB57,"AAAAAHf8PaM=")</f>
        <v>#VALUE!</v>
      </c>
      <c r="FI96" t="e">
        <f>AND(resultados!AC57,"AAAAAHf8PaQ=")</f>
        <v>#VALUE!</v>
      </c>
      <c r="FJ96" t="e">
        <f>AND(resultados!AD57,"AAAAAHf8PaU=")</f>
        <v>#VALUE!</v>
      </c>
      <c r="FK96" t="e">
        <f>AND(resultados!AE57,"AAAAAHf8PaY=")</f>
        <v>#VALUE!</v>
      </c>
      <c r="FL96" t="e">
        <f>AND(resultados!AF57,"AAAAAHf8Pac=")</f>
        <v>#VALUE!</v>
      </c>
      <c r="FM96" t="e">
        <f>AND(resultados!AG57,"AAAAAHf8Pag=")</f>
        <v>#VALUE!</v>
      </c>
      <c r="FN96" t="e">
        <f>AND(resultados!AH57,"AAAAAHf8Pak=")</f>
        <v>#VALUE!</v>
      </c>
      <c r="FO96" t="e">
        <f>AND(resultados!AI57,"AAAAAHf8Pao=")</f>
        <v>#VALUE!</v>
      </c>
      <c r="FP96">
        <f>IF(resultados!58:58,"AAAAAHf8Pas=",0)</f>
        <v>0</v>
      </c>
      <c r="FQ96" t="e">
        <f>AND(resultados!#REF!,"AAAAAHf8Paw=")</f>
        <v>#REF!</v>
      </c>
      <c r="FR96" t="e">
        <f>AND(resultados!C58,"AAAAAHf8Pa0=")</f>
        <v>#VALUE!</v>
      </c>
      <c r="FS96" t="e">
        <f>AND(resultados!D58,"AAAAAHf8Pa4=")</f>
        <v>#VALUE!</v>
      </c>
      <c r="FT96" t="e">
        <f>AND(resultados!E58,"AAAAAHf8Pa8=")</f>
        <v>#VALUE!</v>
      </c>
      <c r="FU96" t="e">
        <f>AND(resultados!#REF!,"AAAAAHf8PbA=")</f>
        <v>#REF!</v>
      </c>
      <c r="FV96" t="e">
        <f>AND(resultados!G58,"AAAAAHf8PbE=")</f>
        <v>#VALUE!</v>
      </c>
      <c r="FW96" t="e">
        <f>AND(resultados!H58,"AAAAAHf8PbI=")</f>
        <v>#VALUE!</v>
      </c>
      <c r="FX96" t="e">
        <f>AND(resultados!I58,"AAAAAHf8PbM=")</f>
        <v>#VALUE!</v>
      </c>
      <c r="FY96" t="e">
        <f>AND(resultados!J58,"AAAAAHf8PbQ=")</f>
        <v>#VALUE!</v>
      </c>
      <c r="FZ96" t="e">
        <f>AND(resultados!K58,"AAAAAHf8PbU=")</f>
        <v>#VALUE!</v>
      </c>
      <c r="GA96" t="e">
        <f>AND(resultados!L58,"AAAAAHf8PbY=")</f>
        <v>#VALUE!</v>
      </c>
      <c r="GB96" t="e">
        <f>AND(resultados!M58,"AAAAAHf8Pbc=")</f>
        <v>#VALUE!</v>
      </c>
      <c r="GC96" t="e">
        <f>AND(resultados!N58,"AAAAAHf8Pbg=")</f>
        <v>#VALUE!</v>
      </c>
      <c r="GD96" t="e">
        <f>AND(resultados!O58,"AAAAAHf8Pbk=")</f>
        <v>#VALUE!</v>
      </c>
      <c r="GE96" t="e">
        <f>AND(resultados!P58,"AAAAAHf8Pbo=")</f>
        <v>#VALUE!</v>
      </c>
      <c r="GF96" t="e">
        <f>AND(resultados!Q58,"AAAAAHf8Pbs=")</f>
        <v>#VALUE!</v>
      </c>
      <c r="GG96" t="e">
        <f>AND(resultados!R58,"AAAAAHf8Pbw=")</f>
        <v>#VALUE!</v>
      </c>
      <c r="GH96" t="e">
        <f>AND(resultados!S58,"AAAAAHf8Pb0=")</f>
        <v>#VALUE!</v>
      </c>
      <c r="GI96" t="e">
        <f>AND(resultados!T58,"AAAAAHf8Pb4=")</f>
        <v>#VALUE!</v>
      </c>
      <c r="GJ96" t="e">
        <f>AND(resultados!U58,"AAAAAHf8Pb8=")</f>
        <v>#VALUE!</v>
      </c>
      <c r="GK96" t="e">
        <f>AND(resultados!V58,"AAAAAHf8PcA=")</f>
        <v>#VALUE!</v>
      </c>
      <c r="GL96" t="e">
        <f>AND(resultados!W58,"AAAAAHf8PcE=")</f>
        <v>#VALUE!</v>
      </c>
      <c r="GM96" t="e">
        <f>AND(resultados!X58,"AAAAAHf8PcI=")</f>
        <v>#VALUE!</v>
      </c>
      <c r="GN96" t="e">
        <f>AND(resultados!Y58,"AAAAAHf8PcM=")</f>
        <v>#VALUE!</v>
      </c>
      <c r="GO96" t="e">
        <f>AND(resultados!Z58,"AAAAAHf8PcQ=")</f>
        <v>#VALUE!</v>
      </c>
      <c r="GP96" t="e">
        <f>AND(resultados!AA58,"AAAAAHf8PcU=")</f>
        <v>#VALUE!</v>
      </c>
      <c r="GQ96" t="e">
        <f>AND(resultados!AB58,"AAAAAHf8PcY=")</f>
        <v>#VALUE!</v>
      </c>
      <c r="GR96" t="e">
        <f>AND(resultados!AC58,"AAAAAHf8Pcc=")</f>
        <v>#VALUE!</v>
      </c>
      <c r="GS96" t="e">
        <f>AND(resultados!AD58,"AAAAAHf8Pcg=")</f>
        <v>#VALUE!</v>
      </c>
      <c r="GT96" t="e">
        <f>AND(resultados!AE58,"AAAAAHf8Pck=")</f>
        <v>#VALUE!</v>
      </c>
      <c r="GU96" t="e">
        <f>AND(resultados!AF58,"AAAAAHf8Pco=")</f>
        <v>#VALUE!</v>
      </c>
      <c r="GV96" t="e">
        <f>AND(resultados!AG58,"AAAAAHf8Pcs=")</f>
        <v>#VALUE!</v>
      </c>
      <c r="GW96" t="e">
        <f>AND(resultados!AH58,"AAAAAHf8Pcw=")</f>
        <v>#VALUE!</v>
      </c>
      <c r="GX96" t="e">
        <f>AND(resultados!AI58,"AAAAAHf8Pc0=")</f>
        <v>#VALUE!</v>
      </c>
      <c r="GY96">
        <f>IF(resultados!59:59,"AAAAAHf8Pc4=",0)</f>
        <v>0</v>
      </c>
      <c r="GZ96" t="e">
        <f>AND(resultados!#REF!,"AAAAAHf8Pc8=")</f>
        <v>#REF!</v>
      </c>
      <c r="HA96" t="e">
        <f>AND(resultados!C59,"AAAAAHf8PdA=")</f>
        <v>#VALUE!</v>
      </c>
      <c r="HB96" t="e">
        <f>AND(resultados!D59,"AAAAAHf8PdE=")</f>
        <v>#VALUE!</v>
      </c>
      <c r="HC96" t="e">
        <f>AND(resultados!E59,"AAAAAHf8PdI=")</f>
        <v>#VALUE!</v>
      </c>
      <c r="HD96" t="e">
        <f>AND(resultados!#REF!,"AAAAAHf8PdM=")</f>
        <v>#REF!</v>
      </c>
      <c r="HE96" t="e">
        <f>AND(resultados!G59,"AAAAAHf8PdQ=")</f>
        <v>#VALUE!</v>
      </c>
      <c r="HF96" t="e">
        <f>AND(resultados!H59,"AAAAAHf8PdU=")</f>
        <v>#VALUE!</v>
      </c>
      <c r="HG96" t="e">
        <f>AND(resultados!I59,"AAAAAHf8PdY=")</f>
        <v>#VALUE!</v>
      </c>
      <c r="HH96" t="e">
        <f>AND(resultados!J59,"AAAAAHf8Pdc=")</f>
        <v>#VALUE!</v>
      </c>
      <c r="HI96" t="e">
        <f>AND(resultados!K59,"AAAAAHf8Pdg=")</f>
        <v>#VALUE!</v>
      </c>
      <c r="HJ96" t="e">
        <f>AND(resultados!L59,"AAAAAHf8Pdk=")</f>
        <v>#VALUE!</v>
      </c>
      <c r="HK96" t="e">
        <f>AND(resultados!M59,"AAAAAHf8Pdo=")</f>
        <v>#VALUE!</v>
      </c>
      <c r="HL96" t="e">
        <f>AND(resultados!N59,"AAAAAHf8Pds=")</f>
        <v>#VALUE!</v>
      </c>
      <c r="HM96" t="e">
        <f>AND(resultados!O59,"AAAAAHf8Pdw=")</f>
        <v>#VALUE!</v>
      </c>
      <c r="HN96" t="e">
        <f>AND(resultados!P59,"AAAAAHf8Pd0=")</f>
        <v>#VALUE!</v>
      </c>
      <c r="HO96" t="e">
        <f>AND(resultados!Q59,"AAAAAHf8Pd4=")</f>
        <v>#VALUE!</v>
      </c>
      <c r="HP96" t="e">
        <f>AND(resultados!R59,"AAAAAHf8Pd8=")</f>
        <v>#VALUE!</v>
      </c>
      <c r="HQ96" t="e">
        <f>AND(resultados!S59,"AAAAAHf8PeA=")</f>
        <v>#VALUE!</v>
      </c>
      <c r="HR96" t="e">
        <f>AND(resultados!T59,"AAAAAHf8PeE=")</f>
        <v>#VALUE!</v>
      </c>
      <c r="HS96" t="e">
        <f>AND(resultados!U59,"AAAAAHf8PeI=")</f>
        <v>#VALUE!</v>
      </c>
      <c r="HT96" t="e">
        <f>AND(resultados!V59,"AAAAAHf8PeM=")</f>
        <v>#VALUE!</v>
      </c>
      <c r="HU96" t="e">
        <f>AND(resultados!W59,"AAAAAHf8PeQ=")</f>
        <v>#VALUE!</v>
      </c>
      <c r="HV96" t="e">
        <f>AND(resultados!X59,"AAAAAHf8PeU=")</f>
        <v>#VALUE!</v>
      </c>
      <c r="HW96" t="e">
        <f>AND(resultados!Y59,"AAAAAHf8PeY=")</f>
        <v>#VALUE!</v>
      </c>
      <c r="HX96" t="e">
        <f>AND(resultados!Z59,"AAAAAHf8Pec=")</f>
        <v>#VALUE!</v>
      </c>
      <c r="HY96" t="e">
        <f>AND(resultados!AA59,"AAAAAHf8Peg=")</f>
        <v>#VALUE!</v>
      </c>
      <c r="HZ96" t="e">
        <f>AND(resultados!AB59,"AAAAAHf8Pek=")</f>
        <v>#VALUE!</v>
      </c>
      <c r="IA96" t="e">
        <f>AND(resultados!AC59,"AAAAAHf8Peo=")</f>
        <v>#VALUE!</v>
      </c>
      <c r="IB96" t="e">
        <f>AND(resultados!AD59,"AAAAAHf8Pes=")</f>
        <v>#VALUE!</v>
      </c>
      <c r="IC96" t="e">
        <f>AND(resultados!AE59,"AAAAAHf8Pew=")</f>
        <v>#VALUE!</v>
      </c>
      <c r="ID96" t="e">
        <f>AND(resultados!AF59,"AAAAAHf8Pe0=")</f>
        <v>#VALUE!</v>
      </c>
      <c r="IE96" t="e">
        <f>AND(resultados!AG59,"AAAAAHf8Pe4=")</f>
        <v>#VALUE!</v>
      </c>
      <c r="IF96" t="e">
        <f>AND(resultados!AH59,"AAAAAHf8Pe8=")</f>
        <v>#VALUE!</v>
      </c>
      <c r="IG96" t="e">
        <f>AND(resultados!AI59,"AAAAAHf8PfA=")</f>
        <v>#VALUE!</v>
      </c>
      <c r="IH96">
        <f>IF(resultados!60:60,"AAAAAHf8PfE=",0)</f>
        <v>0</v>
      </c>
      <c r="II96" t="e">
        <f>AND(resultados!#REF!,"AAAAAHf8PfI=")</f>
        <v>#REF!</v>
      </c>
      <c r="IJ96" t="e">
        <f>AND(resultados!C60,"AAAAAHf8PfM=")</f>
        <v>#VALUE!</v>
      </c>
      <c r="IK96" t="e">
        <f>AND(resultados!D60,"AAAAAHf8PfQ=")</f>
        <v>#VALUE!</v>
      </c>
      <c r="IL96" t="e">
        <f>AND(resultados!E60,"AAAAAHf8PfU=")</f>
        <v>#VALUE!</v>
      </c>
      <c r="IM96" t="e">
        <f>AND(resultados!#REF!,"AAAAAHf8PfY=")</f>
        <v>#REF!</v>
      </c>
      <c r="IN96" t="e">
        <f>AND(resultados!G60,"AAAAAHf8Pfc=")</f>
        <v>#VALUE!</v>
      </c>
      <c r="IO96" t="e">
        <f>AND(resultados!H60,"AAAAAHf8Pfg=")</f>
        <v>#VALUE!</v>
      </c>
      <c r="IP96" t="e">
        <f>AND(resultados!I60,"AAAAAHf8Pfk=")</f>
        <v>#VALUE!</v>
      </c>
      <c r="IQ96" t="e">
        <f>AND(resultados!J60,"AAAAAHf8Pfo=")</f>
        <v>#VALUE!</v>
      </c>
      <c r="IR96" t="e">
        <f>AND(resultados!K60,"AAAAAHf8Pfs=")</f>
        <v>#VALUE!</v>
      </c>
      <c r="IS96" t="e">
        <f>AND(resultados!L60,"AAAAAHf8Pfw=")</f>
        <v>#VALUE!</v>
      </c>
      <c r="IT96" t="e">
        <f>AND(resultados!M60,"AAAAAHf8Pf0=")</f>
        <v>#VALUE!</v>
      </c>
      <c r="IU96" t="e">
        <f>AND(resultados!N60,"AAAAAHf8Pf4=")</f>
        <v>#VALUE!</v>
      </c>
      <c r="IV96" t="e">
        <f>AND(resultados!O60,"AAAAAHf8Pf8=")</f>
        <v>#VALUE!</v>
      </c>
    </row>
    <row r="97" spans="1:256" x14ac:dyDescent="0.2">
      <c r="A97" t="e">
        <f>AND(resultados!P60,"AAAAAFsbvwA=")</f>
        <v>#VALUE!</v>
      </c>
      <c r="B97" t="e">
        <f>AND(resultados!Q60,"AAAAAFsbvwE=")</f>
        <v>#VALUE!</v>
      </c>
      <c r="C97" t="e">
        <f>AND(resultados!R60,"AAAAAFsbvwI=")</f>
        <v>#VALUE!</v>
      </c>
      <c r="D97" t="e">
        <f>AND(resultados!S60,"AAAAAFsbvwM=")</f>
        <v>#VALUE!</v>
      </c>
      <c r="E97" t="e">
        <f>AND(resultados!T60,"AAAAAFsbvwQ=")</f>
        <v>#VALUE!</v>
      </c>
      <c r="F97" t="e">
        <f>AND(resultados!U60,"AAAAAFsbvwU=")</f>
        <v>#VALUE!</v>
      </c>
      <c r="G97" t="e">
        <f>AND(resultados!V60,"AAAAAFsbvwY=")</f>
        <v>#VALUE!</v>
      </c>
      <c r="H97" t="e">
        <f>AND(resultados!W60,"AAAAAFsbvwc=")</f>
        <v>#VALUE!</v>
      </c>
      <c r="I97" t="e">
        <f>AND(resultados!X60,"AAAAAFsbvwg=")</f>
        <v>#VALUE!</v>
      </c>
      <c r="J97" t="e">
        <f>AND(resultados!Y60,"AAAAAFsbvwk=")</f>
        <v>#VALUE!</v>
      </c>
      <c r="K97" t="e">
        <f>AND(resultados!Z60,"AAAAAFsbvwo=")</f>
        <v>#VALUE!</v>
      </c>
      <c r="L97" t="e">
        <f>AND(resultados!AA60,"AAAAAFsbvws=")</f>
        <v>#VALUE!</v>
      </c>
      <c r="M97" t="e">
        <f>AND(resultados!AB60,"AAAAAFsbvww=")</f>
        <v>#VALUE!</v>
      </c>
      <c r="N97" t="e">
        <f>AND(resultados!AC60,"AAAAAFsbvw0=")</f>
        <v>#VALUE!</v>
      </c>
      <c r="O97" t="e">
        <f>AND(resultados!AD60,"AAAAAFsbvw4=")</f>
        <v>#VALUE!</v>
      </c>
      <c r="P97" t="e">
        <f>AND(resultados!AE60,"AAAAAFsbvw8=")</f>
        <v>#VALUE!</v>
      </c>
      <c r="Q97" t="e">
        <f>AND(resultados!AF60,"AAAAAFsbvxA=")</f>
        <v>#VALUE!</v>
      </c>
      <c r="R97" t="e">
        <f>AND(resultados!AG60,"AAAAAFsbvxE=")</f>
        <v>#VALUE!</v>
      </c>
      <c r="S97" t="e">
        <f>AND(resultados!AH60,"AAAAAFsbvxI=")</f>
        <v>#VALUE!</v>
      </c>
      <c r="T97" t="e">
        <f>AND(resultados!AI60,"AAAAAFsbvxM=")</f>
        <v>#VALUE!</v>
      </c>
      <c r="U97">
        <f>IF(resultados!61:61,"AAAAAFsbvxQ=",0)</f>
        <v>0</v>
      </c>
      <c r="V97" t="e">
        <f>AND(resultados!#REF!,"AAAAAFsbvxU=")</f>
        <v>#REF!</v>
      </c>
      <c r="W97" t="e">
        <f>AND(resultados!C61,"AAAAAFsbvxY=")</f>
        <v>#VALUE!</v>
      </c>
      <c r="X97" t="e">
        <f>AND(resultados!D61,"AAAAAFsbvxc=")</f>
        <v>#VALUE!</v>
      </c>
      <c r="Y97" t="e">
        <f>AND(resultados!E61,"AAAAAFsbvxg=")</f>
        <v>#VALUE!</v>
      </c>
      <c r="Z97" t="e">
        <f>AND(resultados!#REF!,"AAAAAFsbvxk=")</f>
        <v>#REF!</v>
      </c>
      <c r="AA97" t="e">
        <f>AND(resultados!G61,"AAAAAFsbvxo=")</f>
        <v>#VALUE!</v>
      </c>
      <c r="AB97" t="e">
        <f>AND(resultados!H61,"AAAAAFsbvxs=")</f>
        <v>#VALUE!</v>
      </c>
      <c r="AC97" t="e">
        <f>AND(resultados!I61,"AAAAAFsbvxw=")</f>
        <v>#VALUE!</v>
      </c>
      <c r="AD97" t="e">
        <f>AND(resultados!J61,"AAAAAFsbvx0=")</f>
        <v>#VALUE!</v>
      </c>
      <c r="AE97" t="e">
        <f>AND(resultados!K61,"AAAAAFsbvx4=")</f>
        <v>#VALUE!</v>
      </c>
      <c r="AF97" t="e">
        <f>AND(resultados!L61,"AAAAAFsbvx8=")</f>
        <v>#VALUE!</v>
      </c>
      <c r="AG97" t="e">
        <f>AND(resultados!M61,"AAAAAFsbvyA=")</f>
        <v>#VALUE!</v>
      </c>
      <c r="AH97" t="e">
        <f>AND(resultados!N61,"AAAAAFsbvyE=")</f>
        <v>#VALUE!</v>
      </c>
      <c r="AI97" t="e">
        <f>AND(resultados!O61,"AAAAAFsbvyI=")</f>
        <v>#VALUE!</v>
      </c>
      <c r="AJ97" t="e">
        <f>AND(resultados!P61,"AAAAAFsbvyM=")</f>
        <v>#VALUE!</v>
      </c>
      <c r="AK97" t="e">
        <f>AND(resultados!Q61,"AAAAAFsbvyQ=")</f>
        <v>#VALUE!</v>
      </c>
      <c r="AL97" t="e">
        <f>AND(resultados!R61,"AAAAAFsbvyU=")</f>
        <v>#VALUE!</v>
      </c>
      <c r="AM97" t="e">
        <f>AND(resultados!S61,"AAAAAFsbvyY=")</f>
        <v>#VALUE!</v>
      </c>
      <c r="AN97" t="e">
        <f>AND(resultados!T61,"AAAAAFsbvyc=")</f>
        <v>#VALUE!</v>
      </c>
      <c r="AO97" t="e">
        <f>AND(resultados!U61,"AAAAAFsbvyg=")</f>
        <v>#VALUE!</v>
      </c>
      <c r="AP97" t="e">
        <f>AND(resultados!V61,"AAAAAFsbvyk=")</f>
        <v>#VALUE!</v>
      </c>
      <c r="AQ97" t="e">
        <f>AND(resultados!W61,"AAAAAFsbvyo=")</f>
        <v>#VALUE!</v>
      </c>
      <c r="AR97" t="e">
        <f>AND(resultados!X61,"AAAAAFsbvys=")</f>
        <v>#VALUE!</v>
      </c>
      <c r="AS97" t="e">
        <f>AND(resultados!Y61,"AAAAAFsbvyw=")</f>
        <v>#VALUE!</v>
      </c>
      <c r="AT97" t="e">
        <f>AND(resultados!Z61,"AAAAAFsbvy0=")</f>
        <v>#VALUE!</v>
      </c>
      <c r="AU97" t="e">
        <f>AND(resultados!AA61,"AAAAAFsbvy4=")</f>
        <v>#VALUE!</v>
      </c>
      <c r="AV97" t="e">
        <f>AND(resultados!AB61,"AAAAAFsbvy8=")</f>
        <v>#VALUE!</v>
      </c>
      <c r="AW97" t="e">
        <f>AND(resultados!AC61,"AAAAAFsbvzA=")</f>
        <v>#VALUE!</v>
      </c>
      <c r="AX97" t="e">
        <f>AND(resultados!AD61,"AAAAAFsbvzE=")</f>
        <v>#VALUE!</v>
      </c>
      <c r="AY97" t="e">
        <f>AND(resultados!AE61,"AAAAAFsbvzI=")</f>
        <v>#VALUE!</v>
      </c>
      <c r="AZ97" t="e">
        <f>AND(resultados!AF61,"AAAAAFsbvzM=")</f>
        <v>#VALUE!</v>
      </c>
      <c r="BA97" t="e">
        <f>AND(resultados!AG61,"AAAAAFsbvzQ=")</f>
        <v>#VALUE!</v>
      </c>
      <c r="BB97" t="e">
        <f>AND(resultados!AH61,"AAAAAFsbvzU=")</f>
        <v>#VALUE!</v>
      </c>
      <c r="BC97" t="e">
        <f>AND(resultados!AI61,"AAAAAFsbvzY=")</f>
        <v>#VALUE!</v>
      </c>
      <c r="BD97">
        <f>IF(resultados!62:62,"AAAAAFsbvzc=",0)</f>
        <v>0</v>
      </c>
      <c r="BE97" t="e">
        <f>AND(resultados!#REF!,"AAAAAFsbvzg=")</f>
        <v>#REF!</v>
      </c>
      <c r="BF97" t="e">
        <f>AND(resultados!C62,"AAAAAFsbvzk=")</f>
        <v>#VALUE!</v>
      </c>
      <c r="BG97" t="e">
        <f>AND(resultados!D62,"AAAAAFsbvzo=")</f>
        <v>#VALUE!</v>
      </c>
      <c r="BH97" t="e">
        <f>AND(resultados!E62,"AAAAAFsbvzs=")</f>
        <v>#VALUE!</v>
      </c>
      <c r="BI97" t="e">
        <f>AND(resultados!#REF!,"AAAAAFsbvzw=")</f>
        <v>#REF!</v>
      </c>
      <c r="BJ97" t="e">
        <f>AND(resultados!G62,"AAAAAFsbvz0=")</f>
        <v>#VALUE!</v>
      </c>
      <c r="BK97" t="e">
        <f>AND(resultados!H62,"AAAAAFsbvz4=")</f>
        <v>#VALUE!</v>
      </c>
      <c r="BL97" t="e">
        <f>AND(resultados!I62,"AAAAAFsbvz8=")</f>
        <v>#VALUE!</v>
      </c>
      <c r="BM97" t="e">
        <f>AND(resultados!J62,"AAAAAFsbv0A=")</f>
        <v>#VALUE!</v>
      </c>
      <c r="BN97" t="e">
        <f>AND(resultados!K62,"AAAAAFsbv0E=")</f>
        <v>#VALUE!</v>
      </c>
      <c r="BO97" t="e">
        <f>AND(resultados!L62,"AAAAAFsbv0I=")</f>
        <v>#VALUE!</v>
      </c>
      <c r="BP97" t="e">
        <f>AND(resultados!M62,"AAAAAFsbv0M=")</f>
        <v>#VALUE!</v>
      </c>
      <c r="BQ97" t="e">
        <f>AND(resultados!N62,"AAAAAFsbv0Q=")</f>
        <v>#VALUE!</v>
      </c>
      <c r="BR97" t="e">
        <f>AND(resultados!O62,"AAAAAFsbv0U=")</f>
        <v>#VALUE!</v>
      </c>
      <c r="BS97" t="e">
        <f>AND(resultados!P62,"AAAAAFsbv0Y=")</f>
        <v>#VALUE!</v>
      </c>
      <c r="BT97" t="e">
        <f>AND(resultados!Q62,"AAAAAFsbv0c=")</f>
        <v>#VALUE!</v>
      </c>
      <c r="BU97" t="e">
        <f>AND(resultados!R62,"AAAAAFsbv0g=")</f>
        <v>#VALUE!</v>
      </c>
      <c r="BV97" t="e">
        <f>AND(resultados!S62,"AAAAAFsbv0k=")</f>
        <v>#VALUE!</v>
      </c>
      <c r="BW97" t="e">
        <f>AND(resultados!T62,"AAAAAFsbv0o=")</f>
        <v>#VALUE!</v>
      </c>
      <c r="BX97" t="e">
        <f>AND(resultados!U62,"AAAAAFsbv0s=")</f>
        <v>#VALUE!</v>
      </c>
      <c r="BY97" t="e">
        <f>AND(resultados!V62,"AAAAAFsbv0w=")</f>
        <v>#VALUE!</v>
      </c>
      <c r="BZ97" t="e">
        <f>AND(resultados!W62,"AAAAAFsbv00=")</f>
        <v>#VALUE!</v>
      </c>
      <c r="CA97" t="e">
        <f>AND(resultados!X62,"AAAAAFsbv04=")</f>
        <v>#VALUE!</v>
      </c>
      <c r="CB97" t="e">
        <f>AND(resultados!Y62,"AAAAAFsbv08=")</f>
        <v>#VALUE!</v>
      </c>
      <c r="CC97" t="e">
        <f>AND(resultados!Z62,"AAAAAFsbv1A=")</f>
        <v>#VALUE!</v>
      </c>
      <c r="CD97" t="e">
        <f>AND(resultados!AA62,"AAAAAFsbv1E=")</f>
        <v>#VALUE!</v>
      </c>
      <c r="CE97" t="e">
        <f>AND(resultados!AB62,"AAAAAFsbv1I=")</f>
        <v>#VALUE!</v>
      </c>
      <c r="CF97" t="e">
        <f>AND(resultados!AC62,"AAAAAFsbv1M=")</f>
        <v>#VALUE!</v>
      </c>
      <c r="CG97" t="e">
        <f>AND(resultados!AD62,"AAAAAFsbv1Q=")</f>
        <v>#VALUE!</v>
      </c>
      <c r="CH97" t="e">
        <f>AND(resultados!AE62,"AAAAAFsbv1U=")</f>
        <v>#VALUE!</v>
      </c>
      <c r="CI97" t="e">
        <f>AND(resultados!AF62,"AAAAAFsbv1Y=")</f>
        <v>#VALUE!</v>
      </c>
      <c r="CJ97" t="e">
        <f>AND(resultados!AG62,"AAAAAFsbv1c=")</f>
        <v>#VALUE!</v>
      </c>
      <c r="CK97" t="e">
        <f>AND(resultados!AH62,"AAAAAFsbv1g=")</f>
        <v>#VALUE!</v>
      </c>
      <c r="CL97" t="e">
        <f>AND(resultados!AI62,"AAAAAFsbv1k=")</f>
        <v>#VALUE!</v>
      </c>
      <c r="CM97">
        <f>IF(resultados!63:63,"AAAAAFsbv1o=",0)</f>
        <v>0</v>
      </c>
      <c r="CN97" t="e">
        <f>AND(resultados!#REF!,"AAAAAFsbv1s=")</f>
        <v>#REF!</v>
      </c>
      <c r="CO97" t="e">
        <f>AND(resultados!C63,"AAAAAFsbv1w=")</f>
        <v>#VALUE!</v>
      </c>
      <c r="CP97" t="e">
        <f>AND(resultados!D63,"AAAAAFsbv10=")</f>
        <v>#VALUE!</v>
      </c>
      <c r="CQ97" t="e">
        <f>AND(resultados!E63,"AAAAAFsbv14=")</f>
        <v>#VALUE!</v>
      </c>
      <c r="CR97" t="e">
        <f>AND(resultados!#REF!,"AAAAAFsbv18=")</f>
        <v>#REF!</v>
      </c>
      <c r="CS97" t="e">
        <f>AND(resultados!G63,"AAAAAFsbv2A=")</f>
        <v>#VALUE!</v>
      </c>
      <c r="CT97" t="e">
        <f>AND(resultados!H63,"AAAAAFsbv2E=")</f>
        <v>#VALUE!</v>
      </c>
      <c r="CU97" t="e">
        <f>AND(resultados!I63,"AAAAAFsbv2I=")</f>
        <v>#VALUE!</v>
      </c>
      <c r="CV97" t="e">
        <f>AND(resultados!J63,"AAAAAFsbv2M=")</f>
        <v>#VALUE!</v>
      </c>
      <c r="CW97" t="e">
        <f>AND(resultados!K63,"AAAAAFsbv2Q=")</f>
        <v>#VALUE!</v>
      </c>
      <c r="CX97" t="e">
        <f>AND(resultados!L63,"AAAAAFsbv2U=")</f>
        <v>#VALUE!</v>
      </c>
      <c r="CY97" t="e">
        <f>AND(resultados!M63,"AAAAAFsbv2Y=")</f>
        <v>#VALUE!</v>
      </c>
      <c r="CZ97" t="e">
        <f>AND(resultados!N63,"AAAAAFsbv2c=")</f>
        <v>#VALUE!</v>
      </c>
      <c r="DA97" t="e">
        <f>AND(resultados!O63,"AAAAAFsbv2g=")</f>
        <v>#VALUE!</v>
      </c>
      <c r="DB97" t="e">
        <f>AND(resultados!P63,"AAAAAFsbv2k=")</f>
        <v>#VALUE!</v>
      </c>
      <c r="DC97" t="e">
        <f>AND(resultados!Q63,"AAAAAFsbv2o=")</f>
        <v>#VALUE!</v>
      </c>
      <c r="DD97" t="e">
        <f>AND(resultados!R63,"AAAAAFsbv2s=")</f>
        <v>#VALUE!</v>
      </c>
      <c r="DE97" t="e">
        <f>AND(resultados!S63,"AAAAAFsbv2w=")</f>
        <v>#VALUE!</v>
      </c>
      <c r="DF97" t="e">
        <f>AND(resultados!T63,"AAAAAFsbv20=")</f>
        <v>#VALUE!</v>
      </c>
      <c r="DG97" t="e">
        <f>AND(resultados!U63,"AAAAAFsbv24=")</f>
        <v>#VALUE!</v>
      </c>
      <c r="DH97" t="e">
        <f>AND(resultados!V63,"AAAAAFsbv28=")</f>
        <v>#VALUE!</v>
      </c>
      <c r="DI97" t="e">
        <f>AND(resultados!W63,"AAAAAFsbv3A=")</f>
        <v>#VALUE!</v>
      </c>
      <c r="DJ97" t="e">
        <f>AND(resultados!X63,"AAAAAFsbv3E=")</f>
        <v>#VALUE!</v>
      </c>
      <c r="DK97" t="e">
        <f>AND(resultados!Y63,"AAAAAFsbv3I=")</f>
        <v>#VALUE!</v>
      </c>
      <c r="DL97" t="e">
        <f>AND(resultados!Z63,"AAAAAFsbv3M=")</f>
        <v>#VALUE!</v>
      </c>
      <c r="DM97" t="e">
        <f>AND(resultados!AA63,"AAAAAFsbv3Q=")</f>
        <v>#VALUE!</v>
      </c>
      <c r="DN97" t="e">
        <f>AND(resultados!AB63,"AAAAAFsbv3U=")</f>
        <v>#VALUE!</v>
      </c>
      <c r="DO97" t="e">
        <f>AND(resultados!AC63,"AAAAAFsbv3Y=")</f>
        <v>#VALUE!</v>
      </c>
      <c r="DP97" t="e">
        <f>AND(resultados!AD63,"AAAAAFsbv3c=")</f>
        <v>#VALUE!</v>
      </c>
      <c r="DQ97" t="e">
        <f>AND(resultados!AE63,"AAAAAFsbv3g=")</f>
        <v>#VALUE!</v>
      </c>
      <c r="DR97" t="e">
        <f>AND(resultados!AF63,"AAAAAFsbv3k=")</f>
        <v>#VALUE!</v>
      </c>
      <c r="DS97" t="e">
        <f>AND(resultados!AG63,"AAAAAFsbv3o=")</f>
        <v>#VALUE!</v>
      </c>
      <c r="DT97" t="e">
        <f>AND(resultados!AH63,"AAAAAFsbv3s=")</f>
        <v>#VALUE!</v>
      </c>
      <c r="DU97" t="e">
        <f>AND(resultados!AI63,"AAAAAFsbv3w=")</f>
        <v>#VALUE!</v>
      </c>
      <c r="DV97">
        <f>IF(resultados!64:64,"AAAAAFsbv30=",0)</f>
        <v>0</v>
      </c>
      <c r="DW97" t="e">
        <f>AND(resultados!#REF!,"AAAAAFsbv34=")</f>
        <v>#REF!</v>
      </c>
      <c r="DX97" t="e">
        <f>AND(resultados!C64,"AAAAAFsbv38=")</f>
        <v>#VALUE!</v>
      </c>
      <c r="DY97" t="e">
        <f>AND(resultados!D64,"AAAAAFsbv4A=")</f>
        <v>#VALUE!</v>
      </c>
      <c r="DZ97" t="e">
        <f>AND(resultados!E64,"AAAAAFsbv4E=")</f>
        <v>#VALUE!</v>
      </c>
      <c r="EA97" t="e">
        <f>AND(resultados!#REF!,"AAAAAFsbv4I=")</f>
        <v>#REF!</v>
      </c>
      <c r="EB97" t="e">
        <f>AND(resultados!G64,"AAAAAFsbv4M=")</f>
        <v>#VALUE!</v>
      </c>
      <c r="EC97" t="e">
        <f>AND(resultados!H64,"AAAAAFsbv4Q=")</f>
        <v>#VALUE!</v>
      </c>
      <c r="ED97" t="e">
        <f>AND(resultados!I64,"AAAAAFsbv4U=")</f>
        <v>#VALUE!</v>
      </c>
      <c r="EE97" t="e">
        <f>AND(resultados!J64,"AAAAAFsbv4Y=")</f>
        <v>#VALUE!</v>
      </c>
      <c r="EF97" t="e">
        <f>AND(resultados!K64,"AAAAAFsbv4c=")</f>
        <v>#VALUE!</v>
      </c>
      <c r="EG97" t="e">
        <f>AND(resultados!L64,"AAAAAFsbv4g=")</f>
        <v>#VALUE!</v>
      </c>
      <c r="EH97" t="e">
        <f>AND(resultados!M64,"AAAAAFsbv4k=")</f>
        <v>#VALUE!</v>
      </c>
      <c r="EI97" t="e">
        <f>AND(resultados!N64,"AAAAAFsbv4o=")</f>
        <v>#VALUE!</v>
      </c>
      <c r="EJ97" t="e">
        <f>AND(resultados!O64,"AAAAAFsbv4s=")</f>
        <v>#VALUE!</v>
      </c>
      <c r="EK97" t="e">
        <f>AND(resultados!P64,"AAAAAFsbv4w=")</f>
        <v>#VALUE!</v>
      </c>
      <c r="EL97" t="e">
        <f>AND(resultados!Q64,"AAAAAFsbv40=")</f>
        <v>#VALUE!</v>
      </c>
      <c r="EM97" t="e">
        <f>AND(resultados!R64,"AAAAAFsbv44=")</f>
        <v>#VALUE!</v>
      </c>
      <c r="EN97" t="e">
        <f>AND(resultados!S64,"AAAAAFsbv48=")</f>
        <v>#VALUE!</v>
      </c>
      <c r="EO97" t="e">
        <f>AND(resultados!T64,"AAAAAFsbv5A=")</f>
        <v>#VALUE!</v>
      </c>
      <c r="EP97" t="e">
        <f>AND(resultados!U64,"AAAAAFsbv5E=")</f>
        <v>#VALUE!</v>
      </c>
      <c r="EQ97" t="e">
        <f>AND(resultados!V64,"AAAAAFsbv5I=")</f>
        <v>#VALUE!</v>
      </c>
      <c r="ER97" t="e">
        <f>AND(resultados!W64,"AAAAAFsbv5M=")</f>
        <v>#VALUE!</v>
      </c>
      <c r="ES97" t="e">
        <f>AND(resultados!X64,"AAAAAFsbv5Q=")</f>
        <v>#VALUE!</v>
      </c>
      <c r="ET97" t="e">
        <f>AND(resultados!Y64,"AAAAAFsbv5U=")</f>
        <v>#VALUE!</v>
      </c>
      <c r="EU97" t="e">
        <f>AND(resultados!Z64,"AAAAAFsbv5Y=")</f>
        <v>#VALUE!</v>
      </c>
      <c r="EV97" t="e">
        <f>AND(resultados!AA64,"AAAAAFsbv5c=")</f>
        <v>#VALUE!</v>
      </c>
      <c r="EW97" t="e">
        <f>AND(resultados!AB64,"AAAAAFsbv5g=")</f>
        <v>#VALUE!</v>
      </c>
      <c r="EX97" t="e">
        <f>AND(resultados!AC64,"AAAAAFsbv5k=")</f>
        <v>#VALUE!</v>
      </c>
      <c r="EY97" t="e">
        <f>AND(resultados!AD64,"AAAAAFsbv5o=")</f>
        <v>#VALUE!</v>
      </c>
      <c r="EZ97" t="e">
        <f>AND(resultados!AE64,"AAAAAFsbv5s=")</f>
        <v>#VALUE!</v>
      </c>
      <c r="FA97" t="e">
        <f>AND(resultados!AF64,"AAAAAFsbv5w=")</f>
        <v>#VALUE!</v>
      </c>
      <c r="FB97" t="e">
        <f>AND(resultados!AG64,"AAAAAFsbv50=")</f>
        <v>#VALUE!</v>
      </c>
      <c r="FC97" t="e">
        <f>AND(resultados!AH64,"AAAAAFsbv54=")</f>
        <v>#VALUE!</v>
      </c>
      <c r="FD97" t="e">
        <f>AND(resultados!AI64,"AAAAAFsbv58=")</f>
        <v>#VALUE!</v>
      </c>
      <c r="FE97">
        <f>IF(resultados!65:65,"AAAAAFsbv6A=",0)</f>
        <v>0</v>
      </c>
      <c r="FF97" t="e">
        <f>AND(resultados!#REF!,"AAAAAFsbv6E=")</f>
        <v>#REF!</v>
      </c>
      <c r="FG97" t="e">
        <f>AND(resultados!C65,"AAAAAFsbv6I=")</f>
        <v>#VALUE!</v>
      </c>
      <c r="FH97" t="e">
        <f>AND(resultados!D65,"AAAAAFsbv6M=")</f>
        <v>#VALUE!</v>
      </c>
      <c r="FI97" t="e">
        <f>AND(resultados!E65,"AAAAAFsbv6Q=")</f>
        <v>#VALUE!</v>
      </c>
      <c r="FJ97" t="e">
        <f>AND(resultados!#REF!,"AAAAAFsbv6U=")</f>
        <v>#REF!</v>
      </c>
      <c r="FK97" t="e">
        <f>AND(resultados!G65,"AAAAAFsbv6Y=")</f>
        <v>#VALUE!</v>
      </c>
      <c r="FL97" t="e">
        <f>AND(resultados!H65,"AAAAAFsbv6c=")</f>
        <v>#VALUE!</v>
      </c>
      <c r="FM97" t="e">
        <f>AND(resultados!I65,"AAAAAFsbv6g=")</f>
        <v>#VALUE!</v>
      </c>
      <c r="FN97" t="e">
        <f>AND(resultados!J65,"AAAAAFsbv6k=")</f>
        <v>#VALUE!</v>
      </c>
      <c r="FO97" t="e">
        <f>AND(resultados!K65,"AAAAAFsbv6o=")</f>
        <v>#VALUE!</v>
      </c>
      <c r="FP97" t="e">
        <f>AND(resultados!L65,"AAAAAFsbv6s=")</f>
        <v>#VALUE!</v>
      </c>
      <c r="FQ97" t="e">
        <f>AND(resultados!M65,"AAAAAFsbv6w=")</f>
        <v>#VALUE!</v>
      </c>
      <c r="FR97" t="e">
        <f>AND(resultados!N65,"AAAAAFsbv60=")</f>
        <v>#VALUE!</v>
      </c>
      <c r="FS97" t="e">
        <f>AND(resultados!O65,"AAAAAFsbv64=")</f>
        <v>#VALUE!</v>
      </c>
      <c r="FT97" t="e">
        <f>AND(resultados!P65,"AAAAAFsbv68=")</f>
        <v>#VALUE!</v>
      </c>
      <c r="FU97" t="e">
        <f>AND(resultados!Q65,"AAAAAFsbv7A=")</f>
        <v>#VALUE!</v>
      </c>
      <c r="FV97" t="e">
        <f>AND(resultados!R65,"AAAAAFsbv7E=")</f>
        <v>#VALUE!</v>
      </c>
      <c r="FW97" t="e">
        <f>AND(resultados!S65,"AAAAAFsbv7I=")</f>
        <v>#VALUE!</v>
      </c>
      <c r="FX97" t="e">
        <f>AND(resultados!T65,"AAAAAFsbv7M=")</f>
        <v>#VALUE!</v>
      </c>
      <c r="FY97" t="e">
        <f>AND(resultados!U65,"AAAAAFsbv7Q=")</f>
        <v>#VALUE!</v>
      </c>
      <c r="FZ97" t="e">
        <f>AND(resultados!V65,"AAAAAFsbv7U=")</f>
        <v>#VALUE!</v>
      </c>
      <c r="GA97" t="e">
        <f>AND(resultados!W65,"AAAAAFsbv7Y=")</f>
        <v>#VALUE!</v>
      </c>
      <c r="GB97" t="e">
        <f>AND(resultados!X65,"AAAAAFsbv7c=")</f>
        <v>#VALUE!</v>
      </c>
      <c r="GC97" t="e">
        <f>AND(resultados!Y65,"AAAAAFsbv7g=")</f>
        <v>#VALUE!</v>
      </c>
      <c r="GD97" t="e">
        <f>AND(resultados!Z65,"AAAAAFsbv7k=")</f>
        <v>#VALUE!</v>
      </c>
      <c r="GE97" t="e">
        <f>AND(resultados!AA65,"AAAAAFsbv7o=")</f>
        <v>#VALUE!</v>
      </c>
      <c r="GF97" t="e">
        <f>AND(resultados!AB65,"AAAAAFsbv7s=")</f>
        <v>#VALUE!</v>
      </c>
      <c r="GG97" t="e">
        <f>AND(resultados!AC65,"AAAAAFsbv7w=")</f>
        <v>#VALUE!</v>
      </c>
      <c r="GH97" t="e">
        <f>AND(resultados!AD65,"AAAAAFsbv70=")</f>
        <v>#VALUE!</v>
      </c>
      <c r="GI97" t="e">
        <f>AND(resultados!AE65,"AAAAAFsbv74=")</f>
        <v>#VALUE!</v>
      </c>
      <c r="GJ97" t="e">
        <f>AND(resultados!AF65,"AAAAAFsbv78=")</f>
        <v>#VALUE!</v>
      </c>
      <c r="GK97" t="e">
        <f>AND(resultados!AG65,"AAAAAFsbv8A=")</f>
        <v>#VALUE!</v>
      </c>
      <c r="GL97" t="e">
        <f>AND(resultados!AH65,"AAAAAFsbv8E=")</f>
        <v>#VALUE!</v>
      </c>
      <c r="GM97" t="e">
        <f>AND(resultados!AI65,"AAAAAFsbv8I=")</f>
        <v>#VALUE!</v>
      </c>
      <c r="GN97">
        <f>IF(resultados!66:66,"AAAAAFsbv8M=",0)</f>
        <v>0</v>
      </c>
      <c r="GO97" t="e">
        <f>AND(resultados!#REF!,"AAAAAFsbv8Q=")</f>
        <v>#REF!</v>
      </c>
      <c r="GP97" t="e">
        <f>AND(resultados!C66,"AAAAAFsbv8U=")</f>
        <v>#VALUE!</v>
      </c>
      <c r="GQ97" t="e">
        <f>AND(resultados!D66,"AAAAAFsbv8Y=")</f>
        <v>#VALUE!</v>
      </c>
      <c r="GR97" t="e">
        <f>AND(resultados!E66,"AAAAAFsbv8c=")</f>
        <v>#VALUE!</v>
      </c>
      <c r="GS97" t="e">
        <f>AND(resultados!#REF!,"AAAAAFsbv8g=")</f>
        <v>#REF!</v>
      </c>
      <c r="GT97" t="e">
        <f>AND(resultados!G66,"AAAAAFsbv8k=")</f>
        <v>#VALUE!</v>
      </c>
      <c r="GU97" t="e">
        <f>AND(resultados!H66,"AAAAAFsbv8o=")</f>
        <v>#VALUE!</v>
      </c>
      <c r="GV97" t="e">
        <f>AND(resultados!I66,"AAAAAFsbv8s=")</f>
        <v>#VALUE!</v>
      </c>
      <c r="GW97" t="e">
        <f>AND(resultados!J66,"AAAAAFsbv8w=")</f>
        <v>#VALUE!</v>
      </c>
      <c r="GX97" t="e">
        <f>AND(resultados!K66,"AAAAAFsbv80=")</f>
        <v>#VALUE!</v>
      </c>
      <c r="GY97" t="e">
        <f>AND(resultados!L66,"AAAAAFsbv84=")</f>
        <v>#VALUE!</v>
      </c>
      <c r="GZ97" t="e">
        <f>AND(resultados!M66,"AAAAAFsbv88=")</f>
        <v>#VALUE!</v>
      </c>
      <c r="HA97" t="e">
        <f>AND(resultados!N66,"AAAAAFsbv9A=")</f>
        <v>#VALUE!</v>
      </c>
      <c r="HB97" t="e">
        <f>AND(resultados!O66,"AAAAAFsbv9E=")</f>
        <v>#VALUE!</v>
      </c>
      <c r="HC97" t="e">
        <f>AND(resultados!P66,"AAAAAFsbv9I=")</f>
        <v>#VALUE!</v>
      </c>
      <c r="HD97" t="e">
        <f>AND(resultados!Q66,"AAAAAFsbv9M=")</f>
        <v>#VALUE!</v>
      </c>
      <c r="HE97" t="e">
        <f>AND(resultados!R66,"AAAAAFsbv9Q=")</f>
        <v>#VALUE!</v>
      </c>
      <c r="HF97" t="e">
        <f>AND(resultados!S66,"AAAAAFsbv9U=")</f>
        <v>#VALUE!</v>
      </c>
      <c r="HG97" t="e">
        <f>AND(resultados!T66,"AAAAAFsbv9Y=")</f>
        <v>#VALUE!</v>
      </c>
      <c r="HH97" t="e">
        <f>AND(resultados!U66,"AAAAAFsbv9c=")</f>
        <v>#VALUE!</v>
      </c>
      <c r="HI97" t="e">
        <f>AND(resultados!V66,"AAAAAFsbv9g=")</f>
        <v>#VALUE!</v>
      </c>
      <c r="HJ97" t="e">
        <f>AND(resultados!W66,"AAAAAFsbv9k=")</f>
        <v>#VALUE!</v>
      </c>
      <c r="HK97" t="e">
        <f>AND(resultados!X66,"AAAAAFsbv9o=")</f>
        <v>#VALUE!</v>
      </c>
      <c r="HL97" t="e">
        <f>AND(resultados!Y66,"AAAAAFsbv9s=")</f>
        <v>#VALUE!</v>
      </c>
      <c r="HM97" t="e">
        <f>AND(resultados!Z66,"AAAAAFsbv9w=")</f>
        <v>#VALUE!</v>
      </c>
      <c r="HN97" t="e">
        <f>AND(resultados!AA66,"AAAAAFsbv90=")</f>
        <v>#VALUE!</v>
      </c>
      <c r="HO97" t="e">
        <f>AND(resultados!AB66,"AAAAAFsbv94=")</f>
        <v>#VALUE!</v>
      </c>
      <c r="HP97" t="e">
        <f>AND(resultados!AC66,"AAAAAFsbv98=")</f>
        <v>#VALUE!</v>
      </c>
      <c r="HQ97" t="e">
        <f>AND(resultados!AD66,"AAAAAFsbv+A=")</f>
        <v>#VALUE!</v>
      </c>
      <c r="HR97" t="e">
        <f>AND(resultados!AE66,"AAAAAFsbv+E=")</f>
        <v>#VALUE!</v>
      </c>
      <c r="HS97" t="e">
        <f>AND(resultados!AF66,"AAAAAFsbv+I=")</f>
        <v>#VALUE!</v>
      </c>
      <c r="HT97" t="e">
        <f>AND(resultados!AG66,"AAAAAFsbv+M=")</f>
        <v>#VALUE!</v>
      </c>
      <c r="HU97" t="e">
        <f>AND(resultados!AH66,"AAAAAFsbv+Q=")</f>
        <v>#VALUE!</v>
      </c>
      <c r="HV97" t="e">
        <f>AND(resultados!AI66,"AAAAAFsbv+U=")</f>
        <v>#VALUE!</v>
      </c>
      <c r="HW97">
        <f>IF(resultados!67:67,"AAAAAFsbv+Y=",0)</f>
        <v>0</v>
      </c>
      <c r="HX97" t="e">
        <f>AND(resultados!#REF!,"AAAAAFsbv+c=")</f>
        <v>#REF!</v>
      </c>
      <c r="HY97" t="e">
        <f>AND(resultados!C67,"AAAAAFsbv+g=")</f>
        <v>#VALUE!</v>
      </c>
      <c r="HZ97" t="e">
        <f>AND(resultados!D67,"AAAAAFsbv+k=")</f>
        <v>#VALUE!</v>
      </c>
      <c r="IA97" t="e">
        <f>AND(resultados!E67,"AAAAAFsbv+o=")</f>
        <v>#VALUE!</v>
      </c>
      <c r="IB97" t="e">
        <f>AND(resultados!#REF!,"AAAAAFsbv+s=")</f>
        <v>#REF!</v>
      </c>
      <c r="IC97" t="e">
        <f>AND(resultados!G67,"AAAAAFsbv+w=")</f>
        <v>#VALUE!</v>
      </c>
      <c r="ID97" t="e">
        <f>AND(resultados!H67,"AAAAAFsbv+0=")</f>
        <v>#VALUE!</v>
      </c>
      <c r="IE97" t="e">
        <f>AND(resultados!I67,"AAAAAFsbv+4=")</f>
        <v>#VALUE!</v>
      </c>
      <c r="IF97" t="e">
        <f>AND(resultados!J67,"AAAAAFsbv+8=")</f>
        <v>#VALUE!</v>
      </c>
      <c r="IG97" t="e">
        <f>AND(resultados!K67,"AAAAAFsbv/A=")</f>
        <v>#VALUE!</v>
      </c>
      <c r="IH97" t="e">
        <f>AND(resultados!L67,"AAAAAFsbv/E=")</f>
        <v>#VALUE!</v>
      </c>
      <c r="II97" t="e">
        <f>AND(resultados!M67,"AAAAAFsbv/I=")</f>
        <v>#VALUE!</v>
      </c>
      <c r="IJ97" t="e">
        <f>AND(resultados!N67,"AAAAAFsbv/M=")</f>
        <v>#VALUE!</v>
      </c>
      <c r="IK97" t="e">
        <f>AND(resultados!O67,"AAAAAFsbv/Q=")</f>
        <v>#VALUE!</v>
      </c>
      <c r="IL97" t="e">
        <f>AND(resultados!P67,"AAAAAFsbv/U=")</f>
        <v>#VALUE!</v>
      </c>
      <c r="IM97" t="e">
        <f>AND(resultados!Q67,"AAAAAFsbv/Y=")</f>
        <v>#VALUE!</v>
      </c>
      <c r="IN97" t="e">
        <f>AND(resultados!R67,"AAAAAFsbv/c=")</f>
        <v>#VALUE!</v>
      </c>
      <c r="IO97" t="e">
        <f>AND(resultados!S67,"AAAAAFsbv/g=")</f>
        <v>#VALUE!</v>
      </c>
      <c r="IP97" t="e">
        <f>AND(resultados!T67,"AAAAAFsbv/k=")</f>
        <v>#VALUE!</v>
      </c>
      <c r="IQ97" t="e">
        <f>AND(resultados!U67,"AAAAAFsbv/o=")</f>
        <v>#VALUE!</v>
      </c>
      <c r="IR97" t="e">
        <f>AND(resultados!V67,"AAAAAFsbv/s=")</f>
        <v>#VALUE!</v>
      </c>
      <c r="IS97" t="e">
        <f>AND(resultados!W67,"AAAAAFsbv/w=")</f>
        <v>#VALUE!</v>
      </c>
      <c r="IT97" t="e">
        <f>AND(resultados!X67,"AAAAAFsbv/0=")</f>
        <v>#VALUE!</v>
      </c>
      <c r="IU97" t="e">
        <f>AND(resultados!Y67,"AAAAAFsbv/4=")</f>
        <v>#VALUE!</v>
      </c>
      <c r="IV97" t="e">
        <f>AND(resultados!Z67,"AAAAAFsbv/8=")</f>
        <v>#VALUE!</v>
      </c>
    </row>
    <row r="98" spans="1:256" x14ac:dyDescent="0.2">
      <c r="A98" t="e">
        <f>AND(resultados!AA67,"AAAAAG7u9QA=")</f>
        <v>#VALUE!</v>
      </c>
      <c r="B98" t="e">
        <f>AND(resultados!AB67,"AAAAAG7u9QE=")</f>
        <v>#VALUE!</v>
      </c>
      <c r="C98" t="e">
        <f>AND(resultados!AC67,"AAAAAG7u9QI=")</f>
        <v>#VALUE!</v>
      </c>
      <c r="D98" t="e">
        <f>AND(resultados!AD67,"AAAAAG7u9QM=")</f>
        <v>#VALUE!</v>
      </c>
      <c r="E98" t="e">
        <f>AND(resultados!AE67,"AAAAAG7u9QQ=")</f>
        <v>#VALUE!</v>
      </c>
      <c r="F98" t="e">
        <f>AND(resultados!AF67,"AAAAAG7u9QU=")</f>
        <v>#VALUE!</v>
      </c>
      <c r="G98" t="e">
        <f>AND(resultados!AG67,"AAAAAG7u9QY=")</f>
        <v>#VALUE!</v>
      </c>
      <c r="H98" t="e">
        <f>AND(resultados!AH67,"AAAAAG7u9Qc=")</f>
        <v>#VALUE!</v>
      </c>
      <c r="I98" t="e">
        <f>AND(resultados!AI67,"AAAAAG7u9Qg=")</f>
        <v>#VALUE!</v>
      </c>
      <c r="J98">
        <f>IF(resultados!68:68,"AAAAAG7u9Qk=",0)</f>
        <v>0</v>
      </c>
      <c r="K98" t="e">
        <f>AND(resultados!#REF!,"AAAAAG7u9Qo=")</f>
        <v>#REF!</v>
      </c>
      <c r="L98" t="e">
        <f>AND(resultados!C68,"AAAAAG7u9Qs=")</f>
        <v>#VALUE!</v>
      </c>
      <c r="M98" t="e">
        <f>AND(resultados!D68,"AAAAAG7u9Qw=")</f>
        <v>#VALUE!</v>
      </c>
      <c r="N98" t="e">
        <f>AND(resultados!E68,"AAAAAG7u9Q0=")</f>
        <v>#VALUE!</v>
      </c>
      <c r="O98" t="e">
        <f>AND(resultados!#REF!,"AAAAAG7u9Q4=")</f>
        <v>#REF!</v>
      </c>
      <c r="P98" t="e">
        <f>AND(resultados!G68,"AAAAAG7u9Q8=")</f>
        <v>#VALUE!</v>
      </c>
      <c r="Q98" t="e">
        <f>AND(resultados!H68,"AAAAAG7u9RA=")</f>
        <v>#VALUE!</v>
      </c>
      <c r="R98" t="e">
        <f>AND(resultados!I68,"AAAAAG7u9RE=")</f>
        <v>#VALUE!</v>
      </c>
      <c r="S98" t="e">
        <f>AND(resultados!J68,"AAAAAG7u9RI=")</f>
        <v>#VALUE!</v>
      </c>
      <c r="T98" t="e">
        <f>AND(resultados!K68,"AAAAAG7u9RM=")</f>
        <v>#VALUE!</v>
      </c>
      <c r="U98" t="e">
        <f>AND(resultados!L68,"AAAAAG7u9RQ=")</f>
        <v>#VALUE!</v>
      </c>
      <c r="V98" t="e">
        <f>AND(resultados!M68,"AAAAAG7u9RU=")</f>
        <v>#VALUE!</v>
      </c>
      <c r="W98" t="e">
        <f>AND(resultados!N68,"AAAAAG7u9RY=")</f>
        <v>#VALUE!</v>
      </c>
      <c r="X98" t="e">
        <f>AND(resultados!O68,"AAAAAG7u9Rc=")</f>
        <v>#VALUE!</v>
      </c>
      <c r="Y98" t="e">
        <f>AND(resultados!P68,"AAAAAG7u9Rg=")</f>
        <v>#VALUE!</v>
      </c>
      <c r="Z98" t="e">
        <f>AND(resultados!Q68,"AAAAAG7u9Rk=")</f>
        <v>#VALUE!</v>
      </c>
      <c r="AA98" t="e">
        <f>AND(resultados!R68,"AAAAAG7u9Ro=")</f>
        <v>#VALUE!</v>
      </c>
      <c r="AB98" t="e">
        <f>AND(resultados!S68,"AAAAAG7u9Rs=")</f>
        <v>#VALUE!</v>
      </c>
      <c r="AC98" t="e">
        <f>AND(resultados!T68,"AAAAAG7u9Rw=")</f>
        <v>#VALUE!</v>
      </c>
      <c r="AD98" t="e">
        <f>AND(resultados!U68,"AAAAAG7u9R0=")</f>
        <v>#VALUE!</v>
      </c>
      <c r="AE98" t="e">
        <f>AND(resultados!V68,"AAAAAG7u9R4=")</f>
        <v>#VALUE!</v>
      </c>
      <c r="AF98" t="e">
        <f>AND(resultados!W68,"AAAAAG7u9R8=")</f>
        <v>#VALUE!</v>
      </c>
      <c r="AG98" t="e">
        <f>AND(resultados!X68,"AAAAAG7u9SA=")</f>
        <v>#VALUE!</v>
      </c>
      <c r="AH98" t="e">
        <f>AND(resultados!Y68,"AAAAAG7u9SE=")</f>
        <v>#VALUE!</v>
      </c>
      <c r="AI98" t="e">
        <f>AND(resultados!Z68,"AAAAAG7u9SI=")</f>
        <v>#VALUE!</v>
      </c>
      <c r="AJ98" t="e">
        <f>AND(resultados!AA68,"AAAAAG7u9SM=")</f>
        <v>#VALUE!</v>
      </c>
      <c r="AK98" t="e">
        <f>AND(resultados!AB68,"AAAAAG7u9SQ=")</f>
        <v>#VALUE!</v>
      </c>
      <c r="AL98" t="e">
        <f>AND(resultados!AC68,"AAAAAG7u9SU=")</f>
        <v>#VALUE!</v>
      </c>
      <c r="AM98" t="e">
        <f>AND(resultados!AD68,"AAAAAG7u9SY=")</f>
        <v>#VALUE!</v>
      </c>
      <c r="AN98" t="e">
        <f>AND(resultados!AE68,"AAAAAG7u9Sc=")</f>
        <v>#VALUE!</v>
      </c>
      <c r="AO98" t="e">
        <f>AND(resultados!AF68,"AAAAAG7u9Sg=")</f>
        <v>#VALUE!</v>
      </c>
      <c r="AP98" t="e">
        <f>AND(resultados!AG68,"AAAAAG7u9Sk=")</f>
        <v>#VALUE!</v>
      </c>
      <c r="AQ98" t="e">
        <f>AND(resultados!AH68,"AAAAAG7u9So=")</f>
        <v>#VALUE!</v>
      </c>
      <c r="AR98" t="e">
        <f>AND(resultados!AI68,"AAAAAG7u9Ss=")</f>
        <v>#VALUE!</v>
      </c>
      <c r="AS98">
        <f>IF(resultados!69:69,"AAAAAG7u9Sw=",0)</f>
        <v>0</v>
      </c>
      <c r="AT98" t="e">
        <f>AND(resultados!#REF!,"AAAAAG7u9S0=")</f>
        <v>#REF!</v>
      </c>
      <c r="AU98" t="e">
        <f>AND(resultados!C69,"AAAAAG7u9S4=")</f>
        <v>#VALUE!</v>
      </c>
      <c r="AV98" t="e">
        <f>AND(resultados!D69,"AAAAAG7u9S8=")</f>
        <v>#VALUE!</v>
      </c>
      <c r="AW98" t="e">
        <f>AND(resultados!E69,"AAAAAG7u9TA=")</f>
        <v>#VALUE!</v>
      </c>
      <c r="AX98" t="e">
        <f>AND(resultados!#REF!,"AAAAAG7u9TE=")</f>
        <v>#REF!</v>
      </c>
      <c r="AY98" t="e">
        <f>AND(resultados!G69,"AAAAAG7u9TI=")</f>
        <v>#VALUE!</v>
      </c>
      <c r="AZ98" t="e">
        <f>AND(resultados!H69,"AAAAAG7u9TM=")</f>
        <v>#VALUE!</v>
      </c>
      <c r="BA98" t="e">
        <f>AND(resultados!I69,"AAAAAG7u9TQ=")</f>
        <v>#VALUE!</v>
      </c>
      <c r="BB98" t="e">
        <f>AND(resultados!J69,"AAAAAG7u9TU=")</f>
        <v>#VALUE!</v>
      </c>
      <c r="BC98" t="e">
        <f>AND(resultados!K69,"AAAAAG7u9TY=")</f>
        <v>#VALUE!</v>
      </c>
      <c r="BD98" t="e">
        <f>AND(resultados!L69,"AAAAAG7u9Tc=")</f>
        <v>#VALUE!</v>
      </c>
      <c r="BE98" t="e">
        <f>AND(resultados!M69,"AAAAAG7u9Tg=")</f>
        <v>#VALUE!</v>
      </c>
      <c r="BF98" t="e">
        <f>AND(resultados!N69,"AAAAAG7u9Tk=")</f>
        <v>#VALUE!</v>
      </c>
      <c r="BG98" t="e">
        <f>AND(resultados!O69,"AAAAAG7u9To=")</f>
        <v>#VALUE!</v>
      </c>
      <c r="BH98" t="e">
        <f>AND(resultados!P69,"AAAAAG7u9Ts=")</f>
        <v>#VALUE!</v>
      </c>
      <c r="BI98" t="e">
        <f>AND(resultados!Q69,"AAAAAG7u9Tw=")</f>
        <v>#VALUE!</v>
      </c>
      <c r="BJ98" t="e">
        <f>AND(resultados!R69,"AAAAAG7u9T0=")</f>
        <v>#VALUE!</v>
      </c>
      <c r="BK98" t="e">
        <f>AND(resultados!S69,"AAAAAG7u9T4=")</f>
        <v>#VALUE!</v>
      </c>
      <c r="BL98" t="e">
        <f>AND(resultados!T69,"AAAAAG7u9T8=")</f>
        <v>#VALUE!</v>
      </c>
      <c r="BM98" t="e">
        <f>AND(resultados!U69,"AAAAAG7u9UA=")</f>
        <v>#VALUE!</v>
      </c>
      <c r="BN98" t="e">
        <f>AND(resultados!V69,"AAAAAG7u9UE=")</f>
        <v>#VALUE!</v>
      </c>
      <c r="BO98" t="e">
        <f>AND(resultados!W69,"AAAAAG7u9UI=")</f>
        <v>#VALUE!</v>
      </c>
      <c r="BP98" t="e">
        <f>AND(resultados!X69,"AAAAAG7u9UM=")</f>
        <v>#VALUE!</v>
      </c>
      <c r="BQ98" t="e">
        <f>AND(resultados!Y69,"AAAAAG7u9UQ=")</f>
        <v>#VALUE!</v>
      </c>
      <c r="BR98" t="e">
        <f>AND(resultados!Z69,"AAAAAG7u9UU=")</f>
        <v>#VALUE!</v>
      </c>
      <c r="BS98" t="e">
        <f>AND(resultados!AA69,"AAAAAG7u9UY=")</f>
        <v>#VALUE!</v>
      </c>
      <c r="BT98" t="e">
        <f>AND(resultados!AB69,"AAAAAG7u9Uc=")</f>
        <v>#VALUE!</v>
      </c>
      <c r="BU98" t="e">
        <f>AND(resultados!AC69,"AAAAAG7u9Ug=")</f>
        <v>#VALUE!</v>
      </c>
      <c r="BV98" t="e">
        <f>AND(resultados!AD69,"AAAAAG7u9Uk=")</f>
        <v>#VALUE!</v>
      </c>
      <c r="BW98" t="e">
        <f>AND(resultados!AE69,"AAAAAG7u9Uo=")</f>
        <v>#VALUE!</v>
      </c>
      <c r="BX98" t="e">
        <f>AND(resultados!AF69,"AAAAAG7u9Us=")</f>
        <v>#VALUE!</v>
      </c>
      <c r="BY98" t="e">
        <f>AND(resultados!AG69,"AAAAAG7u9Uw=")</f>
        <v>#VALUE!</v>
      </c>
      <c r="BZ98" t="e">
        <f>AND(resultados!AH69,"AAAAAG7u9U0=")</f>
        <v>#VALUE!</v>
      </c>
      <c r="CA98" t="e">
        <f>AND(resultados!AI69,"AAAAAG7u9U4=")</f>
        <v>#VALUE!</v>
      </c>
      <c r="CB98">
        <f>IF(resultados!70:70,"AAAAAG7u9U8=",0)</f>
        <v>0</v>
      </c>
      <c r="CC98" t="e">
        <f>AND(resultados!#REF!,"AAAAAG7u9VA=")</f>
        <v>#REF!</v>
      </c>
      <c r="CD98" t="e">
        <f>AND(resultados!C70,"AAAAAG7u9VE=")</f>
        <v>#VALUE!</v>
      </c>
      <c r="CE98" t="e">
        <f>AND(resultados!D70,"AAAAAG7u9VI=")</f>
        <v>#VALUE!</v>
      </c>
      <c r="CF98" t="e">
        <f>AND(resultados!E70,"AAAAAG7u9VM=")</f>
        <v>#VALUE!</v>
      </c>
      <c r="CG98" t="e">
        <f>AND(resultados!#REF!,"AAAAAG7u9VQ=")</f>
        <v>#REF!</v>
      </c>
      <c r="CH98" t="e">
        <f>AND(resultados!G70,"AAAAAG7u9VU=")</f>
        <v>#VALUE!</v>
      </c>
      <c r="CI98" t="e">
        <f>AND(resultados!H70,"AAAAAG7u9VY=")</f>
        <v>#VALUE!</v>
      </c>
      <c r="CJ98" t="e">
        <f>AND(resultados!I70,"AAAAAG7u9Vc=")</f>
        <v>#VALUE!</v>
      </c>
      <c r="CK98" t="e">
        <f>AND(resultados!J70,"AAAAAG7u9Vg=")</f>
        <v>#VALUE!</v>
      </c>
      <c r="CL98" t="e">
        <f>AND(resultados!K70,"AAAAAG7u9Vk=")</f>
        <v>#VALUE!</v>
      </c>
      <c r="CM98" t="e">
        <f>AND(resultados!L70,"AAAAAG7u9Vo=")</f>
        <v>#VALUE!</v>
      </c>
      <c r="CN98" t="e">
        <f>AND(resultados!M70,"AAAAAG7u9Vs=")</f>
        <v>#VALUE!</v>
      </c>
      <c r="CO98" t="e">
        <f>AND(resultados!N70,"AAAAAG7u9Vw=")</f>
        <v>#VALUE!</v>
      </c>
      <c r="CP98" t="e">
        <f>AND(resultados!O70,"AAAAAG7u9V0=")</f>
        <v>#VALUE!</v>
      </c>
      <c r="CQ98" t="e">
        <f>AND(resultados!P70,"AAAAAG7u9V4=")</f>
        <v>#VALUE!</v>
      </c>
      <c r="CR98" t="e">
        <f>AND(resultados!Q70,"AAAAAG7u9V8=")</f>
        <v>#VALUE!</v>
      </c>
      <c r="CS98" t="e">
        <f>AND(resultados!R70,"AAAAAG7u9WA=")</f>
        <v>#VALUE!</v>
      </c>
      <c r="CT98" t="e">
        <f>AND(resultados!S70,"AAAAAG7u9WE=")</f>
        <v>#VALUE!</v>
      </c>
      <c r="CU98" t="e">
        <f>AND(resultados!T70,"AAAAAG7u9WI=")</f>
        <v>#VALUE!</v>
      </c>
      <c r="CV98" t="e">
        <f>AND(resultados!U70,"AAAAAG7u9WM=")</f>
        <v>#VALUE!</v>
      </c>
      <c r="CW98" t="e">
        <f>AND(resultados!V70,"AAAAAG7u9WQ=")</f>
        <v>#VALUE!</v>
      </c>
      <c r="CX98" t="e">
        <f>AND(resultados!W70,"AAAAAG7u9WU=")</f>
        <v>#VALUE!</v>
      </c>
      <c r="CY98" t="e">
        <f>AND(resultados!X70,"AAAAAG7u9WY=")</f>
        <v>#VALUE!</v>
      </c>
      <c r="CZ98" t="e">
        <f>AND(resultados!Y70,"AAAAAG7u9Wc=")</f>
        <v>#VALUE!</v>
      </c>
      <c r="DA98" t="e">
        <f>AND(resultados!Z70,"AAAAAG7u9Wg=")</f>
        <v>#VALUE!</v>
      </c>
      <c r="DB98" t="e">
        <f>AND(resultados!AA70,"AAAAAG7u9Wk=")</f>
        <v>#VALUE!</v>
      </c>
      <c r="DC98" t="e">
        <f>AND(resultados!AB70,"AAAAAG7u9Wo=")</f>
        <v>#VALUE!</v>
      </c>
      <c r="DD98" t="e">
        <f>AND(resultados!AC70,"AAAAAG7u9Ws=")</f>
        <v>#VALUE!</v>
      </c>
      <c r="DE98" t="e">
        <f>AND(resultados!AD70,"AAAAAG7u9Ww=")</f>
        <v>#VALUE!</v>
      </c>
      <c r="DF98" t="e">
        <f>AND(resultados!AE70,"AAAAAG7u9W0=")</f>
        <v>#VALUE!</v>
      </c>
      <c r="DG98" t="e">
        <f>AND(resultados!AF70,"AAAAAG7u9W4=")</f>
        <v>#VALUE!</v>
      </c>
      <c r="DH98" t="e">
        <f>AND(resultados!AG70,"AAAAAG7u9W8=")</f>
        <v>#VALUE!</v>
      </c>
      <c r="DI98" t="e">
        <f>AND(resultados!AH70,"AAAAAG7u9XA=")</f>
        <v>#VALUE!</v>
      </c>
      <c r="DJ98" t="e">
        <f>AND(resultados!AI70,"AAAAAG7u9XE=")</f>
        <v>#VALUE!</v>
      </c>
      <c r="DK98">
        <f>IF(resultados!71:71,"AAAAAG7u9XI=",0)</f>
        <v>0</v>
      </c>
      <c r="DL98" t="e">
        <f>AND(resultados!#REF!,"AAAAAG7u9XM=")</f>
        <v>#REF!</v>
      </c>
      <c r="DM98" t="e">
        <f>AND(resultados!C71,"AAAAAG7u9XQ=")</f>
        <v>#VALUE!</v>
      </c>
      <c r="DN98" t="e">
        <f>AND(resultados!D71,"AAAAAG7u9XU=")</f>
        <v>#VALUE!</v>
      </c>
      <c r="DO98" t="e">
        <f>AND(resultados!E71,"AAAAAG7u9XY=")</f>
        <v>#VALUE!</v>
      </c>
      <c r="DP98" t="e">
        <f>AND(resultados!#REF!,"AAAAAG7u9Xc=")</f>
        <v>#REF!</v>
      </c>
      <c r="DQ98" t="e">
        <f>AND(resultados!G71,"AAAAAG7u9Xg=")</f>
        <v>#VALUE!</v>
      </c>
      <c r="DR98" t="e">
        <f>AND(resultados!H71,"AAAAAG7u9Xk=")</f>
        <v>#VALUE!</v>
      </c>
      <c r="DS98" t="e">
        <f>AND(resultados!I71,"AAAAAG7u9Xo=")</f>
        <v>#VALUE!</v>
      </c>
      <c r="DT98" t="e">
        <f>AND(resultados!J71,"AAAAAG7u9Xs=")</f>
        <v>#VALUE!</v>
      </c>
      <c r="DU98" t="e">
        <f>AND(resultados!K71,"AAAAAG7u9Xw=")</f>
        <v>#VALUE!</v>
      </c>
      <c r="DV98" t="e">
        <f>AND(resultados!L71,"AAAAAG7u9X0=")</f>
        <v>#VALUE!</v>
      </c>
      <c r="DW98" t="e">
        <f>AND(resultados!M71,"AAAAAG7u9X4=")</f>
        <v>#VALUE!</v>
      </c>
      <c r="DX98" t="e">
        <f>AND(resultados!N71,"AAAAAG7u9X8=")</f>
        <v>#VALUE!</v>
      </c>
      <c r="DY98" t="e">
        <f>AND(resultados!O71,"AAAAAG7u9YA=")</f>
        <v>#VALUE!</v>
      </c>
      <c r="DZ98" t="e">
        <f>AND(resultados!P71,"AAAAAG7u9YE=")</f>
        <v>#VALUE!</v>
      </c>
      <c r="EA98" t="e">
        <f>AND(resultados!Q71,"AAAAAG7u9YI=")</f>
        <v>#VALUE!</v>
      </c>
      <c r="EB98" t="e">
        <f>AND(resultados!R71,"AAAAAG7u9YM=")</f>
        <v>#VALUE!</v>
      </c>
      <c r="EC98" t="e">
        <f>AND(resultados!S71,"AAAAAG7u9YQ=")</f>
        <v>#VALUE!</v>
      </c>
      <c r="ED98" t="e">
        <f>AND(resultados!T71,"AAAAAG7u9YU=")</f>
        <v>#VALUE!</v>
      </c>
      <c r="EE98" t="e">
        <f>AND(resultados!U71,"AAAAAG7u9YY=")</f>
        <v>#VALUE!</v>
      </c>
      <c r="EF98" t="e">
        <f>AND(resultados!V71,"AAAAAG7u9Yc=")</f>
        <v>#VALUE!</v>
      </c>
      <c r="EG98" t="e">
        <f>AND(resultados!W71,"AAAAAG7u9Yg=")</f>
        <v>#VALUE!</v>
      </c>
      <c r="EH98" t="e">
        <f>AND(resultados!X71,"AAAAAG7u9Yk=")</f>
        <v>#VALUE!</v>
      </c>
      <c r="EI98" t="e">
        <f>AND(resultados!Y71,"AAAAAG7u9Yo=")</f>
        <v>#VALUE!</v>
      </c>
      <c r="EJ98" t="e">
        <f>AND(resultados!Z71,"AAAAAG7u9Ys=")</f>
        <v>#VALUE!</v>
      </c>
      <c r="EK98" t="e">
        <f>AND(resultados!AA71,"AAAAAG7u9Yw=")</f>
        <v>#VALUE!</v>
      </c>
      <c r="EL98" t="e">
        <f>AND(resultados!AB71,"AAAAAG7u9Y0=")</f>
        <v>#VALUE!</v>
      </c>
      <c r="EM98" t="e">
        <f>AND(resultados!AC71,"AAAAAG7u9Y4=")</f>
        <v>#VALUE!</v>
      </c>
      <c r="EN98" t="e">
        <f>AND(resultados!AD71,"AAAAAG7u9Y8=")</f>
        <v>#VALUE!</v>
      </c>
      <c r="EO98" t="e">
        <f>AND(resultados!AE71,"AAAAAG7u9ZA=")</f>
        <v>#VALUE!</v>
      </c>
      <c r="EP98" t="e">
        <f>AND(resultados!AF71,"AAAAAG7u9ZE=")</f>
        <v>#VALUE!</v>
      </c>
      <c r="EQ98" t="e">
        <f>AND(resultados!AG71,"AAAAAG7u9ZI=")</f>
        <v>#VALUE!</v>
      </c>
      <c r="ER98" t="e">
        <f>AND(resultados!AH71,"AAAAAG7u9ZM=")</f>
        <v>#VALUE!</v>
      </c>
      <c r="ES98" t="e">
        <f>AND(resultados!AI71,"AAAAAG7u9ZQ=")</f>
        <v>#VALUE!</v>
      </c>
      <c r="ET98">
        <f>IF(resultados!72:72,"AAAAAG7u9ZU=",0)</f>
        <v>0</v>
      </c>
      <c r="EU98" t="e">
        <f>AND(resultados!#REF!,"AAAAAG7u9ZY=")</f>
        <v>#REF!</v>
      </c>
      <c r="EV98" t="e">
        <f>AND(resultados!C72,"AAAAAG7u9Zc=")</f>
        <v>#VALUE!</v>
      </c>
      <c r="EW98" t="e">
        <f>AND(resultados!D72,"AAAAAG7u9Zg=")</f>
        <v>#VALUE!</v>
      </c>
      <c r="EX98" t="e">
        <f>AND(resultados!E72,"AAAAAG7u9Zk=")</f>
        <v>#VALUE!</v>
      </c>
      <c r="EY98" t="e">
        <f>AND(resultados!#REF!,"AAAAAG7u9Zo=")</f>
        <v>#REF!</v>
      </c>
      <c r="EZ98" t="e">
        <f>AND(resultados!G72,"AAAAAG7u9Zs=")</f>
        <v>#VALUE!</v>
      </c>
      <c r="FA98" t="e">
        <f>AND(resultados!H72,"AAAAAG7u9Zw=")</f>
        <v>#VALUE!</v>
      </c>
      <c r="FB98" t="e">
        <f>AND(resultados!I72,"AAAAAG7u9Z0=")</f>
        <v>#VALUE!</v>
      </c>
      <c r="FC98" t="e">
        <f>AND(resultados!J72,"AAAAAG7u9Z4=")</f>
        <v>#VALUE!</v>
      </c>
      <c r="FD98" t="e">
        <f>AND(resultados!K72,"AAAAAG7u9Z8=")</f>
        <v>#VALUE!</v>
      </c>
      <c r="FE98" t="e">
        <f>AND(resultados!L72,"AAAAAG7u9aA=")</f>
        <v>#VALUE!</v>
      </c>
      <c r="FF98" t="e">
        <f>AND(resultados!M72,"AAAAAG7u9aE=")</f>
        <v>#VALUE!</v>
      </c>
      <c r="FG98" t="e">
        <f>AND(resultados!N72,"AAAAAG7u9aI=")</f>
        <v>#VALUE!</v>
      </c>
      <c r="FH98" t="e">
        <f>AND(resultados!O72,"AAAAAG7u9aM=")</f>
        <v>#VALUE!</v>
      </c>
      <c r="FI98" t="e">
        <f>AND(resultados!P72,"AAAAAG7u9aQ=")</f>
        <v>#VALUE!</v>
      </c>
      <c r="FJ98" t="e">
        <f>AND(resultados!Q72,"AAAAAG7u9aU=")</f>
        <v>#VALUE!</v>
      </c>
      <c r="FK98" t="e">
        <f>AND(resultados!R72,"AAAAAG7u9aY=")</f>
        <v>#VALUE!</v>
      </c>
      <c r="FL98" t="e">
        <f>AND(resultados!S72,"AAAAAG7u9ac=")</f>
        <v>#VALUE!</v>
      </c>
      <c r="FM98" t="e">
        <f>AND(resultados!T72,"AAAAAG7u9ag=")</f>
        <v>#VALUE!</v>
      </c>
      <c r="FN98" t="e">
        <f>AND(resultados!U72,"AAAAAG7u9ak=")</f>
        <v>#VALUE!</v>
      </c>
      <c r="FO98" t="e">
        <f>AND(resultados!V72,"AAAAAG7u9ao=")</f>
        <v>#VALUE!</v>
      </c>
      <c r="FP98" t="e">
        <f>AND(resultados!W72,"AAAAAG7u9as=")</f>
        <v>#VALUE!</v>
      </c>
      <c r="FQ98" t="e">
        <f>AND(resultados!X72,"AAAAAG7u9aw=")</f>
        <v>#VALUE!</v>
      </c>
      <c r="FR98" t="e">
        <f>AND(resultados!Y72,"AAAAAG7u9a0=")</f>
        <v>#VALUE!</v>
      </c>
      <c r="FS98" t="e">
        <f>AND(resultados!Z72,"AAAAAG7u9a4=")</f>
        <v>#VALUE!</v>
      </c>
      <c r="FT98" t="e">
        <f>AND(resultados!AA72,"AAAAAG7u9a8=")</f>
        <v>#VALUE!</v>
      </c>
      <c r="FU98" t="e">
        <f>AND(resultados!AB72,"AAAAAG7u9bA=")</f>
        <v>#VALUE!</v>
      </c>
      <c r="FV98" t="e">
        <f>AND(resultados!AC72,"AAAAAG7u9bE=")</f>
        <v>#VALUE!</v>
      </c>
      <c r="FW98" t="e">
        <f>AND(resultados!AD72,"AAAAAG7u9bI=")</f>
        <v>#VALUE!</v>
      </c>
      <c r="FX98" t="e">
        <f>AND(resultados!AE72,"AAAAAG7u9bM=")</f>
        <v>#VALUE!</v>
      </c>
      <c r="FY98" t="e">
        <f>AND(resultados!AF72,"AAAAAG7u9bQ=")</f>
        <v>#VALUE!</v>
      </c>
      <c r="FZ98" t="e">
        <f>AND(resultados!AG72,"AAAAAG7u9bU=")</f>
        <v>#VALUE!</v>
      </c>
      <c r="GA98" t="e">
        <f>AND(resultados!AH72,"AAAAAG7u9bY=")</f>
        <v>#VALUE!</v>
      </c>
      <c r="GB98" t="e">
        <f>AND(resultados!AI72,"AAAAAG7u9bc=")</f>
        <v>#VALUE!</v>
      </c>
      <c r="GC98">
        <f>IF(resultados!73:73,"AAAAAG7u9bg=",0)</f>
        <v>0</v>
      </c>
      <c r="GD98" t="e">
        <f>AND(resultados!#REF!,"AAAAAG7u9bk=")</f>
        <v>#REF!</v>
      </c>
      <c r="GE98" t="e">
        <f>AND(resultados!C73,"AAAAAG7u9bo=")</f>
        <v>#VALUE!</v>
      </c>
      <c r="GF98" t="e">
        <f>AND(resultados!D73,"AAAAAG7u9bs=")</f>
        <v>#VALUE!</v>
      </c>
      <c r="GG98" t="e">
        <f>AND(resultados!E73,"AAAAAG7u9bw=")</f>
        <v>#VALUE!</v>
      </c>
      <c r="GH98" t="e">
        <f>AND(resultados!#REF!,"AAAAAG7u9b0=")</f>
        <v>#REF!</v>
      </c>
      <c r="GI98" t="e">
        <f>AND(resultados!G73,"AAAAAG7u9b4=")</f>
        <v>#VALUE!</v>
      </c>
      <c r="GJ98" t="e">
        <f>AND(resultados!H73,"AAAAAG7u9b8=")</f>
        <v>#VALUE!</v>
      </c>
      <c r="GK98" t="e">
        <f>AND(resultados!I73,"AAAAAG7u9cA=")</f>
        <v>#VALUE!</v>
      </c>
      <c r="GL98" t="e">
        <f>AND(resultados!J73,"AAAAAG7u9cE=")</f>
        <v>#VALUE!</v>
      </c>
      <c r="GM98" t="e">
        <f>AND(resultados!K73,"AAAAAG7u9cI=")</f>
        <v>#VALUE!</v>
      </c>
      <c r="GN98" t="e">
        <f>AND(resultados!L73,"AAAAAG7u9cM=")</f>
        <v>#VALUE!</v>
      </c>
      <c r="GO98" t="e">
        <f>AND(resultados!M73,"AAAAAG7u9cQ=")</f>
        <v>#VALUE!</v>
      </c>
      <c r="GP98" t="e">
        <f>AND(resultados!N73,"AAAAAG7u9cU=")</f>
        <v>#VALUE!</v>
      </c>
      <c r="GQ98" t="e">
        <f>AND(resultados!O73,"AAAAAG7u9cY=")</f>
        <v>#VALUE!</v>
      </c>
      <c r="GR98" t="e">
        <f>AND(resultados!P73,"AAAAAG7u9cc=")</f>
        <v>#VALUE!</v>
      </c>
      <c r="GS98" t="e">
        <f>AND(resultados!Q73,"AAAAAG7u9cg=")</f>
        <v>#VALUE!</v>
      </c>
      <c r="GT98" t="e">
        <f>AND(resultados!R73,"AAAAAG7u9ck=")</f>
        <v>#VALUE!</v>
      </c>
      <c r="GU98" t="e">
        <f>AND(resultados!S73,"AAAAAG7u9co=")</f>
        <v>#VALUE!</v>
      </c>
      <c r="GV98" t="e">
        <f>AND(resultados!T73,"AAAAAG7u9cs=")</f>
        <v>#VALUE!</v>
      </c>
      <c r="GW98" t="e">
        <f>AND(resultados!U73,"AAAAAG7u9cw=")</f>
        <v>#VALUE!</v>
      </c>
      <c r="GX98" t="e">
        <f>AND(resultados!V73,"AAAAAG7u9c0=")</f>
        <v>#VALUE!</v>
      </c>
      <c r="GY98" t="e">
        <f>AND(resultados!W73,"AAAAAG7u9c4=")</f>
        <v>#VALUE!</v>
      </c>
      <c r="GZ98" t="e">
        <f>AND(resultados!X73,"AAAAAG7u9c8=")</f>
        <v>#VALUE!</v>
      </c>
      <c r="HA98" t="e">
        <f>AND(resultados!Y73,"AAAAAG7u9dA=")</f>
        <v>#VALUE!</v>
      </c>
      <c r="HB98" t="e">
        <f>AND(resultados!Z73,"AAAAAG7u9dE=")</f>
        <v>#VALUE!</v>
      </c>
      <c r="HC98" t="e">
        <f>AND(resultados!AA73,"AAAAAG7u9dI=")</f>
        <v>#VALUE!</v>
      </c>
      <c r="HD98" t="e">
        <f>AND(resultados!AB73,"AAAAAG7u9dM=")</f>
        <v>#VALUE!</v>
      </c>
      <c r="HE98" t="e">
        <f>AND(resultados!AC73,"AAAAAG7u9dQ=")</f>
        <v>#VALUE!</v>
      </c>
      <c r="HF98" t="e">
        <f>AND(resultados!AD73,"AAAAAG7u9dU=")</f>
        <v>#VALUE!</v>
      </c>
      <c r="HG98" t="e">
        <f>AND(resultados!AE73,"AAAAAG7u9dY=")</f>
        <v>#VALUE!</v>
      </c>
      <c r="HH98" t="e">
        <f>AND(resultados!AF73,"AAAAAG7u9dc=")</f>
        <v>#VALUE!</v>
      </c>
      <c r="HI98" t="e">
        <f>AND(resultados!AG73,"AAAAAG7u9dg=")</f>
        <v>#VALUE!</v>
      </c>
      <c r="HJ98" t="e">
        <f>AND(resultados!AH73,"AAAAAG7u9dk=")</f>
        <v>#VALUE!</v>
      </c>
      <c r="HK98" t="e">
        <f>AND(resultados!AI73,"AAAAAG7u9do=")</f>
        <v>#VALUE!</v>
      </c>
      <c r="HL98">
        <f>IF(resultados!74:74,"AAAAAG7u9ds=",0)</f>
        <v>0</v>
      </c>
      <c r="HM98" t="e">
        <f>AND(resultados!#REF!,"AAAAAG7u9dw=")</f>
        <v>#REF!</v>
      </c>
      <c r="HN98" t="e">
        <f>AND(resultados!C74,"AAAAAG7u9d0=")</f>
        <v>#VALUE!</v>
      </c>
      <c r="HO98" t="e">
        <f>AND(resultados!D74,"AAAAAG7u9d4=")</f>
        <v>#VALUE!</v>
      </c>
      <c r="HP98" t="e">
        <f>AND(resultados!E74,"AAAAAG7u9d8=")</f>
        <v>#VALUE!</v>
      </c>
      <c r="HQ98" t="e">
        <f>AND(resultados!#REF!,"AAAAAG7u9eA=")</f>
        <v>#REF!</v>
      </c>
      <c r="HR98" t="e">
        <f>AND(resultados!G74,"AAAAAG7u9eE=")</f>
        <v>#VALUE!</v>
      </c>
      <c r="HS98" t="e">
        <f>AND(resultados!H74,"AAAAAG7u9eI=")</f>
        <v>#VALUE!</v>
      </c>
      <c r="HT98" t="e">
        <f>AND(resultados!I74,"AAAAAG7u9eM=")</f>
        <v>#VALUE!</v>
      </c>
      <c r="HU98" t="e">
        <f>AND(resultados!J74,"AAAAAG7u9eQ=")</f>
        <v>#VALUE!</v>
      </c>
      <c r="HV98" t="e">
        <f>AND(resultados!K74,"AAAAAG7u9eU=")</f>
        <v>#VALUE!</v>
      </c>
      <c r="HW98" t="e">
        <f>AND(resultados!L74,"AAAAAG7u9eY=")</f>
        <v>#VALUE!</v>
      </c>
      <c r="HX98" t="e">
        <f>AND(resultados!M74,"AAAAAG7u9ec=")</f>
        <v>#VALUE!</v>
      </c>
      <c r="HY98" t="e">
        <f>AND(resultados!N74,"AAAAAG7u9eg=")</f>
        <v>#VALUE!</v>
      </c>
      <c r="HZ98" t="e">
        <f>AND(resultados!O74,"AAAAAG7u9ek=")</f>
        <v>#VALUE!</v>
      </c>
      <c r="IA98" t="e">
        <f>AND(resultados!P74,"AAAAAG7u9eo=")</f>
        <v>#VALUE!</v>
      </c>
      <c r="IB98" t="e">
        <f>AND(resultados!Q74,"AAAAAG7u9es=")</f>
        <v>#VALUE!</v>
      </c>
      <c r="IC98" t="e">
        <f>AND(resultados!R74,"AAAAAG7u9ew=")</f>
        <v>#VALUE!</v>
      </c>
      <c r="ID98" t="e">
        <f>AND(resultados!S74,"AAAAAG7u9e0=")</f>
        <v>#VALUE!</v>
      </c>
      <c r="IE98" t="e">
        <f>AND(resultados!T74,"AAAAAG7u9e4=")</f>
        <v>#VALUE!</v>
      </c>
      <c r="IF98" t="e">
        <f>AND(resultados!U74,"AAAAAG7u9e8=")</f>
        <v>#VALUE!</v>
      </c>
      <c r="IG98" t="e">
        <f>AND(resultados!V74,"AAAAAG7u9fA=")</f>
        <v>#VALUE!</v>
      </c>
      <c r="IH98" t="e">
        <f>AND(resultados!W74,"AAAAAG7u9fE=")</f>
        <v>#VALUE!</v>
      </c>
      <c r="II98" t="e">
        <f>AND(resultados!X74,"AAAAAG7u9fI=")</f>
        <v>#VALUE!</v>
      </c>
      <c r="IJ98" t="e">
        <f>AND(resultados!Y74,"AAAAAG7u9fM=")</f>
        <v>#VALUE!</v>
      </c>
      <c r="IK98" t="e">
        <f>AND(resultados!Z74,"AAAAAG7u9fQ=")</f>
        <v>#VALUE!</v>
      </c>
      <c r="IL98" t="e">
        <f>AND(resultados!AA74,"AAAAAG7u9fU=")</f>
        <v>#VALUE!</v>
      </c>
      <c r="IM98" t="e">
        <f>AND(resultados!AB74,"AAAAAG7u9fY=")</f>
        <v>#VALUE!</v>
      </c>
      <c r="IN98" t="e">
        <f>AND(resultados!AC74,"AAAAAG7u9fc=")</f>
        <v>#VALUE!</v>
      </c>
      <c r="IO98" t="e">
        <f>AND(resultados!AD74,"AAAAAG7u9fg=")</f>
        <v>#VALUE!</v>
      </c>
      <c r="IP98" t="e">
        <f>AND(resultados!AE74,"AAAAAG7u9fk=")</f>
        <v>#VALUE!</v>
      </c>
      <c r="IQ98" t="e">
        <f>AND(resultados!AF74,"AAAAAG7u9fo=")</f>
        <v>#VALUE!</v>
      </c>
      <c r="IR98" t="e">
        <f>AND(resultados!AG74,"AAAAAG7u9fs=")</f>
        <v>#VALUE!</v>
      </c>
      <c r="IS98" t="e">
        <f>AND(resultados!AH74,"AAAAAG7u9fw=")</f>
        <v>#VALUE!</v>
      </c>
      <c r="IT98" t="e">
        <f>AND(resultados!AI74,"AAAAAG7u9f0=")</f>
        <v>#VALUE!</v>
      </c>
      <c r="IU98">
        <f>IF(resultados!75:75,"AAAAAG7u9f4=",0)</f>
        <v>0</v>
      </c>
      <c r="IV98" t="e">
        <f>AND(resultados!#REF!,"AAAAAG7u9f8=")</f>
        <v>#REF!</v>
      </c>
    </row>
    <row r="99" spans="1:256" x14ac:dyDescent="0.2">
      <c r="A99" t="e">
        <f>AND(resultados!C75,"AAAAAH93/gA=")</f>
        <v>#VALUE!</v>
      </c>
      <c r="B99" t="e">
        <f>AND(resultados!D75,"AAAAAH93/gE=")</f>
        <v>#VALUE!</v>
      </c>
      <c r="C99" t="e">
        <f>AND(resultados!E75,"AAAAAH93/gI=")</f>
        <v>#VALUE!</v>
      </c>
      <c r="D99" t="e">
        <f>AND(resultados!#REF!,"AAAAAH93/gM=")</f>
        <v>#REF!</v>
      </c>
      <c r="E99" t="e">
        <f>AND(resultados!G75,"AAAAAH93/gQ=")</f>
        <v>#VALUE!</v>
      </c>
      <c r="F99" t="e">
        <f>AND(resultados!H75,"AAAAAH93/gU=")</f>
        <v>#VALUE!</v>
      </c>
      <c r="G99" t="e">
        <f>AND(resultados!I75,"AAAAAH93/gY=")</f>
        <v>#VALUE!</v>
      </c>
      <c r="H99" t="e">
        <f>AND(resultados!J75,"AAAAAH93/gc=")</f>
        <v>#VALUE!</v>
      </c>
      <c r="I99" t="e">
        <f>AND(resultados!K75,"AAAAAH93/gg=")</f>
        <v>#VALUE!</v>
      </c>
      <c r="J99" t="e">
        <f>AND(resultados!L75,"AAAAAH93/gk=")</f>
        <v>#VALUE!</v>
      </c>
      <c r="K99" t="e">
        <f>AND(resultados!M75,"AAAAAH93/go=")</f>
        <v>#VALUE!</v>
      </c>
      <c r="L99" t="e">
        <f>AND(resultados!N75,"AAAAAH93/gs=")</f>
        <v>#VALUE!</v>
      </c>
      <c r="M99" t="e">
        <f>AND(resultados!O75,"AAAAAH93/gw=")</f>
        <v>#VALUE!</v>
      </c>
      <c r="N99" t="e">
        <f>AND(resultados!P75,"AAAAAH93/g0=")</f>
        <v>#VALUE!</v>
      </c>
      <c r="O99" t="e">
        <f>AND(resultados!Q75,"AAAAAH93/g4=")</f>
        <v>#VALUE!</v>
      </c>
      <c r="P99" t="e">
        <f>AND(resultados!R75,"AAAAAH93/g8=")</f>
        <v>#VALUE!</v>
      </c>
      <c r="Q99" t="e">
        <f>AND(resultados!S75,"AAAAAH93/hA=")</f>
        <v>#VALUE!</v>
      </c>
      <c r="R99" t="e">
        <f>AND(resultados!T75,"AAAAAH93/hE=")</f>
        <v>#VALUE!</v>
      </c>
      <c r="S99" t="e">
        <f>AND(resultados!U75,"AAAAAH93/hI=")</f>
        <v>#VALUE!</v>
      </c>
      <c r="T99" t="e">
        <f>AND(resultados!V75,"AAAAAH93/hM=")</f>
        <v>#VALUE!</v>
      </c>
      <c r="U99" t="e">
        <f>AND(resultados!W75,"AAAAAH93/hQ=")</f>
        <v>#VALUE!</v>
      </c>
      <c r="V99" t="e">
        <f>AND(resultados!X75,"AAAAAH93/hU=")</f>
        <v>#VALUE!</v>
      </c>
      <c r="W99" t="e">
        <f>AND(resultados!Y75,"AAAAAH93/hY=")</f>
        <v>#VALUE!</v>
      </c>
      <c r="X99" t="e">
        <f>AND(resultados!Z75,"AAAAAH93/hc=")</f>
        <v>#VALUE!</v>
      </c>
      <c r="Y99" t="e">
        <f>AND(resultados!AA75,"AAAAAH93/hg=")</f>
        <v>#VALUE!</v>
      </c>
      <c r="Z99" t="e">
        <f>AND(resultados!AB75,"AAAAAH93/hk=")</f>
        <v>#VALUE!</v>
      </c>
      <c r="AA99" t="e">
        <f>AND(resultados!AC75,"AAAAAH93/ho=")</f>
        <v>#VALUE!</v>
      </c>
      <c r="AB99" t="e">
        <f>AND(resultados!AD75,"AAAAAH93/hs=")</f>
        <v>#VALUE!</v>
      </c>
      <c r="AC99" t="e">
        <f>AND(resultados!AE75,"AAAAAH93/hw=")</f>
        <v>#VALUE!</v>
      </c>
      <c r="AD99" t="e">
        <f>AND(resultados!AF75,"AAAAAH93/h0=")</f>
        <v>#VALUE!</v>
      </c>
      <c r="AE99" t="e">
        <f>AND(resultados!AG75,"AAAAAH93/h4=")</f>
        <v>#VALUE!</v>
      </c>
      <c r="AF99" t="e">
        <f>AND(resultados!AH75,"AAAAAH93/h8=")</f>
        <v>#VALUE!</v>
      </c>
      <c r="AG99" t="e">
        <f>AND(resultados!AI75,"AAAAAH93/iA=")</f>
        <v>#VALUE!</v>
      </c>
      <c r="AH99">
        <f>IF(resultados!76:76,"AAAAAH93/iE=",0)</f>
        <v>0</v>
      </c>
      <c r="AI99" t="e">
        <f>AND(resultados!#REF!,"AAAAAH93/iI=")</f>
        <v>#REF!</v>
      </c>
      <c r="AJ99" t="e">
        <f>AND(resultados!C76,"AAAAAH93/iM=")</f>
        <v>#VALUE!</v>
      </c>
      <c r="AK99" t="e">
        <f>AND(resultados!D76,"AAAAAH93/iQ=")</f>
        <v>#VALUE!</v>
      </c>
      <c r="AL99" t="e">
        <f>AND(resultados!E76,"AAAAAH93/iU=")</f>
        <v>#VALUE!</v>
      </c>
      <c r="AM99" t="e">
        <f>AND(resultados!#REF!,"AAAAAH93/iY=")</f>
        <v>#REF!</v>
      </c>
      <c r="AN99" t="e">
        <f>AND(resultados!G76,"AAAAAH93/ic=")</f>
        <v>#VALUE!</v>
      </c>
      <c r="AO99" t="e">
        <f>AND(resultados!H76,"AAAAAH93/ig=")</f>
        <v>#VALUE!</v>
      </c>
      <c r="AP99" t="e">
        <f>AND(resultados!I76,"AAAAAH93/ik=")</f>
        <v>#VALUE!</v>
      </c>
      <c r="AQ99" t="e">
        <f>AND(resultados!J76,"AAAAAH93/io=")</f>
        <v>#VALUE!</v>
      </c>
      <c r="AR99" t="e">
        <f>AND(resultados!K76,"AAAAAH93/is=")</f>
        <v>#VALUE!</v>
      </c>
      <c r="AS99" t="e">
        <f>AND(resultados!L76,"AAAAAH93/iw=")</f>
        <v>#VALUE!</v>
      </c>
      <c r="AT99" t="e">
        <f>AND(resultados!M76,"AAAAAH93/i0=")</f>
        <v>#VALUE!</v>
      </c>
      <c r="AU99" t="e">
        <f>AND(resultados!N76,"AAAAAH93/i4=")</f>
        <v>#VALUE!</v>
      </c>
      <c r="AV99" t="e">
        <f>AND(resultados!O76,"AAAAAH93/i8=")</f>
        <v>#VALUE!</v>
      </c>
      <c r="AW99" t="e">
        <f>AND(resultados!P76,"AAAAAH93/jA=")</f>
        <v>#VALUE!</v>
      </c>
      <c r="AX99" t="e">
        <f>AND(resultados!Q76,"AAAAAH93/jE=")</f>
        <v>#VALUE!</v>
      </c>
      <c r="AY99" t="e">
        <f>AND(resultados!R76,"AAAAAH93/jI=")</f>
        <v>#VALUE!</v>
      </c>
      <c r="AZ99" t="e">
        <f>AND(resultados!S76,"AAAAAH93/jM=")</f>
        <v>#VALUE!</v>
      </c>
      <c r="BA99" t="e">
        <f>AND(resultados!T76,"AAAAAH93/jQ=")</f>
        <v>#VALUE!</v>
      </c>
      <c r="BB99" t="e">
        <f>AND(resultados!U76,"AAAAAH93/jU=")</f>
        <v>#VALUE!</v>
      </c>
      <c r="BC99" t="e">
        <f>AND(resultados!V76,"AAAAAH93/jY=")</f>
        <v>#VALUE!</v>
      </c>
      <c r="BD99" t="e">
        <f>AND(resultados!W76,"AAAAAH93/jc=")</f>
        <v>#VALUE!</v>
      </c>
      <c r="BE99" t="e">
        <f>AND(resultados!X76,"AAAAAH93/jg=")</f>
        <v>#VALUE!</v>
      </c>
      <c r="BF99" t="e">
        <f>AND(resultados!Y76,"AAAAAH93/jk=")</f>
        <v>#VALUE!</v>
      </c>
      <c r="BG99" t="e">
        <f>AND(resultados!Z76,"AAAAAH93/jo=")</f>
        <v>#VALUE!</v>
      </c>
      <c r="BH99" t="e">
        <f>AND(resultados!AA76,"AAAAAH93/js=")</f>
        <v>#VALUE!</v>
      </c>
      <c r="BI99" t="e">
        <f>AND(resultados!AB76,"AAAAAH93/jw=")</f>
        <v>#VALUE!</v>
      </c>
      <c r="BJ99" t="e">
        <f>AND(resultados!AC76,"AAAAAH93/j0=")</f>
        <v>#VALUE!</v>
      </c>
      <c r="BK99" t="e">
        <f>AND(resultados!AD76,"AAAAAH93/j4=")</f>
        <v>#VALUE!</v>
      </c>
      <c r="BL99" t="e">
        <f>AND(resultados!AE76,"AAAAAH93/j8=")</f>
        <v>#VALUE!</v>
      </c>
      <c r="BM99" t="e">
        <f>AND(resultados!AF76,"AAAAAH93/kA=")</f>
        <v>#VALUE!</v>
      </c>
      <c r="BN99" t="e">
        <f>AND(resultados!AG76,"AAAAAH93/kE=")</f>
        <v>#VALUE!</v>
      </c>
      <c r="BO99" t="e">
        <f>AND(resultados!AH76,"AAAAAH93/kI=")</f>
        <v>#VALUE!</v>
      </c>
      <c r="BP99" t="e">
        <f>AND(resultados!AI76,"AAAAAH93/kM=")</f>
        <v>#VALUE!</v>
      </c>
      <c r="BQ99">
        <f>IF(resultados!77:77,"AAAAAH93/kQ=",0)</f>
        <v>0</v>
      </c>
      <c r="BR99" t="e">
        <f>AND(resultados!#REF!,"AAAAAH93/kU=")</f>
        <v>#REF!</v>
      </c>
      <c r="BS99" t="e">
        <f>AND(resultados!C77,"AAAAAH93/kY=")</f>
        <v>#VALUE!</v>
      </c>
      <c r="BT99" t="e">
        <f>AND(resultados!D77,"AAAAAH93/kc=")</f>
        <v>#VALUE!</v>
      </c>
      <c r="BU99" t="e">
        <f>AND(resultados!E77,"AAAAAH93/kg=")</f>
        <v>#VALUE!</v>
      </c>
      <c r="BV99" t="e">
        <f>AND(resultados!#REF!,"AAAAAH93/kk=")</f>
        <v>#REF!</v>
      </c>
      <c r="BW99" t="e">
        <f>AND(resultados!G77,"AAAAAH93/ko=")</f>
        <v>#VALUE!</v>
      </c>
      <c r="BX99" t="e">
        <f>AND(resultados!H77,"AAAAAH93/ks=")</f>
        <v>#VALUE!</v>
      </c>
      <c r="BY99" t="e">
        <f>AND(resultados!I77,"AAAAAH93/kw=")</f>
        <v>#VALUE!</v>
      </c>
      <c r="BZ99" t="e">
        <f>AND(resultados!J77,"AAAAAH93/k0=")</f>
        <v>#VALUE!</v>
      </c>
      <c r="CA99" t="e">
        <f>AND(resultados!K77,"AAAAAH93/k4=")</f>
        <v>#VALUE!</v>
      </c>
      <c r="CB99" t="e">
        <f>AND(resultados!L77,"AAAAAH93/k8=")</f>
        <v>#VALUE!</v>
      </c>
      <c r="CC99" t="e">
        <f>AND(resultados!M77,"AAAAAH93/lA=")</f>
        <v>#VALUE!</v>
      </c>
      <c r="CD99" t="e">
        <f>AND(resultados!N77,"AAAAAH93/lE=")</f>
        <v>#VALUE!</v>
      </c>
      <c r="CE99" t="e">
        <f>AND(resultados!O77,"AAAAAH93/lI=")</f>
        <v>#VALUE!</v>
      </c>
      <c r="CF99" t="e">
        <f>AND(resultados!P77,"AAAAAH93/lM=")</f>
        <v>#VALUE!</v>
      </c>
      <c r="CG99" t="e">
        <f>AND(resultados!Q77,"AAAAAH93/lQ=")</f>
        <v>#VALUE!</v>
      </c>
      <c r="CH99" t="e">
        <f>AND(resultados!R77,"AAAAAH93/lU=")</f>
        <v>#VALUE!</v>
      </c>
      <c r="CI99" t="e">
        <f>AND(resultados!S77,"AAAAAH93/lY=")</f>
        <v>#VALUE!</v>
      </c>
      <c r="CJ99" t="e">
        <f>AND(resultados!T77,"AAAAAH93/lc=")</f>
        <v>#VALUE!</v>
      </c>
      <c r="CK99" t="e">
        <f>AND(resultados!U77,"AAAAAH93/lg=")</f>
        <v>#VALUE!</v>
      </c>
      <c r="CL99" t="e">
        <f>AND(resultados!V77,"AAAAAH93/lk=")</f>
        <v>#VALUE!</v>
      </c>
      <c r="CM99" t="e">
        <f>AND(resultados!W77,"AAAAAH93/lo=")</f>
        <v>#VALUE!</v>
      </c>
      <c r="CN99" t="e">
        <f>AND(resultados!X77,"AAAAAH93/ls=")</f>
        <v>#VALUE!</v>
      </c>
      <c r="CO99" t="e">
        <f>AND(resultados!Y77,"AAAAAH93/lw=")</f>
        <v>#VALUE!</v>
      </c>
      <c r="CP99" t="e">
        <f>AND(resultados!Z77,"AAAAAH93/l0=")</f>
        <v>#VALUE!</v>
      </c>
      <c r="CQ99" t="e">
        <f>AND(resultados!AA77,"AAAAAH93/l4=")</f>
        <v>#VALUE!</v>
      </c>
      <c r="CR99" t="e">
        <f>AND(resultados!AB77,"AAAAAH93/l8=")</f>
        <v>#VALUE!</v>
      </c>
      <c r="CS99" t="e">
        <f>AND(resultados!AC77,"AAAAAH93/mA=")</f>
        <v>#VALUE!</v>
      </c>
      <c r="CT99" t="e">
        <f>AND(resultados!AD77,"AAAAAH93/mE=")</f>
        <v>#VALUE!</v>
      </c>
      <c r="CU99" t="e">
        <f>AND(resultados!AE77,"AAAAAH93/mI=")</f>
        <v>#VALUE!</v>
      </c>
      <c r="CV99" t="e">
        <f>AND(resultados!AF77,"AAAAAH93/mM=")</f>
        <v>#VALUE!</v>
      </c>
      <c r="CW99" t="e">
        <f>AND(resultados!AG77,"AAAAAH93/mQ=")</f>
        <v>#VALUE!</v>
      </c>
      <c r="CX99" t="e">
        <f>AND(resultados!AH77,"AAAAAH93/mU=")</f>
        <v>#VALUE!</v>
      </c>
      <c r="CY99" t="e">
        <f>AND(resultados!AI77,"AAAAAH93/mY=")</f>
        <v>#VALUE!</v>
      </c>
      <c r="CZ99">
        <f>IF(resultados!78:78,"AAAAAH93/mc=",0)</f>
        <v>0</v>
      </c>
      <c r="DA99" t="e">
        <f>AND(resultados!#REF!,"AAAAAH93/mg=")</f>
        <v>#REF!</v>
      </c>
      <c r="DB99" t="e">
        <f>AND(resultados!C78,"AAAAAH93/mk=")</f>
        <v>#VALUE!</v>
      </c>
      <c r="DC99" t="e">
        <f>AND(resultados!D78,"AAAAAH93/mo=")</f>
        <v>#VALUE!</v>
      </c>
      <c r="DD99" t="e">
        <f>AND(resultados!E78,"AAAAAH93/ms=")</f>
        <v>#VALUE!</v>
      </c>
      <c r="DE99" t="e">
        <f>AND(resultados!#REF!,"AAAAAH93/mw=")</f>
        <v>#REF!</v>
      </c>
      <c r="DF99" t="e">
        <f>AND(resultados!G78,"AAAAAH93/m0=")</f>
        <v>#VALUE!</v>
      </c>
      <c r="DG99" t="e">
        <f>AND(resultados!H78,"AAAAAH93/m4=")</f>
        <v>#VALUE!</v>
      </c>
      <c r="DH99" t="e">
        <f>AND(resultados!I78,"AAAAAH93/m8=")</f>
        <v>#VALUE!</v>
      </c>
      <c r="DI99" t="e">
        <f>AND(resultados!J78,"AAAAAH93/nA=")</f>
        <v>#VALUE!</v>
      </c>
      <c r="DJ99" t="e">
        <f>AND(resultados!K78,"AAAAAH93/nE=")</f>
        <v>#VALUE!</v>
      </c>
      <c r="DK99" t="e">
        <f>AND(resultados!L78,"AAAAAH93/nI=")</f>
        <v>#VALUE!</v>
      </c>
      <c r="DL99" t="e">
        <f>AND(resultados!M78,"AAAAAH93/nM=")</f>
        <v>#VALUE!</v>
      </c>
      <c r="DM99" t="e">
        <f>AND(resultados!N78,"AAAAAH93/nQ=")</f>
        <v>#VALUE!</v>
      </c>
      <c r="DN99" t="e">
        <f>AND(resultados!O78,"AAAAAH93/nU=")</f>
        <v>#VALUE!</v>
      </c>
      <c r="DO99" t="e">
        <f>AND(resultados!P78,"AAAAAH93/nY=")</f>
        <v>#VALUE!</v>
      </c>
      <c r="DP99" t="e">
        <f>AND(resultados!Q78,"AAAAAH93/nc=")</f>
        <v>#VALUE!</v>
      </c>
      <c r="DQ99" t="e">
        <f>AND(resultados!R78,"AAAAAH93/ng=")</f>
        <v>#VALUE!</v>
      </c>
      <c r="DR99" t="e">
        <f>AND(resultados!S78,"AAAAAH93/nk=")</f>
        <v>#VALUE!</v>
      </c>
      <c r="DS99" t="e">
        <f>AND(resultados!T78,"AAAAAH93/no=")</f>
        <v>#VALUE!</v>
      </c>
      <c r="DT99" t="e">
        <f>AND(resultados!U78,"AAAAAH93/ns=")</f>
        <v>#VALUE!</v>
      </c>
      <c r="DU99" t="e">
        <f>AND(resultados!V78,"AAAAAH93/nw=")</f>
        <v>#VALUE!</v>
      </c>
      <c r="DV99" t="e">
        <f>AND(resultados!W78,"AAAAAH93/n0=")</f>
        <v>#VALUE!</v>
      </c>
      <c r="DW99" t="e">
        <f>AND(resultados!X78,"AAAAAH93/n4=")</f>
        <v>#VALUE!</v>
      </c>
      <c r="DX99" t="e">
        <f>AND(resultados!Y78,"AAAAAH93/n8=")</f>
        <v>#VALUE!</v>
      </c>
      <c r="DY99" t="e">
        <f>AND(resultados!Z78,"AAAAAH93/oA=")</f>
        <v>#VALUE!</v>
      </c>
      <c r="DZ99" t="e">
        <f>AND(resultados!AA78,"AAAAAH93/oE=")</f>
        <v>#VALUE!</v>
      </c>
      <c r="EA99" t="e">
        <f>AND(resultados!AB78,"AAAAAH93/oI=")</f>
        <v>#VALUE!</v>
      </c>
      <c r="EB99" t="e">
        <f>AND(resultados!AC78,"AAAAAH93/oM=")</f>
        <v>#VALUE!</v>
      </c>
      <c r="EC99" t="e">
        <f>AND(resultados!AD78,"AAAAAH93/oQ=")</f>
        <v>#VALUE!</v>
      </c>
      <c r="ED99" t="e">
        <f>AND(resultados!AE78,"AAAAAH93/oU=")</f>
        <v>#VALUE!</v>
      </c>
      <c r="EE99" t="e">
        <f>AND(resultados!AF78,"AAAAAH93/oY=")</f>
        <v>#VALUE!</v>
      </c>
      <c r="EF99" t="e">
        <f>AND(resultados!AG78,"AAAAAH93/oc=")</f>
        <v>#VALUE!</v>
      </c>
      <c r="EG99" t="e">
        <f>AND(resultados!AH78,"AAAAAH93/og=")</f>
        <v>#VALUE!</v>
      </c>
      <c r="EH99" t="e">
        <f>AND(resultados!AI78,"AAAAAH93/ok=")</f>
        <v>#VALUE!</v>
      </c>
      <c r="EI99">
        <f>IF(resultados!79:79,"AAAAAH93/oo=",0)</f>
        <v>0</v>
      </c>
      <c r="EJ99" t="e">
        <f>AND(resultados!#REF!,"AAAAAH93/os=")</f>
        <v>#REF!</v>
      </c>
      <c r="EK99" t="e">
        <f>AND(resultados!C79,"AAAAAH93/ow=")</f>
        <v>#VALUE!</v>
      </c>
      <c r="EL99" t="e">
        <f>AND(resultados!D79,"AAAAAH93/o0=")</f>
        <v>#VALUE!</v>
      </c>
      <c r="EM99" t="e">
        <f>AND(resultados!E79,"AAAAAH93/o4=")</f>
        <v>#VALUE!</v>
      </c>
      <c r="EN99" t="e">
        <f>AND(resultados!#REF!,"AAAAAH93/o8=")</f>
        <v>#REF!</v>
      </c>
      <c r="EO99" t="e">
        <f>AND(resultados!G79,"AAAAAH93/pA=")</f>
        <v>#VALUE!</v>
      </c>
      <c r="EP99" t="e">
        <f>AND(resultados!H79,"AAAAAH93/pE=")</f>
        <v>#VALUE!</v>
      </c>
      <c r="EQ99" t="e">
        <f>AND(resultados!I79,"AAAAAH93/pI=")</f>
        <v>#VALUE!</v>
      </c>
      <c r="ER99" t="e">
        <f>AND(resultados!J79,"AAAAAH93/pM=")</f>
        <v>#VALUE!</v>
      </c>
      <c r="ES99" t="e">
        <f>AND(resultados!K79,"AAAAAH93/pQ=")</f>
        <v>#VALUE!</v>
      </c>
      <c r="ET99" t="e">
        <f>AND(resultados!L79,"AAAAAH93/pU=")</f>
        <v>#VALUE!</v>
      </c>
      <c r="EU99" t="e">
        <f>AND(resultados!M79,"AAAAAH93/pY=")</f>
        <v>#VALUE!</v>
      </c>
      <c r="EV99" t="e">
        <f>AND(resultados!N79,"AAAAAH93/pc=")</f>
        <v>#VALUE!</v>
      </c>
      <c r="EW99" t="e">
        <f>AND(resultados!O79,"AAAAAH93/pg=")</f>
        <v>#VALUE!</v>
      </c>
      <c r="EX99" t="e">
        <f>AND(resultados!P79,"AAAAAH93/pk=")</f>
        <v>#VALUE!</v>
      </c>
      <c r="EY99" t="e">
        <f>AND(resultados!Q79,"AAAAAH93/po=")</f>
        <v>#VALUE!</v>
      </c>
      <c r="EZ99" t="e">
        <f>AND(resultados!R79,"AAAAAH93/ps=")</f>
        <v>#VALUE!</v>
      </c>
      <c r="FA99" t="e">
        <f>AND(resultados!S79,"AAAAAH93/pw=")</f>
        <v>#VALUE!</v>
      </c>
      <c r="FB99" t="e">
        <f>AND(resultados!T79,"AAAAAH93/p0=")</f>
        <v>#VALUE!</v>
      </c>
      <c r="FC99" t="e">
        <f>AND(resultados!U79,"AAAAAH93/p4=")</f>
        <v>#VALUE!</v>
      </c>
      <c r="FD99" t="e">
        <f>AND(resultados!V79,"AAAAAH93/p8=")</f>
        <v>#VALUE!</v>
      </c>
      <c r="FE99" t="e">
        <f>AND(resultados!W79,"AAAAAH93/qA=")</f>
        <v>#VALUE!</v>
      </c>
      <c r="FF99" t="e">
        <f>AND(resultados!X79,"AAAAAH93/qE=")</f>
        <v>#VALUE!</v>
      </c>
      <c r="FG99" t="e">
        <f>AND(resultados!Y79,"AAAAAH93/qI=")</f>
        <v>#VALUE!</v>
      </c>
      <c r="FH99" t="e">
        <f>AND(resultados!Z79,"AAAAAH93/qM=")</f>
        <v>#VALUE!</v>
      </c>
      <c r="FI99" t="e">
        <f>AND(resultados!AA79,"AAAAAH93/qQ=")</f>
        <v>#VALUE!</v>
      </c>
      <c r="FJ99" t="e">
        <f>AND(resultados!AB79,"AAAAAH93/qU=")</f>
        <v>#VALUE!</v>
      </c>
      <c r="FK99" t="e">
        <f>AND(resultados!AC79,"AAAAAH93/qY=")</f>
        <v>#VALUE!</v>
      </c>
      <c r="FL99" t="e">
        <f>AND(resultados!AD79,"AAAAAH93/qc=")</f>
        <v>#VALUE!</v>
      </c>
      <c r="FM99" t="e">
        <f>AND(resultados!AE79,"AAAAAH93/qg=")</f>
        <v>#VALUE!</v>
      </c>
      <c r="FN99" t="e">
        <f>AND(resultados!AF79,"AAAAAH93/qk=")</f>
        <v>#VALUE!</v>
      </c>
      <c r="FO99" t="e">
        <f>AND(resultados!AG79,"AAAAAH93/qo=")</f>
        <v>#VALUE!</v>
      </c>
      <c r="FP99" t="e">
        <f>AND(resultados!AH79,"AAAAAH93/qs=")</f>
        <v>#VALUE!</v>
      </c>
      <c r="FQ99" t="e">
        <f>AND(resultados!AI79,"AAAAAH93/qw=")</f>
        <v>#VALUE!</v>
      </c>
      <c r="FR99">
        <f>IF(resultados!80:80,"AAAAAH93/q0=",0)</f>
        <v>0</v>
      </c>
      <c r="FS99" t="e">
        <f>AND(resultados!#REF!,"AAAAAH93/q4=")</f>
        <v>#REF!</v>
      </c>
      <c r="FT99" t="e">
        <f>AND(resultados!C80,"AAAAAH93/q8=")</f>
        <v>#VALUE!</v>
      </c>
      <c r="FU99" t="e">
        <f>AND(resultados!D80,"AAAAAH93/rA=")</f>
        <v>#VALUE!</v>
      </c>
      <c r="FV99" t="e">
        <f>AND(resultados!E80,"AAAAAH93/rE=")</f>
        <v>#VALUE!</v>
      </c>
      <c r="FW99" t="e">
        <f>AND(resultados!#REF!,"AAAAAH93/rI=")</f>
        <v>#REF!</v>
      </c>
      <c r="FX99" t="e">
        <f>AND(resultados!G80,"AAAAAH93/rM=")</f>
        <v>#VALUE!</v>
      </c>
      <c r="FY99" t="e">
        <f>AND(resultados!H80,"AAAAAH93/rQ=")</f>
        <v>#VALUE!</v>
      </c>
      <c r="FZ99" t="e">
        <f>AND(resultados!I80,"AAAAAH93/rU=")</f>
        <v>#VALUE!</v>
      </c>
      <c r="GA99" t="e">
        <f>AND(resultados!J80,"AAAAAH93/rY=")</f>
        <v>#VALUE!</v>
      </c>
      <c r="GB99" t="e">
        <f>AND(resultados!K80,"AAAAAH93/rc=")</f>
        <v>#VALUE!</v>
      </c>
      <c r="GC99" t="e">
        <f>AND(resultados!L80,"AAAAAH93/rg=")</f>
        <v>#VALUE!</v>
      </c>
      <c r="GD99" t="e">
        <f>AND(resultados!M80,"AAAAAH93/rk=")</f>
        <v>#VALUE!</v>
      </c>
      <c r="GE99" t="e">
        <f>AND(resultados!N80,"AAAAAH93/ro=")</f>
        <v>#VALUE!</v>
      </c>
      <c r="GF99" t="e">
        <f>AND(resultados!O80,"AAAAAH93/rs=")</f>
        <v>#VALUE!</v>
      </c>
      <c r="GG99" t="e">
        <f>AND(resultados!P80,"AAAAAH93/rw=")</f>
        <v>#VALUE!</v>
      </c>
      <c r="GH99" t="e">
        <f>AND(resultados!Q80,"AAAAAH93/r0=")</f>
        <v>#VALUE!</v>
      </c>
      <c r="GI99" t="e">
        <f>AND(resultados!R80,"AAAAAH93/r4=")</f>
        <v>#VALUE!</v>
      </c>
      <c r="GJ99" t="e">
        <f>AND(resultados!S80,"AAAAAH93/r8=")</f>
        <v>#VALUE!</v>
      </c>
      <c r="GK99" t="e">
        <f>AND(resultados!T80,"AAAAAH93/sA=")</f>
        <v>#VALUE!</v>
      </c>
      <c r="GL99" t="e">
        <f>AND(resultados!U80,"AAAAAH93/sE=")</f>
        <v>#VALUE!</v>
      </c>
      <c r="GM99" t="e">
        <f>AND(resultados!V80,"AAAAAH93/sI=")</f>
        <v>#VALUE!</v>
      </c>
      <c r="GN99" t="e">
        <f>AND(resultados!W80,"AAAAAH93/sM=")</f>
        <v>#VALUE!</v>
      </c>
      <c r="GO99" t="e">
        <f>AND(resultados!X80,"AAAAAH93/sQ=")</f>
        <v>#VALUE!</v>
      </c>
      <c r="GP99" t="e">
        <f>AND(resultados!Y80,"AAAAAH93/sU=")</f>
        <v>#VALUE!</v>
      </c>
      <c r="GQ99" t="e">
        <f>AND(resultados!Z80,"AAAAAH93/sY=")</f>
        <v>#VALUE!</v>
      </c>
      <c r="GR99" t="e">
        <f>AND(resultados!AA80,"AAAAAH93/sc=")</f>
        <v>#VALUE!</v>
      </c>
      <c r="GS99" t="e">
        <f>AND(resultados!AB80,"AAAAAH93/sg=")</f>
        <v>#VALUE!</v>
      </c>
      <c r="GT99" t="e">
        <f>AND(resultados!AC80,"AAAAAH93/sk=")</f>
        <v>#VALUE!</v>
      </c>
      <c r="GU99" t="e">
        <f>AND(resultados!AD80,"AAAAAH93/so=")</f>
        <v>#VALUE!</v>
      </c>
      <c r="GV99" t="e">
        <f>AND(resultados!AE80,"AAAAAH93/ss=")</f>
        <v>#VALUE!</v>
      </c>
      <c r="GW99" t="e">
        <f>AND(resultados!AF80,"AAAAAH93/sw=")</f>
        <v>#VALUE!</v>
      </c>
      <c r="GX99" t="e">
        <f>AND(resultados!AG80,"AAAAAH93/s0=")</f>
        <v>#VALUE!</v>
      </c>
      <c r="GY99" t="e">
        <f>AND(resultados!AH80,"AAAAAH93/s4=")</f>
        <v>#VALUE!</v>
      </c>
      <c r="GZ99" t="e">
        <f>AND(resultados!AI80,"AAAAAH93/s8=")</f>
        <v>#VALUE!</v>
      </c>
      <c r="HA99">
        <f>IF(resultados!81:81,"AAAAAH93/tA=",0)</f>
        <v>0</v>
      </c>
      <c r="HB99" t="e">
        <f>AND(resultados!#REF!,"AAAAAH93/tE=")</f>
        <v>#REF!</v>
      </c>
      <c r="HC99" t="e">
        <f>AND(resultados!C81,"AAAAAH93/tI=")</f>
        <v>#VALUE!</v>
      </c>
      <c r="HD99" t="e">
        <f>AND(resultados!D81,"AAAAAH93/tM=")</f>
        <v>#VALUE!</v>
      </c>
      <c r="HE99" t="e">
        <f>AND(resultados!E81,"AAAAAH93/tQ=")</f>
        <v>#VALUE!</v>
      </c>
      <c r="HF99" t="e">
        <f>AND(resultados!#REF!,"AAAAAH93/tU=")</f>
        <v>#REF!</v>
      </c>
      <c r="HG99" t="e">
        <f>AND(resultados!G81,"AAAAAH93/tY=")</f>
        <v>#VALUE!</v>
      </c>
      <c r="HH99" t="e">
        <f>AND(resultados!H81,"AAAAAH93/tc=")</f>
        <v>#VALUE!</v>
      </c>
      <c r="HI99" t="e">
        <f>AND(resultados!I81,"AAAAAH93/tg=")</f>
        <v>#VALUE!</v>
      </c>
      <c r="HJ99" t="e">
        <f>AND(resultados!J81,"AAAAAH93/tk=")</f>
        <v>#VALUE!</v>
      </c>
      <c r="HK99" t="e">
        <f>AND(resultados!K81,"AAAAAH93/to=")</f>
        <v>#VALUE!</v>
      </c>
      <c r="HL99" t="e">
        <f>AND(resultados!L81,"AAAAAH93/ts=")</f>
        <v>#VALUE!</v>
      </c>
      <c r="HM99" t="e">
        <f>AND(resultados!M81,"AAAAAH93/tw=")</f>
        <v>#VALUE!</v>
      </c>
      <c r="HN99" t="e">
        <f>AND(resultados!N81,"AAAAAH93/t0=")</f>
        <v>#VALUE!</v>
      </c>
      <c r="HO99" t="e">
        <f>AND(resultados!O81,"AAAAAH93/t4=")</f>
        <v>#VALUE!</v>
      </c>
      <c r="HP99" t="e">
        <f>AND(resultados!P81,"AAAAAH93/t8=")</f>
        <v>#VALUE!</v>
      </c>
      <c r="HQ99" t="e">
        <f>AND(resultados!Q81,"AAAAAH93/uA=")</f>
        <v>#VALUE!</v>
      </c>
      <c r="HR99" t="e">
        <f>AND(resultados!R81,"AAAAAH93/uE=")</f>
        <v>#VALUE!</v>
      </c>
      <c r="HS99" t="e">
        <f>AND(resultados!S81,"AAAAAH93/uI=")</f>
        <v>#VALUE!</v>
      </c>
      <c r="HT99" t="e">
        <f>AND(resultados!T81,"AAAAAH93/uM=")</f>
        <v>#VALUE!</v>
      </c>
      <c r="HU99" t="e">
        <f>AND(resultados!U81,"AAAAAH93/uQ=")</f>
        <v>#VALUE!</v>
      </c>
      <c r="HV99" t="e">
        <f>AND(resultados!V81,"AAAAAH93/uU=")</f>
        <v>#VALUE!</v>
      </c>
      <c r="HW99" t="e">
        <f>AND(resultados!W81,"AAAAAH93/uY=")</f>
        <v>#VALUE!</v>
      </c>
      <c r="HX99" t="e">
        <f>AND(resultados!X81,"AAAAAH93/uc=")</f>
        <v>#VALUE!</v>
      </c>
      <c r="HY99" t="e">
        <f>AND(resultados!Y81,"AAAAAH93/ug=")</f>
        <v>#VALUE!</v>
      </c>
      <c r="HZ99" t="e">
        <f>AND(resultados!Z81,"AAAAAH93/uk=")</f>
        <v>#VALUE!</v>
      </c>
      <c r="IA99" t="e">
        <f>AND(resultados!AA81,"AAAAAH93/uo=")</f>
        <v>#VALUE!</v>
      </c>
      <c r="IB99" t="e">
        <f>AND(resultados!AB81,"AAAAAH93/us=")</f>
        <v>#VALUE!</v>
      </c>
      <c r="IC99" t="e">
        <f>AND(resultados!AC81,"AAAAAH93/uw=")</f>
        <v>#VALUE!</v>
      </c>
      <c r="ID99" t="e">
        <f>AND(resultados!AD81,"AAAAAH93/u0=")</f>
        <v>#VALUE!</v>
      </c>
      <c r="IE99" t="e">
        <f>AND(resultados!AE81,"AAAAAH93/u4=")</f>
        <v>#VALUE!</v>
      </c>
      <c r="IF99" t="e">
        <f>AND(resultados!AF81,"AAAAAH93/u8=")</f>
        <v>#VALUE!</v>
      </c>
      <c r="IG99" t="e">
        <f>AND(resultados!AG81,"AAAAAH93/vA=")</f>
        <v>#VALUE!</v>
      </c>
      <c r="IH99" t="e">
        <f>AND(resultados!AH81,"AAAAAH93/vE=")</f>
        <v>#VALUE!</v>
      </c>
      <c r="II99" t="e">
        <f>AND(resultados!AI81,"AAAAAH93/vI=")</f>
        <v>#VALUE!</v>
      </c>
      <c r="IJ99">
        <f>IF(resultados!82:82,"AAAAAH93/vM=",0)</f>
        <v>0</v>
      </c>
      <c r="IK99" t="e">
        <f>AND(resultados!#REF!,"AAAAAH93/vQ=")</f>
        <v>#REF!</v>
      </c>
      <c r="IL99" t="e">
        <f>AND(resultados!C82,"AAAAAH93/vU=")</f>
        <v>#VALUE!</v>
      </c>
      <c r="IM99" t="e">
        <f>AND(resultados!D82,"AAAAAH93/vY=")</f>
        <v>#VALUE!</v>
      </c>
      <c r="IN99" t="e">
        <f>AND(resultados!E82,"AAAAAH93/vc=")</f>
        <v>#VALUE!</v>
      </c>
      <c r="IO99" t="e">
        <f>AND(resultados!#REF!,"AAAAAH93/vg=")</f>
        <v>#REF!</v>
      </c>
      <c r="IP99" t="e">
        <f>AND(resultados!G82,"AAAAAH93/vk=")</f>
        <v>#VALUE!</v>
      </c>
      <c r="IQ99" t="e">
        <f>AND(resultados!H82,"AAAAAH93/vo=")</f>
        <v>#VALUE!</v>
      </c>
      <c r="IR99" t="e">
        <f>AND(resultados!I82,"AAAAAH93/vs=")</f>
        <v>#VALUE!</v>
      </c>
      <c r="IS99" t="e">
        <f>AND(resultados!J82,"AAAAAH93/vw=")</f>
        <v>#VALUE!</v>
      </c>
      <c r="IT99" t="e">
        <f>AND(resultados!K82,"AAAAAH93/v0=")</f>
        <v>#VALUE!</v>
      </c>
      <c r="IU99" t="e">
        <f>AND(resultados!L82,"AAAAAH93/v4=")</f>
        <v>#VALUE!</v>
      </c>
      <c r="IV99" t="e">
        <f>AND(resultados!M82,"AAAAAH93/v8=")</f>
        <v>#VALUE!</v>
      </c>
    </row>
    <row r="100" spans="1:256" x14ac:dyDescent="0.2">
      <c r="A100" t="e">
        <f>AND(resultados!N82,"AAAAAHX47wA=")</f>
        <v>#VALUE!</v>
      </c>
      <c r="B100" t="e">
        <f>AND(resultados!O82,"AAAAAHX47wE=")</f>
        <v>#VALUE!</v>
      </c>
      <c r="C100" t="e">
        <f>AND(resultados!P82,"AAAAAHX47wI=")</f>
        <v>#VALUE!</v>
      </c>
      <c r="D100" t="e">
        <f>AND(resultados!Q82,"AAAAAHX47wM=")</f>
        <v>#VALUE!</v>
      </c>
      <c r="E100" t="e">
        <f>AND(resultados!R82,"AAAAAHX47wQ=")</f>
        <v>#VALUE!</v>
      </c>
      <c r="F100" t="e">
        <f>AND(resultados!S82,"AAAAAHX47wU=")</f>
        <v>#VALUE!</v>
      </c>
      <c r="G100" t="e">
        <f>AND(resultados!T82,"AAAAAHX47wY=")</f>
        <v>#VALUE!</v>
      </c>
      <c r="H100" t="e">
        <f>AND(resultados!U82,"AAAAAHX47wc=")</f>
        <v>#VALUE!</v>
      </c>
      <c r="I100" t="e">
        <f>AND(resultados!V82,"AAAAAHX47wg=")</f>
        <v>#VALUE!</v>
      </c>
      <c r="J100" t="e">
        <f>AND(resultados!W82,"AAAAAHX47wk=")</f>
        <v>#VALUE!</v>
      </c>
      <c r="K100" t="e">
        <f>AND(resultados!X82,"AAAAAHX47wo=")</f>
        <v>#VALUE!</v>
      </c>
      <c r="L100" t="e">
        <f>AND(resultados!Y82,"AAAAAHX47ws=")</f>
        <v>#VALUE!</v>
      </c>
      <c r="M100" t="e">
        <f>AND(resultados!Z82,"AAAAAHX47ww=")</f>
        <v>#VALUE!</v>
      </c>
      <c r="N100" t="e">
        <f>AND(resultados!AA82,"AAAAAHX47w0=")</f>
        <v>#VALUE!</v>
      </c>
      <c r="O100" t="e">
        <f>AND(resultados!AB82,"AAAAAHX47w4=")</f>
        <v>#VALUE!</v>
      </c>
      <c r="P100" t="e">
        <f>AND(resultados!AC82,"AAAAAHX47w8=")</f>
        <v>#VALUE!</v>
      </c>
      <c r="Q100" t="e">
        <f>AND(resultados!AD82,"AAAAAHX47xA=")</f>
        <v>#VALUE!</v>
      </c>
      <c r="R100" t="e">
        <f>AND(resultados!AE82,"AAAAAHX47xE=")</f>
        <v>#VALUE!</v>
      </c>
      <c r="S100" t="e">
        <f>AND(resultados!AF82,"AAAAAHX47xI=")</f>
        <v>#VALUE!</v>
      </c>
      <c r="T100" t="e">
        <f>AND(resultados!AG82,"AAAAAHX47xM=")</f>
        <v>#VALUE!</v>
      </c>
      <c r="U100" t="e">
        <f>AND(resultados!AH82,"AAAAAHX47xQ=")</f>
        <v>#VALUE!</v>
      </c>
      <c r="V100" t="e">
        <f>AND(resultados!AI82,"AAAAAHX47xU=")</f>
        <v>#VALUE!</v>
      </c>
      <c r="W100">
        <f>IF(resultados!83:83,"AAAAAHX47xY=",0)</f>
        <v>0</v>
      </c>
      <c r="X100" t="e">
        <f>AND(resultados!#REF!,"AAAAAHX47xc=")</f>
        <v>#REF!</v>
      </c>
      <c r="Y100" t="e">
        <f>AND(resultados!C83,"AAAAAHX47xg=")</f>
        <v>#VALUE!</v>
      </c>
      <c r="Z100" t="e">
        <f>AND(resultados!D83,"AAAAAHX47xk=")</f>
        <v>#VALUE!</v>
      </c>
      <c r="AA100" t="e">
        <f>AND(resultados!E83,"AAAAAHX47xo=")</f>
        <v>#VALUE!</v>
      </c>
      <c r="AB100" t="e">
        <f>AND(resultados!#REF!,"AAAAAHX47xs=")</f>
        <v>#REF!</v>
      </c>
      <c r="AC100" t="e">
        <f>AND(resultados!G83,"AAAAAHX47xw=")</f>
        <v>#VALUE!</v>
      </c>
      <c r="AD100" t="e">
        <f>AND(resultados!H83,"AAAAAHX47x0=")</f>
        <v>#VALUE!</v>
      </c>
      <c r="AE100" t="e">
        <f>AND(resultados!I83,"AAAAAHX47x4=")</f>
        <v>#VALUE!</v>
      </c>
      <c r="AF100" t="e">
        <f>AND(resultados!J83,"AAAAAHX47x8=")</f>
        <v>#VALUE!</v>
      </c>
      <c r="AG100" t="e">
        <f>AND(resultados!K83,"AAAAAHX47yA=")</f>
        <v>#VALUE!</v>
      </c>
      <c r="AH100" t="e">
        <f>AND(resultados!L83,"AAAAAHX47yE=")</f>
        <v>#VALUE!</v>
      </c>
      <c r="AI100" t="e">
        <f>AND(resultados!M83,"AAAAAHX47yI=")</f>
        <v>#VALUE!</v>
      </c>
      <c r="AJ100" t="e">
        <f>AND(resultados!N83,"AAAAAHX47yM=")</f>
        <v>#VALUE!</v>
      </c>
      <c r="AK100" t="e">
        <f>AND(resultados!O83,"AAAAAHX47yQ=")</f>
        <v>#VALUE!</v>
      </c>
      <c r="AL100" t="e">
        <f>AND(resultados!P83,"AAAAAHX47yU=")</f>
        <v>#VALUE!</v>
      </c>
      <c r="AM100" t="e">
        <f>AND(resultados!Q83,"AAAAAHX47yY=")</f>
        <v>#VALUE!</v>
      </c>
      <c r="AN100" t="e">
        <f>AND(resultados!R83,"AAAAAHX47yc=")</f>
        <v>#VALUE!</v>
      </c>
      <c r="AO100" t="e">
        <f>AND(resultados!S83,"AAAAAHX47yg=")</f>
        <v>#VALUE!</v>
      </c>
      <c r="AP100" t="e">
        <f>AND(resultados!T83,"AAAAAHX47yk=")</f>
        <v>#VALUE!</v>
      </c>
      <c r="AQ100" t="e">
        <f>AND(resultados!U83,"AAAAAHX47yo=")</f>
        <v>#VALUE!</v>
      </c>
      <c r="AR100" t="e">
        <f>AND(resultados!V83,"AAAAAHX47ys=")</f>
        <v>#VALUE!</v>
      </c>
      <c r="AS100" t="e">
        <f>AND(resultados!W83,"AAAAAHX47yw=")</f>
        <v>#VALUE!</v>
      </c>
      <c r="AT100" t="e">
        <f>AND(resultados!X83,"AAAAAHX47y0=")</f>
        <v>#VALUE!</v>
      </c>
      <c r="AU100" t="e">
        <f>AND(resultados!Y83,"AAAAAHX47y4=")</f>
        <v>#VALUE!</v>
      </c>
      <c r="AV100" t="e">
        <f>AND(resultados!Z83,"AAAAAHX47y8=")</f>
        <v>#VALUE!</v>
      </c>
      <c r="AW100" t="e">
        <f>AND(resultados!AA83,"AAAAAHX47zA=")</f>
        <v>#VALUE!</v>
      </c>
      <c r="AX100" t="e">
        <f>AND(resultados!AB83,"AAAAAHX47zE=")</f>
        <v>#VALUE!</v>
      </c>
      <c r="AY100" t="e">
        <f>AND(resultados!AC83,"AAAAAHX47zI=")</f>
        <v>#VALUE!</v>
      </c>
      <c r="AZ100" t="e">
        <f>AND(resultados!AD83,"AAAAAHX47zM=")</f>
        <v>#VALUE!</v>
      </c>
      <c r="BA100" t="e">
        <f>AND(resultados!AE83,"AAAAAHX47zQ=")</f>
        <v>#VALUE!</v>
      </c>
      <c r="BB100" t="e">
        <f>AND(resultados!AF83,"AAAAAHX47zU=")</f>
        <v>#VALUE!</v>
      </c>
      <c r="BC100" t="e">
        <f>AND(resultados!AG83,"AAAAAHX47zY=")</f>
        <v>#VALUE!</v>
      </c>
      <c r="BD100" t="e">
        <f>AND(resultados!AH83,"AAAAAHX47zc=")</f>
        <v>#VALUE!</v>
      </c>
      <c r="BE100" t="e">
        <f>AND(resultados!AI83,"AAAAAHX47zg=")</f>
        <v>#VALUE!</v>
      </c>
      <c r="BF100">
        <f>IF(resultados!84:84,"AAAAAHX47zk=",0)</f>
        <v>0</v>
      </c>
      <c r="BG100" t="e">
        <f>AND(resultados!#REF!,"AAAAAHX47zo=")</f>
        <v>#REF!</v>
      </c>
      <c r="BH100" t="e">
        <f>AND(resultados!C84,"AAAAAHX47zs=")</f>
        <v>#VALUE!</v>
      </c>
      <c r="BI100" t="e">
        <f>AND(resultados!D84,"AAAAAHX47zw=")</f>
        <v>#VALUE!</v>
      </c>
      <c r="BJ100" t="e">
        <f>AND(resultados!E84,"AAAAAHX47z0=")</f>
        <v>#VALUE!</v>
      </c>
      <c r="BK100" t="e">
        <f>AND(resultados!#REF!,"AAAAAHX47z4=")</f>
        <v>#REF!</v>
      </c>
      <c r="BL100" t="e">
        <f>AND(resultados!G84,"AAAAAHX47z8=")</f>
        <v>#VALUE!</v>
      </c>
      <c r="BM100" t="e">
        <f>AND(resultados!H84,"AAAAAHX470A=")</f>
        <v>#VALUE!</v>
      </c>
      <c r="BN100" t="e">
        <f>AND(resultados!I84,"AAAAAHX470E=")</f>
        <v>#VALUE!</v>
      </c>
      <c r="BO100" t="e">
        <f>AND(resultados!J84,"AAAAAHX470I=")</f>
        <v>#VALUE!</v>
      </c>
      <c r="BP100" t="e">
        <f>AND(resultados!K84,"AAAAAHX470M=")</f>
        <v>#VALUE!</v>
      </c>
      <c r="BQ100" t="e">
        <f>AND(resultados!L84,"AAAAAHX470Q=")</f>
        <v>#VALUE!</v>
      </c>
      <c r="BR100" t="e">
        <f>AND(resultados!M84,"AAAAAHX470U=")</f>
        <v>#VALUE!</v>
      </c>
      <c r="BS100" t="e">
        <f>AND(resultados!N84,"AAAAAHX470Y=")</f>
        <v>#VALUE!</v>
      </c>
      <c r="BT100" t="e">
        <f>AND(resultados!O84,"AAAAAHX470c=")</f>
        <v>#VALUE!</v>
      </c>
      <c r="BU100" t="e">
        <f>AND(resultados!P84,"AAAAAHX470g=")</f>
        <v>#VALUE!</v>
      </c>
      <c r="BV100" t="e">
        <f>AND(resultados!Q84,"AAAAAHX470k=")</f>
        <v>#VALUE!</v>
      </c>
      <c r="BW100" t="e">
        <f>AND(resultados!R84,"AAAAAHX470o=")</f>
        <v>#VALUE!</v>
      </c>
      <c r="BX100" t="e">
        <f>AND(resultados!S84,"AAAAAHX470s=")</f>
        <v>#VALUE!</v>
      </c>
      <c r="BY100" t="e">
        <f>AND(resultados!T84,"AAAAAHX470w=")</f>
        <v>#VALUE!</v>
      </c>
      <c r="BZ100" t="e">
        <f>AND(resultados!U84,"AAAAAHX4700=")</f>
        <v>#VALUE!</v>
      </c>
      <c r="CA100" t="e">
        <f>AND(resultados!V84,"AAAAAHX4704=")</f>
        <v>#VALUE!</v>
      </c>
      <c r="CB100" t="e">
        <f>AND(resultados!W84,"AAAAAHX4708=")</f>
        <v>#VALUE!</v>
      </c>
      <c r="CC100" t="e">
        <f>AND(resultados!X84,"AAAAAHX471A=")</f>
        <v>#VALUE!</v>
      </c>
      <c r="CD100" t="e">
        <f>AND(resultados!Y84,"AAAAAHX471E=")</f>
        <v>#VALUE!</v>
      </c>
      <c r="CE100" t="e">
        <f>AND(resultados!Z84,"AAAAAHX471I=")</f>
        <v>#VALUE!</v>
      </c>
      <c r="CF100" t="e">
        <f>AND(resultados!AA84,"AAAAAHX471M=")</f>
        <v>#VALUE!</v>
      </c>
      <c r="CG100" t="e">
        <f>AND(resultados!AB84,"AAAAAHX471Q=")</f>
        <v>#VALUE!</v>
      </c>
      <c r="CH100" t="e">
        <f>AND(resultados!AC84,"AAAAAHX471U=")</f>
        <v>#VALUE!</v>
      </c>
      <c r="CI100" t="e">
        <f>AND(resultados!AD84,"AAAAAHX471Y=")</f>
        <v>#VALUE!</v>
      </c>
      <c r="CJ100" t="e">
        <f>AND(resultados!AE84,"AAAAAHX471c=")</f>
        <v>#VALUE!</v>
      </c>
      <c r="CK100" t="e">
        <f>AND(resultados!AF84,"AAAAAHX471g=")</f>
        <v>#VALUE!</v>
      </c>
      <c r="CL100" t="e">
        <f>AND(resultados!AG84,"AAAAAHX471k=")</f>
        <v>#VALUE!</v>
      </c>
      <c r="CM100" t="e">
        <f>AND(resultados!AH84,"AAAAAHX471o=")</f>
        <v>#VALUE!</v>
      </c>
      <c r="CN100" t="e">
        <f>AND(resultados!AI84,"AAAAAHX471s=")</f>
        <v>#VALUE!</v>
      </c>
      <c r="CO100">
        <f>IF(resultados!85:85,"AAAAAHX471w=",0)</f>
        <v>0</v>
      </c>
      <c r="CP100" t="e">
        <f>AND(resultados!#REF!,"AAAAAHX4710=")</f>
        <v>#REF!</v>
      </c>
      <c r="CQ100" t="e">
        <f>AND(resultados!C85,"AAAAAHX4714=")</f>
        <v>#VALUE!</v>
      </c>
      <c r="CR100" t="e">
        <f>AND(resultados!D85,"AAAAAHX4718=")</f>
        <v>#VALUE!</v>
      </c>
      <c r="CS100" t="e">
        <f>AND(resultados!E85,"AAAAAHX472A=")</f>
        <v>#VALUE!</v>
      </c>
      <c r="CT100" t="e">
        <f>AND(resultados!#REF!,"AAAAAHX472E=")</f>
        <v>#REF!</v>
      </c>
      <c r="CU100" t="e">
        <f>AND(resultados!G85,"AAAAAHX472I=")</f>
        <v>#VALUE!</v>
      </c>
      <c r="CV100" t="e">
        <f>AND(resultados!H85,"AAAAAHX472M=")</f>
        <v>#VALUE!</v>
      </c>
      <c r="CW100" t="e">
        <f>AND(resultados!I85,"AAAAAHX472Q=")</f>
        <v>#VALUE!</v>
      </c>
      <c r="CX100" t="e">
        <f>AND(resultados!J85,"AAAAAHX472U=")</f>
        <v>#VALUE!</v>
      </c>
      <c r="CY100" t="e">
        <f>AND(resultados!K85,"AAAAAHX472Y=")</f>
        <v>#VALUE!</v>
      </c>
      <c r="CZ100" t="e">
        <f>AND(resultados!L85,"AAAAAHX472c=")</f>
        <v>#VALUE!</v>
      </c>
      <c r="DA100" t="e">
        <f>AND(resultados!M85,"AAAAAHX472g=")</f>
        <v>#VALUE!</v>
      </c>
      <c r="DB100" t="e">
        <f>AND(resultados!N85,"AAAAAHX472k=")</f>
        <v>#VALUE!</v>
      </c>
      <c r="DC100" t="e">
        <f>AND(resultados!O85,"AAAAAHX472o=")</f>
        <v>#VALUE!</v>
      </c>
      <c r="DD100" t="e">
        <f>AND(resultados!P85,"AAAAAHX472s=")</f>
        <v>#VALUE!</v>
      </c>
      <c r="DE100" t="e">
        <f>AND(resultados!Q85,"AAAAAHX472w=")</f>
        <v>#VALUE!</v>
      </c>
      <c r="DF100" t="e">
        <f>AND(resultados!R85,"AAAAAHX4720=")</f>
        <v>#VALUE!</v>
      </c>
      <c r="DG100" t="e">
        <f>AND(resultados!S85,"AAAAAHX4724=")</f>
        <v>#VALUE!</v>
      </c>
      <c r="DH100" t="e">
        <f>AND(resultados!T85,"AAAAAHX4728=")</f>
        <v>#VALUE!</v>
      </c>
      <c r="DI100" t="e">
        <f>AND(resultados!U85,"AAAAAHX473A=")</f>
        <v>#VALUE!</v>
      </c>
      <c r="DJ100" t="e">
        <f>AND(resultados!V85,"AAAAAHX473E=")</f>
        <v>#VALUE!</v>
      </c>
      <c r="DK100" t="e">
        <f>AND(resultados!W85,"AAAAAHX473I=")</f>
        <v>#VALUE!</v>
      </c>
      <c r="DL100" t="e">
        <f>AND(resultados!X85,"AAAAAHX473M=")</f>
        <v>#VALUE!</v>
      </c>
      <c r="DM100" t="e">
        <f>AND(resultados!Y85,"AAAAAHX473Q=")</f>
        <v>#VALUE!</v>
      </c>
      <c r="DN100" t="e">
        <f>AND(resultados!Z85,"AAAAAHX473U=")</f>
        <v>#VALUE!</v>
      </c>
      <c r="DO100" t="e">
        <f>AND(resultados!AA85,"AAAAAHX473Y=")</f>
        <v>#VALUE!</v>
      </c>
      <c r="DP100" t="e">
        <f>AND(resultados!AB85,"AAAAAHX473c=")</f>
        <v>#VALUE!</v>
      </c>
      <c r="DQ100" t="e">
        <f>AND(resultados!AC85,"AAAAAHX473g=")</f>
        <v>#VALUE!</v>
      </c>
      <c r="DR100" t="e">
        <f>AND(resultados!AD85,"AAAAAHX473k=")</f>
        <v>#VALUE!</v>
      </c>
      <c r="DS100" t="e">
        <f>AND(resultados!AE85,"AAAAAHX473o=")</f>
        <v>#VALUE!</v>
      </c>
      <c r="DT100" t="e">
        <f>AND(resultados!AF85,"AAAAAHX473s=")</f>
        <v>#VALUE!</v>
      </c>
      <c r="DU100" t="e">
        <f>AND(resultados!AG85,"AAAAAHX473w=")</f>
        <v>#VALUE!</v>
      </c>
      <c r="DV100" t="e">
        <f>AND(resultados!AH85,"AAAAAHX4730=")</f>
        <v>#VALUE!</v>
      </c>
      <c r="DW100" t="e">
        <f>AND(resultados!AI85,"AAAAAHX4734=")</f>
        <v>#VALUE!</v>
      </c>
      <c r="DX100">
        <f>IF(resultados!86:86,"AAAAAHX4738=",0)</f>
        <v>0</v>
      </c>
      <c r="DY100" t="e">
        <f>AND(resultados!#REF!,"AAAAAHX474A=")</f>
        <v>#REF!</v>
      </c>
      <c r="DZ100" t="e">
        <f>AND(resultados!C86,"AAAAAHX474E=")</f>
        <v>#VALUE!</v>
      </c>
      <c r="EA100" t="e">
        <f>AND(resultados!D86,"AAAAAHX474I=")</f>
        <v>#VALUE!</v>
      </c>
      <c r="EB100" t="e">
        <f>AND(resultados!E86,"AAAAAHX474M=")</f>
        <v>#VALUE!</v>
      </c>
      <c r="EC100" t="e">
        <f>AND(resultados!#REF!,"AAAAAHX474Q=")</f>
        <v>#REF!</v>
      </c>
      <c r="ED100" t="e">
        <f>AND(resultados!G86,"AAAAAHX474U=")</f>
        <v>#VALUE!</v>
      </c>
      <c r="EE100" t="e">
        <f>AND(resultados!H86,"AAAAAHX474Y=")</f>
        <v>#VALUE!</v>
      </c>
      <c r="EF100" t="e">
        <f>AND(resultados!I86,"AAAAAHX474c=")</f>
        <v>#VALUE!</v>
      </c>
      <c r="EG100" t="e">
        <f>AND(resultados!J86,"AAAAAHX474g=")</f>
        <v>#VALUE!</v>
      </c>
      <c r="EH100" t="e">
        <f>AND(resultados!K86,"AAAAAHX474k=")</f>
        <v>#VALUE!</v>
      </c>
      <c r="EI100" t="e">
        <f>AND(resultados!L86,"AAAAAHX474o=")</f>
        <v>#VALUE!</v>
      </c>
      <c r="EJ100" t="e">
        <f>AND(resultados!M86,"AAAAAHX474s=")</f>
        <v>#VALUE!</v>
      </c>
      <c r="EK100" t="e">
        <f>AND(resultados!N86,"AAAAAHX474w=")</f>
        <v>#VALUE!</v>
      </c>
      <c r="EL100" t="e">
        <f>AND(resultados!O86,"AAAAAHX4740=")</f>
        <v>#VALUE!</v>
      </c>
      <c r="EM100" t="e">
        <f>AND(resultados!P86,"AAAAAHX4744=")</f>
        <v>#VALUE!</v>
      </c>
      <c r="EN100" t="e">
        <f>AND(resultados!Q86,"AAAAAHX4748=")</f>
        <v>#VALUE!</v>
      </c>
      <c r="EO100" t="e">
        <f>AND(resultados!R86,"AAAAAHX475A=")</f>
        <v>#VALUE!</v>
      </c>
      <c r="EP100" t="e">
        <f>AND(resultados!S86,"AAAAAHX475E=")</f>
        <v>#VALUE!</v>
      </c>
      <c r="EQ100" t="e">
        <f>AND(resultados!T86,"AAAAAHX475I=")</f>
        <v>#VALUE!</v>
      </c>
      <c r="ER100" t="e">
        <f>AND(resultados!U86,"AAAAAHX475M=")</f>
        <v>#VALUE!</v>
      </c>
      <c r="ES100" t="e">
        <f>AND(resultados!V86,"AAAAAHX475Q=")</f>
        <v>#VALUE!</v>
      </c>
      <c r="ET100" t="e">
        <f>AND(resultados!W86,"AAAAAHX475U=")</f>
        <v>#VALUE!</v>
      </c>
      <c r="EU100" t="e">
        <f>AND(resultados!X86,"AAAAAHX475Y=")</f>
        <v>#VALUE!</v>
      </c>
      <c r="EV100" t="e">
        <f>AND(resultados!Y86,"AAAAAHX475c=")</f>
        <v>#VALUE!</v>
      </c>
      <c r="EW100" t="e">
        <f>AND(resultados!Z86,"AAAAAHX475g=")</f>
        <v>#VALUE!</v>
      </c>
      <c r="EX100" t="e">
        <f>AND(resultados!AA86,"AAAAAHX475k=")</f>
        <v>#VALUE!</v>
      </c>
      <c r="EY100" t="e">
        <f>AND(resultados!AB86,"AAAAAHX475o=")</f>
        <v>#VALUE!</v>
      </c>
      <c r="EZ100" t="e">
        <f>AND(resultados!AC86,"AAAAAHX475s=")</f>
        <v>#VALUE!</v>
      </c>
      <c r="FA100" t="e">
        <f>AND(resultados!AD86,"AAAAAHX475w=")</f>
        <v>#VALUE!</v>
      </c>
      <c r="FB100" t="e">
        <f>AND(resultados!AE86,"AAAAAHX4750=")</f>
        <v>#VALUE!</v>
      </c>
      <c r="FC100" t="e">
        <f>AND(resultados!AF86,"AAAAAHX4754=")</f>
        <v>#VALUE!</v>
      </c>
      <c r="FD100" t="e">
        <f>AND(resultados!AG86,"AAAAAHX4758=")</f>
        <v>#VALUE!</v>
      </c>
      <c r="FE100" t="e">
        <f>AND(resultados!AH86,"AAAAAHX476A=")</f>
        <v>#VALUE!</v>
      </c>
      <c r="FF100" t="e">
        <f>AND(resultados!AI86,"AAAAAHX476E=")</f>
        <v>#VALUE!</v>
      </c>
      <c r="FG100">
        <f>IF(resultados!87:87,"AAAAAHX476I=",0)</f>
        <v>0</v>
      </c>
      <c r="FH100" t="e">
        <f>AND(resultados!#REF!,"AAAAAHX476M=")</f>
        <v>#REF!</v>
      </c>
      <c r="FI100" t="e">
        <f>AND(resultados!C87,"AAAAAHX476Q=")</f>
        <v>#VALUE!</v>
      </c>
      <c r="FJ100" t="e">
        <f>AND(resultados!D87,"AAAAAHX476U=")</f>
        <v>#VALUE!</v>
      </c>
      <c r="FK100" t="e">
        <f>AND(resultados!E87,"AAAAAHX476Y=")</f>
        <v>#VALUE!</v>
      </c>
      <c r="FL100" t="e">
        <f>AND(resultados!#REF!,"AAAAAHX476c=")</f>
        <v>#REF!</v>
      </c>
      <c r="FM100" t="e">
        <f>AND(resultados!G87,"AAAAAHX476g=")</f>
        <v>#VALUE!</v>
      </c>
      <c r="FN100" t="e">
        <f>AND(resultados!H87,"AAAAAHX476k=")</f>
        <v>#VALUE!</v>
      </c>
      <c r="FO100" t="e">
        <f>AND(resultados!I87,"AAAAAHX476o=")</f>
        <v>#VALUE!</v>
      </c>
      <c r="FP100" t="e">
        <f>AND(resultados!J87,"AAAAAHX476s=")</f>
        <v>#VALUE!</v>
      </c>
      <c r="FQ100" t="e">
        <f>AND(resultados!K87,"AAAAAHX476w=")</f>
        <v>#VALUE!</v>
      </c>
      <c r="FR100" t="e">
        <f>AND(resultados!L87,"AAAAAHX4760=")</f>
        <v>#VALUE!</v>
      </c>
      <c r="FS100" t="e">
        <f>AND(resultados!M87,"AAAAAHX4764=")</f>
        <v>#VALUE!</v>
      </c>
      <c r="FT100" t="e">
        <f>AND(resultados!N87,"AAAAAHX4768=")</f>
        <v>#VALUE!</v>
      </c>
      <c r="FU100" t="e">
        <f>AND(resultados!O87,"AAAAAHX477A=")</f>
        <v>#VALUE!</v>
      </c>
      <c r="FV100" t="e">
        <f>AND(resultados!P87,"AAAAAHX477E=")</f>
        <v>#VALUE!</v>
      </c>
      <c r="FW100" t="e">
        <f>AND(resultados!Q87,"AAAAAHX477I=")</f>
        <v>#VALUE!</v>
      </c>
      <c r="FX100" t="e">
        <f>AND(resultados!R87,"AAAAAHX477M=")</f>
        <v>#VALUE!</v>
      </c>
      <c r="FY100" t="e">
        <f>AND(resultados!S87,"AAAAAHX477Q=")</f>
        <v>#VALUE!</v>
      </c>
      <c r="FZ100" t="e">
        <f>AND(resultados!T87,"AAAAAHX477U=")</f>
        <v>#VALUE!</v>
      </c>
      <c r="GA100" t="e">
        <f>AND(resultados!U87,"AAAAAHX477Y=")</f>
        <v>#VALUE!</v>
      </c>
      <c r="GB100" t="e">
        <f>AND(resultados!V87,"AAAAAHX477c=")</f>
        <v>#VALUE!</v>
      </c>
      <c r="GC100" t="e">
        <f>AND(resultados!W87,"AAAAAHX477g=")</f>
        <v>#VALUE!</v>
      </c>
      <c r="GD100" t="e">
        <f>AND(resultados!X87,"AAAAAHX477k=")</f>
        <v>#VALUE!</v>
      </c>
      <c r="GE100" t="e">
        <f>AND(resultados!Y87,"AAAAAHX477o=")</f>
        <v>#VALUE!</v>
      </c>
      <c r="GF100" t="e">
        <f>AND(resultados!Z87,"AAAAAHX477s=")</f>
        <v>#VALUE!</v>
      </c>
      <c r="GG100" t="e">
        <f>AND(resultados!AA87,"AAAAAHX477w=")</f>
        <v>#VALUE!</v>
      </c>
      <c r="GH100" t="e">
        <f>AND(resultados!AB87,"AAAAAHX4770=")</f>
        <v>#VALUE!</v>
      </c>
      <c r="GI100" t="e">
        <f>AND(resultados!AC87,"AAAAAHX4774=")</f>
        <v>#VALUE!</v>
      </c>
      <c r="GJ100" t="e">
        <f>AND(resultados!AD87,"AAAAAHX4778=")</f>
        <v>#VALUE!</v>
      </c>
      <c r="GK100" t="e">
        <f>AND(resultados!AE87,"AAAAAHX478A=")</f>
        <v>#VALUE!</v>
      </c>
      <c r="GL100" t="e">
        <f>AND(resultados!AF87,"AAAAAHX478E=")</f>
        <v>#VALUE!</v>
      </c>
      <c r="GM100" t="e">
        <f>AND(resultados!AG87,"AAAAAHX478I=")</f>
        <v>#VALUE!</v>
      </c>
      <c r="GN100" t="e">
        <f>AND(resultados!AH87,"AAAAAHX478M=")</f>
        <v>#VALUE!</v>
      </c>
      <c r="GO100" t="e">
        <f>AND(resultados!AI87,"AAAAAHX478Q=")</f>
        <v>#VALUE!</v>
      </c>
      <c r="GP100">
        <f>IF(resultados!88:88,"AAAAAHX478U=",0)</f>
        <v>0</v>
      </c>
      <c r="GQ100" t="e">
        <f>AND(resultados!#REF!,"AAAAAHX478Y=")</f>
        <v>#REF!</v>
      </c>
      <c r="GR100" t="e">
        <f>AND(resultados!C88,"AAAAAHX478c=")</f>
        <v>#VALUE!</v>
      </c>
      <c r="GS100" t="e">
        <f>AND(resultados!D88,"AAAAAHX478g=")</f>
        <v>#VALUE!</v>
      </c>
      <c r="GT100" t="e">
        <f>AND(resultados!E88,"AAAAAHX478k=")</f>
        <v>#VALUE!</v>
      </c>
      <c r="GU100" t="e">
        <f>AND(resultados!#REF!,"AAAAAHX478o=")</f>
        <v>#REF!</v>
      </c>
      <c r="GV100" t="e">
        <f>AND(resultados!G88,"AAAAAHX478s=")</f>
        <v>#VALUE!</v>
      </c>
      <c r="GW100" t="e">
        <f>AND(resultados!H88,"AAAAAHX478w=")</f>
        <v>#VALUE!</v>
      </c>
      <c r="GX100" t="e">
        <f>AND(resultados!I88,"AAAAAHX4780=")</f>
        <v>#VALUE!</v>
      </c>
      <c r="GY100" t="e">
        <f>AND(resultados!J88,"AAAAAHX4784=")</f>
        <v>#VALUE!</v>
      </c>
      <c r="GZ100" t="e">
        <f>AND(resultados!K88,"AAAAAHX4788=")</f>
        <v>#VALUE!</v>
      </c>
      <c r="HA100" t="e">
        <f>AND(resultados!L88,"AAAAAHX479A=")</f>
        <v>#VALUE!</v>
      </c>
      <c r="HB100" t="e">
        <f>AND(resultados!M88,"AAAAAHX479E=")</f>
        <v>#VALUE!</v>
      </c>
      <c r="HC100" t="e">
        <f>AND(resultados!N88,"AAAAAHX479I=")</f>
        <v>#VALUE!</v>
      </c>
      <c r="HD100" t="e">
        <f>AND(resultados!O88,"AAAAAHX479M=")</f>
        <v>#VALUE!</v>
      </c>
      <c r="HE100" t="e">
        <f>AND(resultados!P88,"AAAAAHX479Q=")</f>
        <v>#VALUE!</v>
      </c>
      <c r="HF100" t="e">
        <f>AND(resultados!Q88,"AAAAAHX479U=")</f>
        <v>#VALUE!</v>
      </c>
      <c r="HG100" t="e">
        <f>AND(resultados!R88,"AAAAAHX479Y=")</f>
        <v>#VALUE!</v>
      </c>
      <c r="HH100" t="e">
        <f>AND(resultados!S88,"AAAAAHX479c=")</f>
        <v>#VALUE!</v>
      </c>
      <c r="HI100" t="e">
        <f>AND(resultados!T88,"AAAAAHX479g=")</f>
        <v>#VALUE!</v>
      </c>
      <c r="HJ100" t="e">
        <f>AND(resultados!U88,"AAAAAHX479k=")</f>
        <v>#VALUE!</v>
      </c>
      <c r="HK100" t="e">
        <f>AND(resultados!V88,"AAAAAHX479o=")</f>
        <v>#VALUE!</v>
      </c>
      <c r="HL100" t="e">
        <f>AND(resultados!W88,"AAAAAHX479s=")</f>
        <v>#VALUE!</v>
      </c>
      <c r="HM100" t="e">
        <f>AND(resultados!X88,"AAAAAHX479w=")</f>
        <v>#VALUE!</v>
      </c>
      <c r="HN100" t="e">
        <f>AND(resultados!Y88,"AAAAAHX4790=")</f>
        <v>#VALUE!</v>
      </c>
      <c r="HO100" t="e">
        <f>AND(resultados!Z88,"AAAAAHX4794=")</f>
        <v>#VALUE!</v>
      </c>
      <c r="HP100" t="e">
        <f>AND(resultados!AA88,"AAAAAHX4798=")</f>
        <v>#VALUE!</v>
      </c>
      <c r="HQ100" t="e">
        <f>AND(resultados!AB88,"AAAAAHX47+A=")</f>
        <v>#VALUE!</v>
      </c>
      <c r="HR100" t="e">
        <f>AND(resultados!AC88,"AAAAAHX47+E=")</f>
        <v>#VALUE!</v>
      </c>
      <c r="HS100" t="e">
        <f>AND(resultados!AD88,"AAAAAHX47+I=")</f>
        <v>#VALUE!</v>
      </c>
      <c r="HT100" t="e">
        <f>AND(resultados!AE88,"AAAAAHX47+M=")</f>
        <v>#VALUE!</v>
      </c>
      <c r="HU100" t="e">
        <f>AND(resultados!AF88,"AAAAAHX47+Q=")</f>
        <v>#VALUE!</v>
      </c>
      <c r="HV100" t="e">
        <f>AND(resultados!AG88,"AAAAAHX47+U=")</f>
        <v>#VALUE!</v>
      </c>
      <c r="HW100" t="e">
        <f>AND(resultados!AH88,"AAAAAHX47+Y=")</f>
        <v>#VALUE!</v>
      </c>
      <c r="HX100" t="e">
        <f>AND(resultados!AI88,"AAAAAHX47+c=")</f>
        <v>#VALUE!</v>
      </c>
      <c r="HY100">
        <f>IF(resultados!89:89,"AAAAAHX47+g=",0)</f>
        <v>0</v>
      </c>
      <c r="HZ100" t="e">
        <f>AND(resultados!#REF!,"AAAAAHX47+k=")</f>
        <v>#REF!</v>
      </c>
      <c r="IA100" t="e">
        <f>AND(resultados!C89,"AAAAAHX47+o=")</f>
        <v>#VALUE!</v>
      </c>
      <c r="IB100" t="e">
        <f>AND(resultados!D89,"AAAAAHX47+s=")</f>
        <v>#VALUE!</v>
      </c>
      <c r="IC100" t="e">
        <f>AND(resultados!E89,"AAAAAHX47+w=")</f>
        <v>#VALUE!</v>
      </c>
      <c r="ID100" t="e">
        <f>AND(resultados!#REF!,"AAAAAHX47+0=")</f>
        <v>#REF!</v>
      </c>
      <c r="IE100" t="e">
        <f>AND(resultados!G89,"AAAAAHX47+4=")</f>
        <v>#VALUE!</v>
      </c>
      <c r="IF100" t="e">
        <f>AND(resultados!H89,"AAAAAHX47+8=")</f>
        <v>#VALUE!</v>
      </c>
      <c r="IG100" t="e">
        <f>AND(resultados!I89,"AAAAAHX47/A=")</f>
        <v>#VALUE!</v>
      </c>
      <c r="IH100" t="e">
        <f>AND(resultados!J89,"AAAAAHX47/E=")</f>
        <v>#VALUE!</v>
      </c>
      <c r="II100" t="e">
        <f>AND(resultados!K89,"AAAAAHX47/I=")</f>
        <v>#VALUE!</v>
      </c>
      <c r="IJ100" t="e">
        <f>AND(resultados!L89,"AAAAAHX47/M=")</f>
        <v>#VALUE!</v>
      </c>
      <c r="IK100" t="e">
        <f>AND(resultados!M89,"AAAAAHX47/Q=")</f>
        <v>#VALUE!</v>
      </c>
      <c r="IL100" t="e">
        <f>AND(resultados!N89,"AAAAAHX47/U=")</f>
        <v>#VALUE!</v>
      </c>
      <c r="IM100" t="e">
        <f>AND(resultados!O89,"AAAAAHX47/Y=")</f>
        <v>#VALUE!</v>
      </c>
      <c r="IN100" t="e">
        <f>AND(resultados!P89,"AAAAAHX47/c=")</f>
        <v>#VALUE!</v>
      </c>
      <c r="IO100" t="e">
        <f>AND(resultados!Q89,"AAAAAHX47/g=")</f>
        <v>#VALUE!</v>
      </c>
      <c r="IP100" t="e">
        <f>AND(resultados!R89,"AAAAAHX47/k=")</f>
        <v>#VALUE!</v>
      </c>
      <c r="IQ100" t="e">
        <f>AND(resultados!S89,"AAAAAHX47/o=")</f>
        <v>#VALUE!</v>
      </c>
      <c r="IR100" t="e">
        <f>AND(resultados!T89,"AAAAAHX47/s=")</f>
        <v>#VALUE!</v>
      </c>
      <c r="IS100" t="e">
        <f>AND(resultados!U89,"AAAAAHX47/w=")</f>
        <v>#VALUE!</v>
      </c>
      <c r="IT100" t="e">
        <f>AND(resultados!V89,"AAAAAHX47/0=")</f>
        <v>#VALUE!</v>
      </c>
      <c r="IU100" t="e">
        <f>AND(resultados!W89,"AAAAAHX47/4=")</f>
        <v>#VALUE!</v>
      </c>
      <c r="IV100" t="e">
        <f>AND(resultados!X89,"AAAAAHX47/8=")</f>
        <v>#VALUE!</v>
      </c>
    </row>
    <row r="101" spans="1:256" x14ac:dyDescent="0.2">
      <c r="A101" t="e">
        <f>AND(resultados!Y89,"AAAAAH+quwA=")</f>
        <v>#VALUE!</v>
      </c>
      <c r="B101" t="e">
        <f>AND(resultados!Z89,"AAAAAH+quwE=")</f>
        <v>#VALUE!</v>
      </c>
      <c r="C101" t="e">
        <f>AND(resultados!AA89,"AAAAAH+quwI=")</f>
        <v>#VALUE!</v>
      </c>
      <c r="D101" t="e">
        <f>AND(resultados!AB89,"AAAAAH+quwM=")</f>
        <v>#VALUE!</v>
      </c>
      <c r="E101" t="e">
        <f>AND(resultados!AC89,"AAAAAH+quwQ=")</f>
        <v>#VALUE!</v>
      </c>
      <c r="F101" t="e">
        <f>AND(resultados!AD89,"AAAAAH+quwU=")</f>
        <v>#VALUE!</v>
      </c>
      <c r="G101" t="e">
        <f>AND(resultados!AE89,"AAAAAH+quwY=")</f>
        <v>#VALUE!</v>
      </c>
      <c r="H101" t="e">
        <f>AND(resultados!AF89,"AAAAAH+quwc=")</f>
        <v>#VALUE!</v>
      </c>
      <c r="I101" t="e">
        <f>AND(resultados!AG89,"AAAAAH+quwg=")</f>
        <v>#VALUE!</v>
      </c>
      <c r="J101" t="e">
        <f>AND(resultados!AH89,"AAAAAH+quwk=")</f>
        <v>#VALUE!</v>
      </c>
      <c r="K101" t="e">
        <f>AND(resultados!AI89,"AAAAAH+quwo=")</f>
        <v>#VALUE!</v>
      </c>
      <c r="L101">
        <f>IF(resultados!90:90,"AAAAAH+quws=",0)</f>
        <v>0</v>
      </c>
      <c r="M101" t="e">
        <f>AND(resultados!#REF!,"AAAAAH+quww=")</f>
        <v>#REF!</v>
      </c>
      <c r="N101" t="e">
        <f>AND(resultados!C90,"AAAAAH+quw0=")</f>
        <v>#VALUE!</v>
      </c>
      <c r="O101" t="e">
        <f>AND(resultados!D90,"AAAAAH+quw4=")</f>
        <v>#VALUE!</v>
      </c>
      <c r="P101" t="e">
        <f>AND(resultados!E90,"AAAAAH+quw8=")</f>
        <v>#VALUE!</v>
      </c>
      <c r="Q101" t="e">
        <f>AND(resultados!#REF!,"AAAAAH+quxA=")</f>
        <v>#REF!</v>
      </c>
      <c r="R101" t="e">
        <f>AND(resultados!G90,"AAAAAH+quxE=")</f>
        <v>#VALUE!</v>
      </c>
      <c r="S101" t="e">
        <f>AND(resultados!H90,"AAAAAH+quxI=")</f>
        <v>#VALUE!</v>
      </c>
      <c r="T101" t="e">
        <f>AND(resultados!I90,"AAAAAH+quxM=")</f>
        <v>#VALUE!</v>
      </c>
      <c r="U101" t="e">
        <f>AND(resultados!J90,"AAAAAH+quxQ=")</f>
        <v>#VALUE!</v>
      </c>
      <c r="V101" t="e">
        <f>AND(resultados!K90,"AAAAAH+quxU=")</f>
        <v>#VALUE!</v>
      </c>
      <c r="W101" t="e">
        <f>AND(resultados!L90,"AAAAAH+quxY=")</f>
        <v>#VALUE!</v>
      </c>
      <c r="X101" t="e">
        <f>AND(resultados!M90,"AAAAAH+quxc=")</f>
        <v>#VALUE!</v>
      </c>
      <c r="Y101" t="e">
        <f>AND(resultados!N90,"AAAAAH+quxg=")</f>
        <v>#VALUE!</v>
      </c>
      <c r="Z101" t="e">
        <f>AND(resultados!O90,"AAAAAH+quxk=")</f>
        <v>#VALUE!</v>
      </c>
      <c r="AA101" t="e">
        <f>AND(resultados!P90,"AAAAAH+quxo=")</f>
        <v>#VALUE!</v>
      </c>
      <c r="AB101" t="e">
        <f>AND(resultados!Q90,"AAAAAH+quxs=")</f>
        <v>#VALUE!</v>
      </c>
      <c r="AC101" t="e">
        <f>AND(resultados!R90,"AAAAAH+quxw=")</f>
        <v>#VALUE!</v>
      </c>
      <c r="AD101" t="e">
        <f>AND(resultados!S90,"AAAAAH+qux0=")</f>
        <v>#VALUE!</v>
      </c>
      <c r="AE101" t="e">
        <f>AND(resultados!T90,"AAAAAH+qux4=")</f>
        <v>#VALUE!</v>
      </c>
      <c r="AF101" t="e">
        <f>AND(resultados!U90,"AAAAAH+qux8=")</f>
        <v>#VALUE!</v>
      </c>
      <c r="AG101" t="e">
        <f>AND(resultados!V90,"AAAAAH+quyA=")</f>
        <v>#VALUE!</v>
      </c>
      <c r="AH101" t="e">
        <f>AND(resultados!W90,"AAAAAH+quyE=")</f>
        <v>#VALUE!</v>
      </c>
      <c r="AI101" t="e">
        <f>AND(resultados!X90,"AAAAAH+quyI=")</f>
        <v>#VALUE!</v>
      </c>
      <c r="AJ101" t="e">
        <f>AND(resultados!Y90,"AAAAAH+quyM=")</f>
        <v>#VALUE!</v>
      </c>
      <c r="AK101" t="e">
        <f>AND(resultados!Z90,"AAAAAH+quyQ=")</f>
        <v>#VALUE!</v>
      </c>
      <c r="AL101" t="e">
        <f>AND(resultados!AA90,"AAAAAH+quyU=")</f>
        <v>#VALUE!</v>
      </c>
      <c r="AM101" t="e">
        <f>AND(resultados!AB90,"AAAAAH+quyY=")</f>
        <v>#VALUE!</v>
      </c>
      <c r="AN101" t="e">
        <f>AND(resultados!AC90,"AAAAAH+quyc=")</f>
        <v>#VALUE!</v>
      </c>
      <c r="AO101" t="e">
        <f>AND(resultados!AD90,"AAAAAH+quyg=")</f>
        <v>#VALUE!</v>
      </c>
      <c r="AP101" t="e">
        <f>AND(resultados!AE90,"AAAAAH+quyk=")</f>
        <v>#VALUE!</v>
      </c>
      <c r="AQ101" t="e">
        <f>AND(resultados!AF90,"AAAAAH+quyo=")</f>
        <v>#VALUE!</v>
      </c>
      <c r="AR101" t="e">
        <f>AND(resultados!AG90,"AAAAAH+quys=")</f>
        <v>#VALUE!</v>
      </c>
      <c r="AS101" t="e">
        <f>AND(resultados!AH90,"AAAAAH+quyw=")</f>
        <v>#VALUE!</v>
      </c>
      <c r="AT101" t="e">
        <f>AND(resultados!AI90,"AAAAAH+quy0=")</f>
        <v>#VALUE!</v>
      </c>
      <c r="AU101">
        <f>IF(resultados!91:91,"AAAAAH+quy4=",0)</f>
        <v>0</v>
      </c>
      <c r="AV101" t="e">
        <f>AND(resultados!#REF!,"AAAAAH+quy8=")</f>
        <v>#REF!</v>
      </c>
      <c r="AW101" t="e">
        <f>AND(resultados!C91,"AAAAAH+quzA=")</f>
        <v>#VALUE!</v>
      </c>
      <c r="AX101" t="e">
        <f>AND(resultados!D91,"AAAAAH+quzE=")</f>
        <v>#VALUE!</v>
      </c>
      <c r="AY101" t="e">
        <f>AND(resultados!E91,"AAAAAH+quzI=")</f>
        <v>#VALUE!</v>
      </c>
      <c r="AZ101" t="e">
        <f>AND(resultados!#REF!,"AAAAAH+quzM=")</f>
        <v>#REF!</v>
      </c>
      <c r="BA101" t="e">
        <f>AND(resultados!G91,"AAAAAH+quzQ=")</f>
        <v>#VALUE!</v>
      </c>
      <c r="BB101" t="e">
        <f>AND(resultados!H91,"AAAAAH+quzU=")</f>
        <v>#VALUE!</v>
      </c>
      <c r="BC101" t="e">
        <f>AND(resultados!I91,"AAAAAH+quzY=")</f>
        <v>#VALUE!</v>
      </c>
      <c r="BD101" t="e">
        <f>AND(resultados!J91,"AAAAAH+quzc=")</f>
        <v>#VALUE!</v>
      </c>
      <c r="BE101" t="e">
        <f>AND(resultados!K91,"AAAAAH+quzg=")</f>
        <v>#VALUE!</v>
      </c>
      <c r="BF101" t="e">
        <f>AND(resultados!L91,"AAAAAH+quzk=")</f>
        <v>#VALUE!</v>
      </c>
      <c r="BG101" t="e">
        <f>AND(resultados!M91,"AAAAAH+quzo=")</f>
        <v>#VALUE!</v>
      </c>
      <c r="BH101" t="e">
        <f>AND(resultados!N91,"AAAAAH+quzs=")</f>
        <v>#VALUE!</v>
      </c>
      <c r="BI101" t="e">
        <f>AND(resultados!O91,"AAAAAH+quzw=")</f>
        <v>#VALUE!</v>
      </c>
      <c r="BJ101" t="e">
        <f>AND(resultados!P91,"AAAAAH+quz0=")</f>
        <v>#VALUE!</v>
      </c>
      <c r="BK101" t="e">
        <f>AND(resultados!Q91,"AAAAAH+quz4=")</f>
        <v>#VALUE!</v>
      </c>
      <c r="BL101" t="e">
        <f>AND(resultados!R91,"AAAAAH+quz8=")</f>
        <v>#VALUE!</v>
      </c>
      <c r="BM101" t="e">
        <f>AND(resultados!S91,"AAAAAH+qu0A=")</f>
        <v>#VALUE!</v>
      </c>
      <c r="BN101" t="e">
        <f>AND(resultados!T91,"AAAAAH+qu0E=")</f>
        <v>#VALUE!</v>
      </c>
      <c r="BO101" t="e">
        <f>AND(resultados!U91,"AAAAAH+qu0I=")</f>
        <v>#VALUE!</v>
      </c>
      <c r="BP101" t="e">
        <f>AND(resultados!V91,"AAAAAH+qu0M=")</f>
        <v>#VALUE!</v>
      </c>
      <c r="BQ101" t="e">
        <f>AND(resultados!W91,"AAAAAH+qu0Q=")</f>
        <v>#VALUE!</v>
      </c>
      <c r="BR101" t="e">
        <f>AND(resultados!X91,"AAAAAH+qu0U=")</f>
        <v>#VALUE!</v>
      </c>
      <c r="BS101" t="e">
        <f>AND(resultados!Y91,"AAAAAH+qu0Y=")</f>
        <v>#VALUE!</v>
      </c>
      <c r="BT101" t="e">
        <f>AND(resultados!Z91,"AAAAAH+qu0c=")</f>
        <v>#VALUE!</v>
      </c>
      <c r="BU101" t="e">
        <f>AND(resultados!AA91,"AAAAAH+qu0g=")</f>
        <v>#VALUE!</v>
      </c>
      <c r="BV101" t="e">
        <f>AND(resultados!AB91,"AAAAAH+qu0k=")</f>
        <v>#VALUE!</v>
      </c>
      <c r="BW101" t="e">
        <f>AND(resultados!AC91,"AAAAAH+qu0o=")</f>
        <v>#VALUE!</v>
      </c>
      <c r="BX101" t="e">
        <f>AND(resultados!AD91,"AAAAAH+qu0s=")</f>
        <v>#VALUE!</v>
      </c>
      <c r="BY101" t="e">
        <f>AND(resultados!AE91,"AAAAAH+qu0w=")</f>
        <v>#VALUE!</v>
      </c>
      <c r="BZ101" t="e">
        <f>AND(resultados!AF91,"AAAAAH+qu00=")</f>
        <v>#VALUE!</v>
      </c>
      <c r="CA101" t="e">
        <f>AND(resultados!AG91,"AAAAAH+qu04=")</f>
        <v>#VALUE!</v>
      </c>
      <c r="CB101" t="e">
        <f>AND(resultados!AH91,"AAAAAH+qu08=")</f>
        <v>#VALUE!</v>
      </c>
      <c r="CC101" t="e">
        <f>AND(resultados!AI91,"AAAAAH+qu1A=")</f>
        <v>#VALUE!</v>
      </c>
      <c r="CD101">
        <f>IF(resultados!92:92,"AAAAAH+qu1E=",0)</f>
        <v>0</v>
      </c>
      <c r="CE101" t="e">
        <f>AND(resultados!#REF!,"AAAAAH+qu1I=")</f>
        <v>#REF!</v>
      </c>
      <c r="CF101" t="e">
        <f>AND(resultados!C92,"AAAAAH+qu1M=")</f>
        <v>#VALUE!</v>
      </c>
      <c r="CG101" t="e">
        <f>AND(resultados!D92,"AAAAAH+qu1Q=")</f>
        <v>#VALUE!</v>
      </c>
      <c r="CH101" t="e">
        <f>AND(resultados!E92,"AAAAAH+qu1U=")</f>
        <v>#VALUE!</v>
      </c>
      <c r="CI101" t="e">
        <f>AND(resultados!#REF!,"AAAAAH+qu1Y=")</f>
        <v>#REF!</v>
      </c>
      <c r="CJ101" t="e">
        <f>AND(resultados!G92,"AAAAAH+qu1c=")</f>
        <v>#VALUE!</v>
      </c>
      <c r="CK101" t="e">
        <f>AND(resultados!H92,"AAAAAH+qu1g=")</f>
        <v>#VALUE!</v>
      </c>
      <c r="CL101" t="e">
        <f>AND(resultados!I92,"AAAAAH+qu1k=")</f>
        <v>#VALUE!</v>
      </c>
      <c r="CM101" t="e">
        <f>AND(resultados!J92,"AAAAAH+qu1o=")</f>
        <v>#VALUE!</v>
      </c>
      <c r="CN101" t="e">
        <f>AND(resultados!K92,"AAAAAH+qu1s=")</f>
        <v>#VALUE!</v>
      </c>
      <c r="CO101" t="e">
        <f>AND(resultados!L92,"AAAAAH+qu1w=")</f>
        <v>#VALUE!</v>
      </c>
      <c r="CP101" t="e">
        <f>AND(resultados!M92,"AAAAAH+qu10=")</f>
        <v>#VALUE!</v>
      </c>
      <c r="CQ101" t="e">
        <f>AND(resultados!N92,"AAAAAH+qu14=")</f>
        <v>#VALUE!</v>
      </c>
      <c r="CR101" t="e">
        <f>AND(resultados!O92,"AAAAAH+qu18=")</f>
        <v>#VALUE!</v>
      </c>
      <c r="CS101" t="e">
        <f>AND(resultados!P92,"AAAAAH+qu2A=")</f>
        <v>#VALUE!</v>
      </c>
      <c r="CT101" t="e">
        <f>AND(resultados!Q92,"AAAAAH+qu2E=")</f>
        <v>#VALUE!</v>
      </c>
      <c r="CU101" t="e">
        <f>AND(resultados!R92,"AAAAAH+qu2I=")</f>
        <v>#VALUE!</v>
      </c>
      <c r="CV101" t="e">
        <f>AND(resultados!S92,"AAAAAH+qu2M=")</f>
        <v>#VALUE!</v>
      </c>
      <c r="CW101" t="e">
        <f>AND(resultados!T92,"AAAAAH+qu2Q=")</f>
        <v>#VALUE!</v>
      </c>
      <c r="CX101" t="e">
        <f>AND(resultados!U92,"AAAAAH+qu2U=")</f>
        <v>#VALUE!</v>
      </c>
      <c r="CY101" t="e">
        <f>AND(resultados!V92,"AAAAAH+qu2Y=")</f>
        <v>#VALUE!</v>
      </c>
      <c r="CZ101" t="e">
        <f>AND(resultados!W92,"AAAAAH+qu2c=")</f>
        <v>#VALUE!</v>
      </c>
      <c r="DA101" t="e">
        <f>AND(resultados!X92,"AAAAAH+qu2g=")</f>
        <v>#VALUE!</v>
      </c>
      <c r="DB101" t="e">
        <f>AND(resultados!Y92,"AAAAAH+qu2k=")</f>
        <v>#VALUE!</v>
      </c>
      <c r="DC101" t="e">
        <f>AND(resultados!Z92,"AAAAAH+qu2o=")</f>
        <v>#VALUE!</v>
      </c>
      <c r="DD101" t="e">
        <f>AND(resultados!AA92,"AAAAAH+qu2s=")</f>
        <v>#VALUE!</v>
      </c>
      <c r="DE101" t="e">
        <f>AND(resultados!AB92,"AAAAAH+qu2w=")</f>
        <v>#VALUE!</v>
      </c>
      <c r="DF101" t="e">
        <f>AND(resultados!AC92,"AAAAAH+qu20=")</f>
        <v>#VALUE!</v>
      </c>
      <c r="DG101" t="e">
        <f>AND(resultados!AD92,"AAAAAH+qu24=")</f>
        <v>#VALUE!</v>
      </c>
      <c r="DH101" t="e">
        <f>AND(resultados!AE92,"AAAAAH+qu28=")</f>
        <v>#VALUE!</v>
      </c>
      <c r="DI101" t="e">
        <f>AND(resultados!AF92,"AAAAAH+qu3A=")</f>
        <v>#VALUE!</v>
      </c>
      <c r="DJ101" t="e">
        <f>AND(resultados!AG92,"AAAAAH+qu3E=")</f>
        <v>#VALUE!</v>
      </c>
      <c r="DK101" t="e">
        <f>AND(resultados!AH92,"AAAAAH+qu3I=")</f>
        <v>#VALUE!</v>
      </c>
      <c r="DL101" t="e">
        <f>AND(resultados!AI92,"AAAAAH+qu3M=")</f>
        <v>#VALUE!</v>
      </c>
      <c r="DM101">
        <f>IF(resultados!93:93,"AAAAAH+qu3Q=",0)</f>
        <v>0</v>
      </c>
      <c r="DN101" t="e">
        <f>AND(resultados!#REF!,"AAAAAH+qu3U=")</f>
        <v>#REF!</v>
      </c>
      <c r="DO101" t="e">
        <f>AND(resultados!C93,"AAAAAH+qu3Y=")</f>
        <v>#VALUE!</v>
      </c>
      <c r="DP101" t="e">
        <f>AND(resultados!D93,"AAAAAH+qu3c=")</f>
        <v>#VALUE!</v>
      </c>
      <c r="DQ101" t="e">
        <f>AND(resultados!E93,"AAAAAH+qu3g=")</f>
        <v>#VALUE!</v>
      </c>
      <c r="DR101" t="e">
        <f>AND(resultados!#REF!,"AAAAAH+qu3k=")</f>
        <v>#REF!</v>
      </c>
      <c r="DS101" t="e">
        <f>AND(resultados!G93,"AAAAAH+qu3o=")</f>
        <v>#VALUE!</v>
      </c>
      <c r="DT101" t="e">
        <f>AND(resultados!H93,"AAAAAH+qu3s=")</f>
        <v>#VALUE!</v>
      </c>
      <c r="DU101" t="e">
        <f>AND(resultados!I93,"AAAAAH+qu3w=")</f>
        <v>#VALUE!</v>
      </c>
      <c r="DV101" t="e">
        <f>AND(resultados!J93,"AAAAAH+qu30=")</f>
        <v>#VALUE!</v>
      </c>
      <c r="DW101" t="e">
        <f>AND(resultados!K93,"AAAAAH+qu34=")</f>
        <v>#VALUE!</v>
      </c>
      <c r="DX101" t="e">
        <f>AND(resultados!L93,"AAAAAH+qu38=")</f>
        <v>#VALUE!</v>
      </c>
      <c r="DY101" t="e">
        <f>AND(resultados!M93,"AAAAAH+qu4A=")</f>
        <v>#VALUE!</v>
      </c>
      <c r="DZ101" t="e">
        <f>AND(resultados!N93,"AAAAAH+qu4E=")</f>
        <v>#VALUE!</v>
      </c>
      <c r="EA101" t="e">
        <f>AND(resultados!O93,"AAAAAH+qu4I=")</f>
        <v>#VALUE!</v>
      </c>
      <c r="EB101" t="e">
        <f>AND(resultados!P93,"AAAAAH+qu4M=")</f>
        <v>#VALUE!</v>
      </c>
      <c r="EC101" t="e">
        <f>AND(resultados!Q93,"AAAAAH+qu4Q=")</f>
        <v>#VALUE!</v>
      </c>
      <c r="ED101" t="e">
        <f>AND(resultados!R93,"AAAAAH+qu4U=")</f>
        <v>#VALUE!</v>
      </c>
      <c r="EE101" t="e">
        <f>AND(resultados!S93,"AAAAAH+qu4Y=")</f>
        <v>#VALUE!</v>
      </c>
      <c r="EF101" t="e">
        <f>AND(resultados!T93,"AAAAAH+qu4c=")</f>
        <v>#VALUE!</v>
      </c>
      <c r="EG101" t="e">
        <f>AND(resultados!U93,"AAAAAH+qu4g=")</f>
        <v>#VALUE!</v>
      </c>
      <c r="EH101" t="e">
        <f>AND(resultados!V93,"AAAAAH+qu4k=")</f>
        <v>#VALUE!</v>
      </c>
      <c r="EI101" t="e">
        <f>AND(resultados!W93,"AAAAAH+qu4o=")</f>
        <v>#VALUE!</v>
      </c>
      <c r="EJ101" t="e">
        <f>AND(resultados!X93,"AAAAAH+qu4s=")</f>
        <v>#VALUE!</v>
      </c>
      <c r="EK101" t="e">
        <f>AND(resultados!Y93,"AAAAAH+qu4w=")</f>
        <v>#VALUE!</v>
      </c>
      <c r="EL101" t="e">
        <f>AND(resultados!Z93,"AAAAAH+qu40=")</f>
        <v>#VALUE!</v>
      </c>
      <c r="EM101" t="e">
        <f>AND(resultados!AA93,"AAAAAH+qu44=")</f>
        <v>#VALUE!</v>
      </c>
      <c r="EN101" t="e">
        <f>AND(resultados!AB93,"AAAAAH+qu48=")</f>
        <v>#VALUE!</v>
      </c>
      <c r="EO101" t="e">
        <f>AND(resultados!AC93,"AAAAAH+qu5A=")</f>
        <v>#VALUE!</v>
      </c>
      <c r="EP101" t="e">
        <f>AND(resultados!AD93,"AAAAAH+qu5E=")</f>
        <v>#VALUE!</v>
      </c>
      <c r="EQ101" t="e">
        <f>AND(resultados!AE93,"AAAAAH+qu5I=")</f>
        <v>#VALUE!</v>
      </c>
      <c r="ER101" t="e">
        <f>AND(resultados!AF93,"AAAAAH+qu5M=")</f>
        <v>#VALUE!</v>
      </c>
      <c r="ES101" t="e">
        <f>AND(resultados!AG93,"AAAAAH+qu5Q=")</f>
        <v>#VALUE!</v>
      </c>
      <c r="ET101" t="e">
        <f>AND(resultados!AH93,"AAAAAH+qu5U=")</f>
        <v>#VALUE!</v>
      </c>
      <c r="EU101" t="e">
        <f>AND(resultados!AI93,"AAAAAH+qu5Y=")</f>
        <v>#VALUE!</v>
      </c>
      <c r="EV101">
        <f>IF(resultados!94:94,"AAAAAH+qu5c=",0)</f>
        <v>0</v>
      </c>
      <c r="EW101" t="e">
        <f>AND(resultados!#REF!,"AAAAAH+qu5g=")</f>
        <v>#REF!</v>
      </c>
      <c r="EX101" t="e">
        <f>AND(resultados!C94,"AAAAAH+qu5k=")</f>
        <v>#VALUE!</v>
      </c>
      <c r="EY101" t="e">
        <f>AND(resultados!D94,"AAAAAH+qu5o=")</f>
        <v>#VALUE!</v>
      </c>
      <c r="EZ101" t="e">
        <f>AND(resultados!E94,"AAAAAH+qu5s=")</f>
        <v>#VALUE!</v>
      </c>
      <c r="FA101" t="e">
        <f>AND(resultados!#REF!,"AAAAAH+qu5w=")</f>
        <v>#REF!</v>
      </c>
      <c r="FB101" t="e">
        <f>AND(resultados!G94,"AAAAAH+qu50=")</f>
        <v>#VALUE!</v>
      </c>
      <c r="FC101" t="e">
        <f>AND(resultados!H94,"AAAAAH+qu54=")</f>
        <v>#VALUE!</v>
      </c>
      <c r="FD101" t="e">
        <f>AND(resultados!I94,"AAAAAH+qu58=")</f>
        <v>#VALUE!</v>
      </c>
      <c r="FE101" t="e">
        <f>AND(resultados!J94,"AAAAAH+qu6A=")</f>
        <v>#VALUE!</v>
      </c>
      <c r="FF101" t="e">
        <f>AND(resultados!K94,"AAAAAH+qu6E=")</f>
        <v>#VALUE!</v>
      </c>
      <c r="FG101" t="e">
        <f>AND(resultados!L94,"AAAAAH+qu6I=")</f>
        <v>#VALUE!</v>
      </c>
      <c r="FH101" t="e">
        <f>AND(resultados!M94,"AAAAAH+qu6M=")</f>
        <v>#VALUE!</v>
      </c>
      <c r="FI101" t="e">
        <f>AND(resultados!N94,"AAAAAH+qu6Q=")</f>
        <v>#VALUE!</v>
      </c>
      <c r="FJ101" t="e">
        <f>AND(resultados!O94,"AAAAAH+qu6U=")</f>
        <v>#VALUE!</v>
      </c>
      <c r="FK101" t="e">
        <f>AND(resultados!P94,"AAAAAH+qu6Y=")</f>
        <v>#VALUE!</v>
      </c>
      <c r="FL101" t="e">
        <f>AND(resultados!Q94,"AAAAAH+qu6c=")</f>
        <v>#VALUE!</v>
      </c>
      <c r="FM101" t="e">
        <f>AND(resultados!R94,"AAAAAH+qu6g=")</f>
        <v>#VALUE!</v>
      </c>
      <c r="FN101" t="e">
        <f>AND(resultados!S94,"AAAAAH+qu6k=")</f>
        <v>#VALUE!</v>
      </c>
      <c r="FO101" t="e">
        <f>AND(resultados!T94,"AAAAAH+qu6o=")</f>
        <v>#VALUE!</v>
      </c>
      <c r="FP101" t="e">
        <f>AND(resultados!U94,"AAAAAH+qu6s=")</f>
        <v>#VALUE!</v>
      </c>
      <c r="FQ101" t="e">
        <f>AND(resultados!V94,"AAAAAH+qu6w=")</f>
        <v>#VALUE!</v>
      </c>
      <c r="FR101" t="e">
        <f>AND(resultados!W94,"AAAAAH+qu60=")</f>
        <v>#VALUE!</v>
      </c>
      <c r="FS101" t="e">
        <f>AND(resultados!X94,"AAAAAH+qu64=")</f>
        <v>#VALUE!</v>
      </c>
      <c r="FT101" t="e">
        <f>AND(resultados!Y94,"AAAAAH+qu68=")</f>
        <v>#VALUE!</v>
      </c>
      <c r="FU101" t="e">
        <f>AND(resultados!Z94,"AAAAAH+qu7A=")</f>
        <v>#VALUE!</v>
      </c>
      <c r="FV101" t="e">
        <f>AND(resultados!AA94,"AAAAAH+qu7E=")</f>
        <v>#VALUE!</v>
      </c>
      <c r="FW101" t="e">
        <f>AND(resultados!AB94,"AAAAAH+qu7I=")</f>
        <v>#VALUE!</v>
      </c>
      <c r="FX101" t="e">
        <f>AND(resultados!AC94,"AAAAAH+qu7M=")</f>
        <v>#VALUE!</v>
      </c>
      <c r="FY101" t="e">
        <f>AND(resultados!AD94,"AAAAAH+qu7Q=")</f>
        <v>#VALUE!</v>
      </c>
      <c r="FZ101" t="e">
        <f>AND(resultados!AE94,"AAAAAH+qu7U=")</f>
        <v>#VALUE!</v>
      </c>
      <c r="GA101" t="e">
        <f>AND(resultados!AF94,"AAAAAH+qu7Y=")</f>
        <v>#VALUE!</v>
      </c>
      <c r="GB101" t="e">
        <f>AND(resultados!AG94,"AAAAAH+qu7c=")</f>
        <v>#VALUE!</v>
      </c>
      <c r="GC101" t="e">
        <f>AND(resultados!AH94,"AAAAAH+qu7g=")</f>
        <v>#VALUE!</v>
      </c>
      <c r="GD101" t="e">
        <f>AND(resultados!AI94,"AAAAAH+qu7k=")</f>
        <v>#VALUE!</v>
      </c>
      <c r="GE101">
        <f>IF(resultados!95:95,"AAAAAH+qu7o=",0)</f>
        <v>0</v>
      </c>
      <c r="GF101" t="e">
        <f>AND(resultados!#REF!,"AAAAAH+qu7s=")</f>
        <v>#REF!</v>
      </c>
      <c r="GG101" t="e">
        <f>AND(resultados!C95,"AAAAAH+qu7w=")</f>
        <v>#VALUE!</v>
      </c>
      <c r="GH101" t="e">
        <f>AND(resultados!D95,"AAAAAH+qu70=")</f>
        <v>#VALUE!</v>
      </c>
      <c r="GI101" t="e">
        <f>AND(resultados!E95,"AAAAAH+qu74=")</f>
        <v>#VALUE!</v>
      </c>
      <c r="GJ101" t="e">
        <f>AND(resultados!#REF!,"AAAAAH+qu78=")</f>
        <v>#REF!</v>
      </c>
      <c r="GK101" t="e">
        <f>AND(resultados!G95,"AAAAAH+qu8A=")</f>
        <v>#VALUE!</v>
      </c>
      <c r="GL101" t="e">
        <f>AND(resultados!H95,"AAAAAH+qu8E=")</f>
        <v>#VALUE!</v>
      </c>
      <c r="GM101" t="e">
        <f>AND(resultados!I95,"AAAAAH+qu8I=")</f>
        <v>#VALUE!</v>
      </c>
      <c r="GN101" t="e">
        <f>AND(resultados!J95,"AAAAAH+qu8M=")</f>
        <v>#VALUE!</v>
      </c>
      <c r="GO101" t="e">
        <f>AND(resultados!K95,"AAAAAH+qu8Q=")</f>
        <v>#VALUE!</v>
      </c>
      <c r="GP101" t="e">
        <f>AND(resultados!L95,"AAAAAH+qu8U=")</f>
        <v>#VALUE!</v>
      </c>
      <c r="GQ101" t="e">
        <f>AND(resultados!M95,"AAAAAH+qu8Y=")</f>
        <v>#VALUE!</v>
      </c>
      <c r="GR101" t="e">
        <f>AND(resultados!N95,"AAAAAH+qu8c=")</f>
        <v>#VALUE!</v>
      </c>
      <c r="GS101" t="e">
        <f>AND(resultados!O95,"AAAAAH+qu8g=")</f>
        <v>#VALUE!</v>
      </c>
      <c r="GT101" t="e">
        <f>AND(resultados!P95,"AAAAAH+qu8k=")</f>
        <v>#VALUE!</v>
      </c>
      <c r="GU101" t="e">
        <f>AND(resultados!Q95,"AAAAAH+qu8o=")</f>
        <v>#VALUE!</v>
      </c>
      <c r="GV101" t="e">
        <f>AND(resultados!R95,"AAAAAH+qu8s=")</f>
        <v>#VALUE!</v>
      </c>
      <c r="GW101" t="e">
        <f>AND(resultados!S95,"AAAAAH+qu8w=")</f>
        <v>#VALUE!</v>
      </c>
      <c r="GX101" t="e">
        <f>AND(resultados!T95,"AAAAAH+qu80=")</f>
        <v>#VALUE!</v>
      </c>
      <c r="GY101" t="e">
        <f>AND(resultados!U95,"AAAAAH+qu84=")</f>
        <v>#VALUE!</v>
      </c>
      <c r="GZ101" t="e">
        <f>AND(resultados!V95,"AAAAAH+qu88=")</f>
        <v>#VALUE!</v>
      </c>
      <c r="HA101" t="e">
        <f>AND(resultados!W95,"AAAAAH+qu9A=")</f>
        <v>#VALUE!</v>
      </c>
      <c r="HB101" t="e">
        <f>AND(resultados!X95,"AAAAAH+qu9E=")</f>
        <v>#VALUE!</v>
      </c>
      <c r="HC101" t="e">
        <f>AND(resultados!Y95,"AAAAAH+qu9I=")</f>
        <v>#VALUE!</v>
      </c>
      <c r="HD101" t="e">
        <f>AND(resultados!Z95,"AAAAAH+qu9M=")</f>
        <v>#VALUE!</v>
      </c>
      <c r="HE101" t="e">
        <f>AND(resultados!AA95,"AAAAAH+qu9Q=")</f>
        <v>#VALUE!</v>
      </c>
      <c r="HF101" t="e">
        <f>AND(resultados!AB95,"AAAAAH+qu9U=")</f>
        <v>#VALUE!</v>
      </c>
      <c r="HG101" t="e">
        <f>AND(resultados!AC95,"AAAAAH+qu9Y=")</f>
        <v>#VALUE!</v>
      </c>
      <c r="HH101" t="e">
        <f>AND(resultados!AD95,"AAAAAH+qu9c=")</f>
        <v>#VALUE!</v>
      </c>
      <c r="HI101" t="e">
        <f>AND(resultados!AE95,"AAAAAH+qu9g=")</f>
        <v>#VALUE!</v>
      </c>
      <c r="HJ101" t="e">
        <f>AND(resultados!AF95,"AAAAAH+qu9k=")</f>
        <v>#VALUE!</v>
      </c>
      <c r="HK101" t="e">
        <f>AND(resultados!AG95,"AAAAAH+qu9o=")</f>
        <v>#VALUE!</v>
      </c>
      <c r="HL101" t="e">
        <f>AND(resultados!AH95,"AAAAAH+qu9s=")</f>
        <v>#VALUE!</v>
      </c>
      <c r="HM101" t="e">
        <f>AND(resultados!AI95,"AAAAAH+qu9w=")</f>
        <v>#VALUE!</v>
      </c>
      <c r="HN101">
        <f>IF(resultados!96:96,"AAAAAH+qu90=",0)</f>
        <v>0</v>
      </c>
      <c r="HO101" t="e">
        <f>AND(resultados!#REF!,"AAAAAH+qu94=")</f>
        <v>#REF!</v>
      </c>
      <c r="HP101" t="e">
        <f>AND(resultados!C96,"AAAAAH+qu98=")</f>
        <v>#VALUE!</v>
      </c>
      <c r="HQ101" t="e">
        <f>AND(resultados!D96,"AAAAAH+qu+A=")</f>
        <v>#VALUE!</v>
      </c>
      <c r="HR101" t="e">
        <f>AND(resultados!E96,"AAAAAH+qu+E=")</f>
        <v>#VALUE!</v>
      </c>
      <c r="HS101" t="e">
        <f>AND(resultados!#REF!,"AAAAAH+qu+I=")</f>
        <v>#REF!</v>
      </c>
      <c r="HT101" t="e">
        <f>AND(resultados!G96,"AAAAAH+qu+M=")</f>
        <v>#VALUE!</v>
      </c>
      <c r="HU101" t="e">
        <f>AND(resultados!H96,"AAAAAH+qu+Q=")</f>
        <v>#VALUE!</v>
      </c>
      <c r="HV101" t="e">
        <f>AND(resultados!I96,"AAAAAH+qu+U=")</f>
        <v>#VALUE!</v>
      </c>
      <c r="HW101" t="e">
        <f>AND(resultados!J96,"AAAAAH+qu+Y=")</f>
        <v>#VALUE!</v>
      </c>
      <c r="HX101" t="e">
        <f>AND(resultados!K96,"AAAAAH+qu+c=")</f>
        <v>#VALUE!</v>
      </c>
      <c r="HY101" t="e">
        <f>AND(resultados!L96,"AAAAAH+qu+g=")</f>
        <v>#VALUE!</v>
      </c>
      <c r="HZ101" t="e">
        <f>AND(resultados!M96,"AAAAAH+qu+k=")</f>
        <v>#VALUE!</v>
      </c>
      <c r="IA101" t="e">
        <f>AND(resultados!N96,"AAAAAH+qu+o=")</f>
        <v>#VALUE!</v>
      </c>
      <c r="IB101" t="e">
        <f>AND(resultados!O96,"AAAAAH+qu+s=")</f>
        <v>#VALUE!</v>
      </c>
      <c r="IC101" t="e">
        <f>AND(resultados!P96,"AAAAAH+qu+w=")</f>
        <v>#VALUE!</v>
      </c>
      <c r="ID101" t="e">
        <f>AND(resultados!Q96,"AAAAAH+qu+0=")</f>
        <v>#VALUE!</v>
      </c>
      <c r="IE101" t="e">
        <f>AND(resultados!R96,"AAAAAH+qu+4=")</f>
        <v>#VALUE!</v>
      </c>
      <c r="IF101" t="e">
        <f>AND(resultados!S96,"AAAAAH+qu+8=")</f>
        <v>#VALUE!</v>
      </c>
      <c r="IG101" t="e">
        <f>AND(resultados!T96,"AAAAAH+qu/A=")</f>
        <v>#VALUE!</v>
      </c>
      <c r="IH101" t="e">
        <f>AND(resultados!U96,"AAAAAH+qu/E=")</f>
        <v>#VALUE!</v>
      </c>
      <c r="II101" t="e">
        <f>AND(resultados!V96,"AAAAAH+qu/I=")</f>
        <v>#VALUE!</v>
      </c>
      <c r="IJ101" t="e">
        <f>AND(resultados!W96,"AAAAAH+qu/M=")</f>
        <v>#VALUE!</v>
      </c>
      <c r="IK101" t="e">
        <f>AND(resultados!X96,"AAAAAH+qu/Q=")</f>
        <v>#VALUE!</v>
      </c>
      <c r="IL101" t="e">
        <f>AND(resultados!Y96,"AAAAAH+qu/U=")</f>
        <v>#VALUE!</v>
      </c>
      <c r="IM101" t="e">
        <f>AND(resultados!Z96,"AAAAAH+qu/Y=")</f>
        <v>#VALUE!</v>
      </c>
      <c r="IN101" t="e">
        <f>AND(resultados!AA96,"AAAAAH+qu/c=")</f>
        <v>#VALUE!</v>
      </c>
      <c r="IO101" t="e">
        <f>AND(resultados!AB96,"AAAAAH+qu/g=")</f>
        <v>#VALUE!</v>
      </c>
      <c r="IP101" t="e">
        <f>AND(resultados!AC96,"AAAAAH+qu/k=")</f>
        <v>#VALUE!</v>
      </c>
      <c r="IQ101" t="e">
        <f>AND(resultados!AD96,"AAAAAH+qu/o=")</f>
        <v>#VALUE!</v>
      </c>
      <c r="IR101" t="e">
        <f>AND(resultados!AE96,"AAAAAH+qu/s=")</f>
        <v>#VALUE!</v>
      </c>
      <c r="IS101" t="e">
        <f>AND(resultados!AF96,"AAAAAH+qu/w=")</f>
        <v>#VALUE!</v>
      </c>
      <c r="IT101" t="e">
        <f>AND(resultados!AG96,"AAAAAH+qu/0=")</f>
        <v>#VALUE!</v>
      </c>
      <c r="IU101" t="e">
        <f>AND(resultados!AH96,"AAAAAH+qu/4=")</f>
        <v>#VALUE!</v>
      </c>
      <c r="IV101" t="e">
        <f>AND(resultados!AI96,"AAAAAH+qu/8=")</f>
        <v>#VALUE!</v>
      </c>
    </row>
    <row r="102" spans="1:256" x14ac:dyDescent="0.2">
      <c r="A102">
        <f>IF(resultados!97:97,"AAAAAH6p/wA=",0)</f>
        <v>0</v>
      </c>
      <c r="B102" t="e">
        <f>AND(resultados!#REF!,"AAAAAH6p/wE=")</f>
        <v>#REF!</v>
      </c>
      <c r="C102" t="e">
        <f>AND(resultados!C97,"AAAAAH6p/wI=")</f>
        <v>#VALUE!</v>
      </c>
      <c r="D102" t="e">
        <f>AND(resultados!D97,"AAAAAH6p/wM=")</f>
        <v>#VALUE!</v>
      </c>
      <c r="E102" t="e">
        <f>AND(resultados!E97,"AAAAAH6p/wQ=")</f>
        <v>#VALUE!</v>
      </c>
      <c r="F102" t="e">
        <f>AND(resultados!#REF!,"AAAAAH6p/wU=")</f>
        <v>#REF!</v>
      </c>
      <c r="G102" t="e">
        <f>AND(resultados!G97,"AAAAAH6p/wY=")</f>
        <v>#VALUE!</v>
      </c>
      <c r="H102" t="e">
        <f>AND(resultados!H97,"AAAAAH6p/wc=")</f>
        <v>#VALUE!</v>
      </c>
      <c r="I102" t="e">
        <f>AND(resultados!I97,"AAAAAH6p/wg=")</f>
        <v>#VALUE!</v>
      </c>
      <c r="J102" t="e">
        <f>AND(resultados!J97,"AAAAAH6p/wk=")</f>
        <v>#VALUE!</v>
      </c>
      <c r="K102" t="e">
        <f>AND(resultados!K97,"AAAAAH6p/wo=")</f>
        <v>#VALUE!</v>
      </c>
      <c r="L102" t="e">
        <f>AND(resultados!L97,"AAAAAH6p/ws=")</f>
        <v>#VALUE!</v>
      </c>
      <c r="M102" t="e">
        <f>AND(resultados!M97,"AAAAAH6p/ww=")</f>
        <v>#VALUE!</v>
      </c>
      <c r="N102" t="e">
        <f>AND(resultados!N97,"AAAAAH6p/w0=")</f>
        <v>#VALUE!</v>
      </c>
      <c r="O102" t="e">
        <f>AND(resultados!O97,"AAAAAH6p/w4=")</f>
        <v>#VALUE!</v>
      </c>
      <c r="P102" t="e">
        <f>AND(resultados!P97,"AAAAAH6p/w8=")</f>
        <v>#VALUE!</v>
      </c>
      <c r="Q102" t="e">
        <f>AND(resultados!Q97,"AAAAAH6p/xA=")</f>
        <v>#VALUE!</v>
      </c>
      <c r="R102" t="e">
        <f>AND(resultados!R97,"AAAAAH6p/xE=")</f>
        <v>#VALUE!</v>
      </c>
      <c r="S102" t="e">
        <f>AND(resultados!S97,"AAAAAH6p/xI=")</f>
        <v>#VALUE!</v>
      </c>
      <c r="T102" t="e">
        <f>AND(resultados!T97,"AAAAAH6p/xM=")</f>
        <v>#VALUE!</v>
      </c>
      <c r="U102" t="e">
        <f>AND(resultados!U97,"AAAAAH6p/xQ=")</f>
        <v>#VALUE!</v>
      </c>
      <c r="V102" t="e">
        <f>AND(resultados!V97,"AAAAAH6p/xU=")</f>
        <v>#VALUE!</v>
      </c>
      <c r="W102" t="e">
        <f>AND(resultados!W97,"AAAAAH6p/xY=")</f>
        <v>#VALUE!</v>
      </c>
      <c r="X102" t="e">
        <f>AND(resultados!X97,"AAAAAH6p/xc=")</f>
        <v>#VALUE!</v>
      </c>
      <c r="Y102" t="e">
        <f>AND(resultados!Y97,"AAAAAH6p/xg=")</f>
        <v>#VALUE!</v>
      </c>
      <c r="Z102" t="e">
        <f>AND(resultados!Z97,"AAAAAH6p/xk=")</f>
        <v>#VALUE!</v>
      </c>
      <c r="AA102" t="e">
        <f>AND(resultados!AA97,"AAAAAH6p/xo=")</f>
        <v>#VALUE!</v>
      </c>
      <c r="AB102" t="e">
        <f>AND(resultados!AB97,"AAAAAH6p/xs=")</f>
        <v>#VALUE!</v>
      </c>
      <c r="AC102" t="e">
        <f>AND(resultados!AC97,"AAAAAH6p/xw=")</f>
        <v>#VALUE!</v>
      </c>
      <c r="AD102" t="e">
        <f>AND(resultados!AD97,"AAAAAH6p/x0=")</f>
        <v>#VALUE!</v>
      </c>
      <c r="AE102" t="e">
        <f>AND(resultados!AE97,"AAAAAH6p/x4=")</f>
        <v>#VALUE!</v>
      </c>
      <c r="AF102" t="e">
        <f>AND(resultados!AF97,"AAAAAH6p/x8=")</f>
        <v>#VALUE!</v>
      </c>
      <c r="AG102" t="e">
        <f>AND(resultados!AG97,"AAAAAH6p/yA=")</f>
        <v>#VALUE!</v>
      </c>
      <c r="AH102" t="e">
        <f>AND(resultados!AH97,"AAAAAH6p/yE=")</f>
        <v>#VALUE!</v>
      </c>
      <c r="AI102" t="e">
        <f>AND(resultados!AI97,"AAAAAH6p/yI=")</f>
        <v>#VALUE!</v>
      </c>
      <c r="AJ102">
        <f>IF(resultados!98:98,"AAAAAH6p/yM=",0)</f>
        <v>0</v>
      </c>
      <c r="AK102" t="e">
        <f>AND(resultados!#REF!,"AAAAAH6p/yQ=")</f>
        <v>#REF!</v>
      </c>
      <c r="AL102" t="e">
        <f>AND(resultados!C98,"AAAAAH6p/yU=")</f>
        <v>#VALUE!</v>
      </c>
      <c r="AM102" t="e">
        <f>AND(resultados!D98,"AAAAAH6p/yY=")</f>
        <v>#VALUE!</v>
      </c>
      <c r="AN102" t="e">
        <f>AND(resultados!E98,"AAAAAH6p/yc=")</f>
        <v>#VALUE!</v>
      </c>
      <c r="AO102" t="e">
        <f>AND(resultados!#REF!,"AAAAAH6p/yg=")</f>
        <v>#REF!</v>
      </c>
      <c r="AP102" t="e">
        <f>AND(resultados!G98,"AAAAAH6p/yk=")</f>
        <v>#VALUE!</v>
      </c>
      <c r="AQ102" t="e">
        <f>AND(resultados!H98,"AAAAAH6p/yo=")</f>
        <v>#VALUE!</v>
      </c>
      <c r="AR102" t="e">
        <f>AND(resultados!I98,"AAAAAH6p/ys=")</f>
        <v>#VALUE!</v>
      </c>
      <c r="AS102" t="e">
        <f>AND(resultados!J98,"AAAAAH6p/yw=")</f>
        <v>#VALUE!</v>
      </c>
      <c r="AT102" t="e">
        <f>AND(resultados!K98,"AAAAAH6p/y0=")</f>
        <v>#VALUE!</v>
      </c>
      <c r="AU102" t="e">
        <f>AND(resultados!L98,"AAAAAH6p/y4=")</f>
        <v>#VALUE!</v>
      </c>
      <c r="AV102" t="e">
        <f>AND(resultados!M98,"AAAAAH6p/y8=")</f>
        <v>#VALUE!</v>
      </c>
      <c r="AW102" t="e">
        <f>AND(resultados!N98,"AAAAAH6p/zA=")</f>
        <v>#VALUE!</v>
      </c>
      <c r="AX102" t="e">
        <f>AND(resultados!O98,"AAAAAH6p/zE=")</f>
        <v>#VALUE!</v>
      </c>
      <c r="AY102" t="e">
        <f>AND(resultados!P98,"AAAAAH6p/zI=")</f>
        <v>#VALUE!</v>
      </c>
      <c r="AZ102" t="e">
        <f>AND(resultados!Q98,"AAAAAH6p/zM=")</f>
        <v>#VALUE!</v>
      </c>
      <c r="BA102" t="e">
        <f>AND(resultados!R98,"AAAAAH6p/zQ=")</f>
        <v>#VALUE!</v>
      </c>
      <c r="BB102" t="e">
        <f>AND(resultados!S98,"AAAAAH6p/zU=")</f>
        <v>#VALUE!</v>
      </c>
      <c r="BC102" t="e">
        <f>AND(resultados!T98,"AAAAAH6p/zY=")</f>
        <v>#VALUE!</v>
      </c>
      <c r="BD102" t="e">
        <f>AND(resultados!U98,"AAAAAH6p/zc=")</f>
        <v>#VALUE!</v>
      </c>
      <c r="BE102" t="e">
        <f>AND(resultados!V98,"AAAAAH6p/zg=")</f>
        <v>#VALUE!</v>
      </c>
      <c r="BF102" t="e">
        <f>AND(resultados!W98,"AAAAAH6p/zk=")</f>
        <v>#VALUE!</v>
      </c>
      <c r="BG102" t="e">
        <f>AND(resultados!X98,"AAAAAH6p/zo=")</f>
        <v>#VALUE!</v>
      </c>
      <c r="BH102" t="e">
        <f>AND(resultados!Y98,"AAAAAH6p/zs=")</f>
        <v>#VALUE!</v>
      </c>
      <c r="BI102" t="e">
        <f>AND(resultados!Z98,"AAAAAH6p/zw=")</f>
        <v>#VALUE!</v>
      </c>
      <c r="BJ102" t="e">
        <f>AND(resultados!AA98,"AAAAAH6p/z0=")</f>
        <v>#VALUE!</v>
      </c>
      <c r="BK102" t="e">
        <f>AND(resultados!AB98,"AAAAAH6p/z4=")</f>
        <v>#VALUE!</v>
      </c>
      <c r="BL102" t="e">
        <f>AND(resultados!AC98,"AAAAAH6p/z8=")</f>
        <v>#VALUE!</v>
      </c>
      <c r="BM102" t="e">
        <f>AND(resultados!AD98,"AAAAAH6p/0A=")</f>
        <v>#VALUE!</v>
      </c>
      <c r="BN102" t="e">
        <f>AND(resultados!AE98,"AAAAAH6p/0E=")</f>
        <v>#VALUE!</v>
      </c>
      <c r="BO102" t="e">
        <f>AND(resultados!AF98,"AAAAAH6p/0I=")</f>
        <v>#VALUE!</v>
      </c>
      <c r="BP102" t="e">
        <f>AND(resultados!AG98,"AAAAAH6p/0M=")</f>
        <v>#VALUE!</v>
      </c>
      <c r="BQ102" t="e">
        <f>AND(resultados!AH98,"AAAAAH6p/0Q=")</f>
        <v>#VALUE!</v>
      </c>
      <c r="BR102" t="e">
        <f>AND(resultados!AI98,"AAAAAH6p/0U=")</f>
        <v>#VALUE!</v>
      </c>
      <c r="BS102">
        <f>IF(resultados!99:99,"AAAAAH6p/0Y=",0)</f>
        <v>0</v>
      </c>
      <c r="BT102" t="e">
        <f>AND(resultados!#REF!,"AAAAAH6p/0c=")</f>
        <v>#REF!</v>
      </c>
      <c r="BU102" t="e">
        <f>AND(resultados!C99,"AAAAAH6p/0g=")</f>
        <v>#VALUE!</v>
      </c>
      <c r="BV102" t="e">
        <f>AND(resultados!D99,"AAAAAH6p/0k=")</f>
        <v>#VALUE!</v>
      </c>
      <c r="BW102" t="e">
        <f>AND(resultados!E99,"AAAAAH6p/0o=")</f>
        <v>#VALUE!</v>
      </c>
      <c r="BX102" t="e">
        <f>AND(resultados!#REF!,"AAAAAH6p/0s=")</f>
        <v>#REF!</v>
      </c>
      <c r="BY102" t="e">
        <f>AND(resultados!G99,"AAAAAH6p/0w=")</f>
        <v>#VALUE!</v>
      </c>
      <c r="BZ102" t="e">
        <f>AND(resultados!H99,"AAAAAH6p/00=")</f>
        <v>#VALUE!</v>
      </c>
      <c r="CA102" t="e">
        <f>AND(resultados!I99,"AAAAAH6p/04=")</f>
        <v>#VALUE!</v>
      </c>
      <c r="CB102" t="e">
        <f>AND(resultados!J99,"AAAAAH6p/08=")</f>
        <v>#VALUE!</v>
      </c>
      <c r="CC102" t="e">
        <f>AND(resultados!K99,"AAAAAH6p/1A=")</f>
        <v>#VALUE!</v>
      </c>
      <c r="CD102" t="e">
        <f>AND(resultados!L99,"AAAAAH6p/1E=")</f>
        <v>#VALUE!</v>
      </c>
      <c r="CE102" t="e">
        <f>AND(resultados!M99,"AAAAAH6p/1I=")</f>
        <v>#VALUE!</v>
      </c>
      <c r="CF102" t="e">
        <f>AND(resultados!N99,"AAAAAH6p/1M=")</f>
        <v>#VALUE!</v>
      </c>
      <c r="CG102" t="e">
        <f>AND(resultados!O99,"AAAAAH6p/1Q=")</f>
        <v>#VALUE!</v>
      </c>
      <c r="CH102" t="e">
        <f>AND(resultados!P99,"AAAAAH6p/1U=")</f>
        <v>#VALUE!</v>
      </c>
      <c r="CI102" t="e">
        <f>AND(resultados!Q99,"AAAAAH6p/1Y=")</f>
        <v>#VALUE!</v>
      </c>
      <c r="CJ102" t="e">
        <f>AND(resultados!R99,"AAAAAH6p/1c=")</f>
        <v>#VALUE!</v>
      </c>
      <c r="CK102" t="e">
        <f>AND(resultados!S99,"AAAAAH6p/1g=")</f>
        <v>#VALUE!</v>
      </c>
      <c r="CL102" t="e">
        <f>AND(resultados!T99,"AAAAAH6p/1k=")</f>
        <v>#VALUE!</v>
      </c>
      <c r="CM102" t="e">
        <f>AND(resultados!U99,"AAAAAH6p/1o=")</f>
        <v>#VALUE!</v>
      </c>
      <c r="CN102" t="e">
        <f>AND(resultados!V99,"AAAAAH6p/1s=")</f>
        <v>#VALUE!</v>
      </c>
      <c r="CO102" t="e">
        <f>AND(resultados!W99,"AAAAAH6p/1w=")</f>
        <v>#VALUE!</v>
      </c>
      <c r="CP102" t="e">
        <f>AND(resultados!X99,"AAAAAH6p/10=")</f>
        <v>#VALUE!</v>
      </c>
      <c r="CQ102" t="e">
        <f>AND(resultados!Y99,"AAAAAH6p/14=")</f>
        <v>#VALUE!</v>
      </c>
      <c r="CR102" t="e">
        <f>AND(resultados!Z99,"AAAAAH6p/18=")</f>
        <v>#VALUE!</v>
      </c>
      <c r="CS102" t="e">
        <f>AND(resultados!AA99,"AAAAAH6p/2A=")</f>
        <v>#VALUE!</v>
      </c>
      <c r="CT102" t="e">
        <f>AND(resultados!AB99,"AAAAAH6p/2E=")</f>
        <v>#VALUE!</v>
      </c>
      <c r="CU102" t="e">
        <f>AND(resultados!AC99,"AAAAAH6p/2I=")</f>
        <v>#VALUE!</v>
      </c>
      <c r="CV102" t="e">
        <f>AND(resultados!AD99,"AAAAAH6p/2M=")</f>
        <v>#VALUE!</v>
      </c>
      <c r="CW102" t="e">
        <f>AND(resultados!AE99,"AAAAAH6p/2Q=")</f>
        <v>#VALUE!</v>
      </c>
      <c r="CX102" t="e">
        <f>AND(resultados!AF99,"AAAAAH6p/2U=")</f>
        <v>#VALUE!</v>
      </c>
      <c r="CY102" t="e">
        <f>AND(resultados!AG99,"AAAAAH6p/2Y=")</f>
        <v>#VALUE!</v>
      </c>
      <c r="CZ102" t="e">
        <f>AND(resultados!AH99,"AAAAAH6p/2c=")</f>
        <v>#VALUE!</v>
      </c>
      <c r="DA102" t="e">
        <f>AND(resultados!AI99,"AAAAAH6p/2g=")</f>
        <v>#VALUE!</v>
      </c>
      <c r="DB102">
        <f>IF(resultados!100:100,"AAAAAH6p/2k=",0)</f>
        <v>0</v>
      </c>
      <c r="DC102" t="e">
        <f>AND(resultados!#REF!,"AAAAAH6p/2o=")</f>
        <v>#REF!</v>
      </c>
      <c r="DD102" t="e">
        <f>AND(resultados!C100,"AAAAAH6p/2s=")</f>
        <v>#VALUE!</v>
      </c>
      <c r="DE102" t="e">
        <f>AND(resultados!D100,"AAAAAH6p/2w=")</f>
        <v>#VALUE!</v>
      </c>
      <c r="DF102" t="e">
        <f>AND(resultados!E100,"AAAAAH6p/20=")</f>
        <v>#VALUE!</v>
      </c>
      <c r="DG102" t="e">
        <f>AND(resultados!#REF!,"AAAAAH6p/24=")</f>
        <v>#REF!</v>
      </c>
      <c r="DH102" t="e">
        <f>AND(resultados!G100,"AAAAAH6p/28=")</f>
        <v>#VALUE!</v>
      </c>
      <c r="DI102" t="e">
        <f>AND(resultados!H100,"AAAAAH6p/3A=")</f>
        <v>#VALUE!</v>
      </c>
      <c r="DJ102" t="e">
        <f>AND(resultados!I100,"AAAAAH6p/3E=")</f>
        <v>#VALUE!</v>
      </c>
      <c r="DK102" t="e">
        <f>AND(resultados!J100,"AAAAAH6p/3I=")</f>
        <v>#VALUE!</v>
      </c>
      <c r="DL102" t="e">
        <f>AND(resultados!K100,"AAAAAH6p/3M=")</f>
        <v>#VALUE!</v>
      </c>
      <c r="DM102" t="e">
        <f>AND(resultados!L100,"AAAAAH6p/3Q=")</f>
        <v>#VALUE!</v>
      </c>
      <c r="DN102" t="e">
        <f>AND(resultados!M100,"AAAAAH6p/3U=")</f>
        <v>#VALUE!</v>
      </c>
      <c r="DO102" t="e">
        <f>AND(resultados!N100,"AAAAAH6p/3Y=")</f>
        <v>#VALUE!</v>
      </c>
      <c r="DP102" t="e">
        <f>AND(resultados!O100,"AAAAAH6p/3c=")</f>
        <v>#VALUE!</v>
      </c>
      <c r="DQ102" t="e">
        <f>AND(resultados!P100,"AAAAAH6p/3g=")</f>
        <v>#VALUE!</v>
      </c>
      <c r="DR102" t="e">
        <f>AND(resultados!Q100,"AAAAAH6p/3k=")</f>
        <v>#VALUE!</v>
      </c>
      <c r="DS102" t="e">
        <f>AND(resultados!R100,"AAAAAH6p/3o=")</f>
        <v>#VALUE!</v>
      </c>
      <c r="DT102" t="e">
        <f>AND(resultados!S100,"AAAAAH6p/3s=")</f>
        <v>#VALUE!</v>
      </c>
      <c r="DU102" t="e">
        <f>AND(resultados!T100,"AAAAAH6p/3w=")</f>
        <v>#VALUE!</v>
      </c>
      <c r="DV102" t="e">
        <f>AND(resultados!U100,"AAAAAH6p/30=")</f>
        <v>#VALUE!</v>
      </c>
      <c r="DW102" t="e">
        <f>AND(resultados!V100,"AAAAAH6p/34=")</f>
        <v>#VALUE!</v>
      </c>
      <c r="DX102" t="e">
        <f>AND(resultados!W100,"AAAAAH6p/38=")</f>
        <v>#VALUE!</v>
      </c>
      <c r="DY102" t="e">
        <f>AND(resultados!X100,"AAAAAH6p/4A=")</f>
        <v>#VALUE!</v>
      </c>
      <c r="DZ102" t="e">
        <f>AND(resultados!Y100,"AAAAAH6p/4E=")</f>
        <v>#VALUE!</v>
      </c>
      <c r="EA102" t="e">
        <f>AND(resultados!Z100,"AAAAAH6p/4I=")</f>
        <v>#VALUE!</v>
      </c>
      <c r="EB102" t="e">
        <f>AND(resultados!AA100,"AAAAAH6p/4M=")</f>
        <v>#VALUE!</v>
      </c>
      <c r="EC102" t="e">
        <f>AND(resultados!AB100,"AAAAAH6p/4Q=")</f>
        <v>#VALUE!</v>
      </c>
      <c r="ED102" t="e">
        <f>AND(resultados!AC100,"AAAAAH6p/4U=")</f>
        <v>#VALUE!</v>
      </c>
      <c r="EE102" t="e">
        <f>AND(resultados!AD100,"AAAAAH6p/4Y=")</f>
        <v>#VALUE!</v>
      </c>
      <c r="EF102" t="e">
        <f>AND(resultados!AE100,"AAAAAH6p/4c=")</f>
        <v>#VALUE!</v>
      </c>
      <c r="EG102" t="e">
        <f>AND(resultados!AF100,"AAAAAH6p/4g=")</f>
        <v>#VALUE!</v>
      </c>
      <c r="EH102" t="e">
        <f>AND(resultados!AG100,"AAAAAH6p/4k=")</f>
        <v>#VALUE!</v>
      </c>
      <c r="EI102" t="e">
        <f>AND(resultados!AH100,"AAAAAH6p/4o=")</f>
        <v>#VALUE!</v>
      </c>
      <c r="EJ102" t="e">
        <f>AND(resultados!AI100,"AAAAAH6p/4s=")</f>
        <v>#VALUE!</v>
      </c>
      <c r="EK102">
        <f>IF(resultados!101:101,"AAAAAH6p/4w=",0)</f>
        <v>0</v>
      </c>
      <c r="EL102" t="e">
        <f>AND(resultados!#REF!,"AAAAAH6p/40=")</f>
        <v>#REF!</v>
      </c>
      <c r="EM102" t="e">
        <f>AND(resultados!C101,"AAAAAH6p/44=")</f>
        <v>#VALUE!</v>
      </c>
      <c r="EN102" t="e">
        <f>AND(resultados!D101,"AAAAAH6p/48=")</f>
        <v>#VALUE!</v>
      </c>
      <c r="EO102" t="e">
        <f>AND(resultados!E101,"AAAAAH6p/5A=")</f>
        <v>#VALUE!</v>
      </c>
      <c r="EP102" t="e">
        <f>AND(resultados!#REF!,"AAAAAH6p/5E=")</f>
        <v>#REF!</v>
      </c>
      <c r="EQ102" t="e">
        <f>AND(resultados!G101,"AAAAAH6p/5I=")</f>
        <v>#VALUE!</v>
      </c>
      <c r="ER102" t="e">
        <f>AND(resultados!H101,"AAAAAH6p/5M=")</f>
        <v>#VALUE!</v>
      </c>
      <c r="ES102" t="e">
        <f>AND(resultados!I101,"AAAAAH6p/5Q=")</f>
        <v>#VALUE!</v>
      </c>
      <c r="ET102" t="e">
        <f>AND(resultados!J101,"AAAAAH6p/5U=")</f>
        <v>#VALUE!</v>
      </c>
      <c r="EU102" t="e">
        <f>AND(resultados!K101,"AAAAAH6p/5Y=")</f>
        <v>#VALUE!</v>
      </c>
      <c r="EV102" t="e">
        <f>AND(resultados!L101,"AAAAAH6p/5c=")</f>
        <v>#VALUE!</v>
      </c>
      <c r="EW102" t="e">
        <f>AND(resultados!M101,"AAAAAH6p/5g=")</f>
        <v>#VALUE!</v>
      </c>
      <c r="EX102" t="e">
        <f>AND(resultados!N101,"AAAAAH6p/5k=")</f>
        <v>#VALUE!</v>
      </c>
      <c r="EY102" t="e">
        <f>AND(resultados!O101,"AAAAAH6p/5o=")</f>
        <v>#VALUE!</v>
      </c>
      <c r="EZ102" t="e">
        <f>AND(resultados!P101,"AAAAAH6p/5s=")</f>
        <v>#VALUE!</v>
      </c>
      <c r="FA102" t="e">
        <f>AND(resultados!Q101,"AAAAAH6p/5w=")</f>
        <v>#VALUE!</v>
      </c>
      <c r="FB102" t="e">
        <f>AND(resultados!R101,"AAAAAH6p/50=")</f>
        <v>#VALUE!</v>
      </c>
      <c r="FC102" t="e">
        <f>AND(resultados!S101,"AAAAAH6p/54=")</f>
        <v>#VALUE!</v>
      </c>
      <c r="FD102" t="e">
        <f>AND(resultados!T101,"AAAAAH6p/58=")</f>
        <v>#VALUE!</v>
      </c>
      <c r="FE102" t="e">
        <f>AND(resultados!U101,"AAAAAH6p/6A=")</f>
        <v>#VALUE!</v>
      </c>
      <c r="FF102" t="e">
        <f>AND(resultados!V101,"AAAAAH6p/6E=")</f>
        <v>#VALUE!</v>
      </c>
      <c r="FG102" t="e">
        <f>AND(resultados!W101,"AAAAAH6p/6I=")</f>
        <v>#VALUE!</v>
      </c>
      <c r="FH102" t="e">
        <f>AND(resultados!X101,"AAAAAH6p/6M=")</f>
        <v>#VALUE!</v>
      </c>
      <c r="FI102" t="e">
        <f>AND(resultados!Y101,"AAAAAH6p/6Q=")</f>
        <v>#VALUE!</v>
      </c>
      <c r="FJ102" t="e">
        <f>AND(resultados!Z101,"AAAAAH6p/6U=")</f>
        <v>#VALUE!</v>
      </c>
      <c r="FK102" t="e">
        <f>AND(resultados!AA101,"AAAAAH6p/6Y=")</f>
        <v>#VALUE!</v>
      </c>
      <c r="FL102" t="e">
        <f>AND(resultados!AB101,"AAAAAH6p/6c=")</f>
        <v>#VALUE!</v>
      </c>
      <c r="FM102" t="e">
        <f>AND(resultados!AC101,"AAAAAH6p/6g=")</f>
        <v>#VALUE!</v>
      </c>
      <c r="FN102" t="e">
        <f>AND(resultados!AD101,"AAAAAH6p/6k=")</f>
        <v>#VALUE!</v>
      </c>
      <c r="FO102" t="e">
        <f>AND(resultados!AE101,"AAAAAH6p/6o=")</f>
        <v>#VALUE!</v>
      </c>
      <c r="FP102" t="e">
        <f>AND(resultados!AF101,"AAAAAH6p/6s=")</f>
        <v>#VALUE!</v>
      </c>
      <c r="FQ102" t="e">
        <f>AND(resultados!AG101,"AAAAAH6p/6w=")</f>
        <v>#VALUE!</v>
      </c>
      <c r="FR102" t="e">
        <f>AND(resultados!AH101,"AAAAAH6p/60=")</f>
        <v>#VALUE!</v>
      </c>
      <c r="FS102" t="e">
        <f>AND(resultados!AI101,"AAAAAH6p/64=")</f>
        <v>#VALUE!</v>
      </c>
      <c r="FT102">
        <f>IF(resultados!102:102,"AAAAAH6p/68=",0)</f>
        <v>0</v>
      </c>
      <c r="FU102" t="e">
        <f>AND(resultados!#REF!,"AAAAAH6p/7A=")</f>
        <v>#REF!</v>
      </c>
      <c r="FV102" t="e">
        <f>AND(resultados!C102,"AAAAAH6p/7E=")</f>
        <v>#VALUE!</v>
      </c>
      <c r="FW102" t="e">
        <f>AND(resultados!D102,"AAAAAH6p/7I=")</f>
        <v>#VALUE!</v>
      </c>
      <c r="FX102" t="e">
        <f>AND(resultados!E102,"AAAAAH6p/7M=")</f>
        <v>#VALUE!</v>
      </c>
      <c r="FY102" t="e">
        <f>AND(resultados!#REF!,"AAAAAH6p/7Q=")</f>
        <v>#REF!</v>
      </c>
      <c r="FZ102" t="e">
        <f>AND(resultados!G102,"AAAAAH6p/7U=")</f>
        <v>#VALUE!</v>
      </c>
      <c r="GA102" t="e">
        <f>AND(resultados!H102,"AAAAAH6p/7Y=")</f>
        <v>#VALUE!</v>
      </c>
      <c r="GB102" t="e">
        <f>AND(resultados!I102,"AAAAAH6p/7c=")</f>
        <v>#VALUE!</v>
      </c>
      <c r="GC102" t="e">
        <f>AND(resultados!J102,"AAAAAH6p/7g=")</f>
        <v>#VALUE!</v>
      </c>
      <c r="GD102" t="e">
        <f>AND(resultados!K102,"AAAAAH6p/7k=")</f>
        <v>#VALUE!</v>
      </c>
      <c r="GE102" t="e">
        <f>AND(resultados!L102,"AAAAAH6p/7o=")</f>
        <v>#VALUE!</v>
      </c>
      <c r="GF102" t="e">
        <f>AND(resultados!M102,"AAAAAH6p/7s=")</f>
        <v>#VALUE!</v>
      </c>
      <c r="GG102" t="e">
        <f>AND(resultados!N102,"AAAAAH6p/7w=")</f>
        <v>#VALUE!</v>
      </c>
      <c r="GH102" t="e">
        <f>AND(resultados!O102,"AAAAAH6p/70=")</f>
        <v>#VALUE!</v>
      </c>
      <c r="GI102" t="e">
        <f>AND(resultados!P102,"AAAAAH6p/74=")</f>
        <v>#VALUE!</v>
      </c>
      <c r="GJ102" t="e">
        <f>AND(resultados!Q102,"AAAAAH6p/78=")</f>
        <v>#VALUE!</v>
      </c>
      <c r="GK102" t="e">
        <f>AND(resultados!R102,"AAAAAH6p/8A=")</f>
        <v>#VALUE!</v>
      </c>
      <c r="GL102" t="e">
        <f>AND(resultados!S102,"AAAAAH6p/8E=")</f>
        <v>#VALUE!</v>
      </c>
      <c r="GM102" t="e">
        <f>AND(resultados!T102,"AAAAAH6p/8I=")</f>
        <v>#VALUE!</v>
      </c>
      <c r="GN102" t="e">
        <f>AND(resultados!U102,"AAAAAH6p/8M=")</f>
        <v>#VALUE!</v>
      </c>
      <c r="GO102" t="e">
        <f>AND(resultados!V102,"AAAAAH6p/8Q=")</f>
        <v>#VALUE!</v>
      </c>
      <c r="GP102" t="e">
        <f>AND(resultados!W102,"AAAAAH6p/8U=")</f>
        <v>#VALUE!</v>
      </c>
      <c r="GQ102" t="e">
        <f>AND(resultados!X102,"AAAAAH6p/8Y=")</f>
        <v>#VALUE!</v>
      </c>
      <c r="GR102" t="e">
        <f>AND(resultados!Y102,"AAAAAH6p/8c=")</f>
        <v>#VALUE!</v>
      </c>
      <c r="GS102" t="e">
        <f>AND(resultados!Z102,"AAAAAH6p/8g=")</f>
        <v>#VALUE!</v>
      </c>
      <c r="GT102" t="e">
        <f>AND(resultados!AA102,"AAAAAH6p/8k=")</f>
        <v>#VALUE!</v>
      </c>
      <c r="GU102" t="e">
        <f>AND(resultados!AB102,"AAAAAH6p/8o=")</f>
        <v>#VALUE!</v>
      </c>
      <c r="GV102" t="e">
        <f>AND(resultados!AC102,"AAAAAH6p/8s=")</f>
        <v>#VALUE!</v>
      </c>
      <c r="GW102" t="e">
        <f>AND(resultados!AD102,"AAAAAH6p/8w=")</f>
        <v>#VALUE!</v>
      </c>
      <c r="GX102" t="e">
        <f>AND(resultados!AE102,"AAAAAH6p/80=")</f>
        <v>#VALUE!</v>
      </c>
      <c r="GY102" t="e">
        <f>AND(resultados!AF102,"AAAAAH6p/84=")</f>
        <v>#VALUE!</v>
      </c>
      <c r="GZ102" t="e">
        <f>AND(resultados!AG102,"AAAAAH6p/88=")</f>
        <v>#VALUE!</v>
      </c>
      <c r="HA102" t="e">
        <f>AND(resultados!AH102,"AAAAAH6p/9A=")</f>
        <v>#VALUE!</v>
      </c>
      <c r="HB102" t="e">
        <f>AND(resultados!AI102,"AAAAAH6p/9E=")</f>
        <v>#VALUE!</v>
      </c>
      <c r="HC102">
        <f>IF(resultados!103:103,"AAAAAH6p/9I=",0)</f>
        <v>0</v>
      </c>
      <c r="HD102" t="e">
        <f>AND(resultados!#REF!,"AAAAAH6p/9M=")</f>
        <v>#REF!</v>
      </c>
      <c r="HE102" t="e">
        <f>AND(resultados!C103,"AAAAAH6p/9Q=")</f>
        <v>#VALUE!</v>
      </c>
      <c r="HF102" t="e">
        <f>AND(resultados!D103,"AAAAAH6p/9U=")</f>
        <v>#VALUE!</v>
      </c>
      <c r="HG102" t="e">
        <f>AND(resultados!E103,"AAAAAH6p/9Y=")</f>
        <v>#VALUE!</v>
      </c>
      <c r="HH102" t="e">
        <f>AND(resultados!#REF!,"AAAAAH6p/9c=")</f>
        <v>#REF!</v>
      </c>
      <c r="HI102" t="e">
        <f>AND(resultados!G103,"AAAAAH6p/9g=")</f>
        <v>#VALUE!</v>
      </c>
      <c r="HJ102" t="e">
        <f>AND(resultados!H103,"AAAAAH6p/9k=")</f>
        <v>#VALUE!</v>
      </c>
      <c r="HK102" t="e">
        <f>AND(resultados!I103,"AAAAAH6p/9o=")</f>
        <v>#VALUE!</v>
      </c>
      <c r="HL102" t="e">
        <f>AND(resultados!J103,"AAAAAH6p/9s=")</f>
        <v>#VALUE!</v>
      </c>
      <c r="HM102" t="e">
        <f>AND(resultados!K103,"AAAAAH6p/9w=")</f>
        <v>#VALUE!</v>
      </c>
      <c r="HN102" t="e">
        <f>AND(resultados!L103,"AAAAAH6p/90=")</f>
        <v>#VALUE!</v>
      </c>
      <c r="HO102" t="e">
        <f>AND(resultados!M103,"AAAAAH6p/94=")</f>
        <v>#VALUE!</v>
      </c>
      <c r="HP102" t="e">
        <f>AND(resultados!N103,"AAAAAH6p/98=")</f>
        <v>#VALUE!</v>
      </c>
      <c r="HQ102" t="e">
        <f>AND(resultados!O103,"AAAAAH6p/+A=")</f>
        <v>#VALUE!</v>
      </c>
      <c r="HR102" t="e">
        <f>AND(resultados!P103,"AAAAAH6p/+E=")</f>
        <v>#VALUE!</v>
      </c>
      <c r="HS102" t="e">
        <f>AND(resultados!Q103,"AAAAAH6p/+I=")</f>
        <v>#VALUE!</v>
      </c>
      <c r="HT102" t="e">
        <f>AND(resultados!R103,"AAAAAH6p/+M=")</f>
        <v>#VALUE!</v>
      </c>
      <c r="HU102" t="e">
        <f>AND(resultados!S103,"AAAAAH6p/+Q=")</f>
        <v>#VALUE!</v>
      </c>
      <c r="HV102" t="e">
        <f>AND(resultados!T103,"AAAAAH6p/+U=")</f>
        <v>#VALUE!</v>
      </c>
      <c r="HW102" t="e">
        <f>AND(resultados!U103,"AAAAAH6p/+Y=")</f>
        <v>#VALUE!</v>
      </c>
      <c r="HX102" t="e">
        <f>AND(resultados!V103,"AAAAAH6p/+c=")</f>
        <v>#VALUE!</v>
      </c>
      <c r="HY102" t="e">
        <f>AND(resultados!W103,"AAAAAH6p/+g=")</f>
        <v>#VALUE!</v>
      </c>
      <c r="HZ102" t="e">
        <f>AND(resultados!X103,"AAAAAH6p/+k=")</f>
        <v>#VALUE!</v>
      </c>
      <c r="IA102" t="e">
        <f>AND(resultados!Y103,"AAAAAH6p/+o=")</f>
        <v>#VALUE!</v>
      </c>
      <c r="IB102" t="e">
        <f>AND(resultados!Z103,"AAAAAH6p/+s=")</f>
        <v>#VALUE!</v>
      </c>
      <c r="IC102" t="e">
        <f>AND(resultados!AA103,"AAAAAH6p/+w=")</f>
        <v>#VALUE!</v>
      </c>
      <c r="ID102" t="e">
        <f>AND(resultados!AB103,"AAAAAH6p/+0=")</f>
        <v>#VALUE!</v>
      </c>
      <c r="IE102" t="e">
        <f>AND(resultados!AC103,"AAAAAH6p/+4=")</f>
        <v>#VALUE!</v>
      </c>
      <c r="IF102" t="e">
        <f>AND(resultados!AD103,"AAAAAH6p/+8=")</f>
        <v>#VALUE!</v>
      </c>
      <c r="IG102" t="e">
        <f>AND(resultados!AE103,"AAAAAH6p//A=")</f>
        <v>#VALUE!</v>
      </c>
      <c r="IH102" t="e">
        <f>AND(resultados!AF103,"AAAAAH6p//E=")</f>
        <v>#VALUE!</v>
      </c>
      <c r="II102" t="e">
        <f>AND(resultados!AG103,"AAAAAH6p//I=")</f>
        <v>#VALUE!</v>
      </c>
      <c r="IJ102" t="e">
        <f>AND(resultados!AH103,"AAAAAH6p//M=")</f>
        <v>#VALUE!</v>
      </c>
      <c r="IK102" t="e">
        <f>AND(resultados!AI103,"AAAAAH6p//Q=")</f>
        <v>#VALUE!</v>
      </c>
      <c r="IL102">
        <f>IF(resultados!104:104,"AAAAAH6p//U=",0)</f>
        <v>0</v>
      </c>
      <c r="IM102" t="e">
        <f>AND(resultados!#REF!,"AAAAAH6p//Y=")</f>
        <v>#REF!</v>
      </c>
      <c r="IN102" t="e">
        <f>AND(resultados!C104,"AAAAAH6p//c=")</f>
        <v>#VALUE!</v>
      </c>
      <c r="IO102" t="e">
        <f>AND(resultados!D104,"AAAAAH6p//g=")</f>
        <v>#VALUE!</v>
      </c>
      <c r="IP102" t="e">
        <f>AND(resultados!E104,"AAAAAH6p//k=")</f>
        <v>#VALUE!</v>
      </c>
      <c r="IQ102" t="e">
        <f>AND(resultados!#REF!,"AAAAAH6p//o=")</f>
        <v>#REF!</v>
      </c>
      <c r="IR102" t="e">
        <f>AND(resultados!G104,"AAAAAH6p//s=")</f>
        <v>#VALUE!</v>
      </c>
      <c r="IS102" t="e">
        <f>AND(resultados!H104,"AAAAAH6p//w=")</f>
        <v>#VALUE!</v>
      </c>
      <c r="IT102" t="e">
        <f>AND(resultados!I104,"AAAAAH6p//0=")</f>
        <v>#VALUE!</v>
      </c>
      <c r="IU102" t="e">
        <f>AND(resultados!J104,"AAAAAH6p//4=")</f>
        <v>#VALUE!</v>
      </c>
      <c r="IV102" t="e">
        <f>AND(resultados!K104,"AAAAAH6p//8=")</f>
        <v>#VALUE!</v>
      </c>
    </row>
    <row r="103" spans="1:256" x14ac:dyDescent="0.2">
      <c r="A103" t="e">
        <f>AND(resultados!L104,"AAAAAH+tbQA=")</f>
        <v>#VALUE!</v>
      </c>
      <c r="B103" t="e">
        <f>AND(resultados!M104,"AAAAAH+tbQE=")</f>
        <v>#VALUE!</v>
      </c>
      <c r="C103" t="e">
        <f>AND(resultados!N104,"AAAAAH+tbQI=")</f>
        <v>#VALUE!</v>
      </c>
      <c r="D103" t="e">
        <f>AND(resultados!O104,"AAAAAH+tbQM=")</f>
        <v>#VALUE!</v>
      </c>
      <c r="E103" t="e">
        <f>AND(resultados!P104,"AAAAAH+tbQQ=")</f>
        <v>#VALUE!</v>
      </c>
      <c r="F103" t="e">
        <f>AND(resultados!Q104,"AAAAAH+tbQU=")</f>
        <v>#VALUE!</v>
      </c>
      <c r="G103" t="e">
        <f>AND(resultados!R104,"AAAAAH+tbQY=")</f>
        <v>#VALUE!</v>
      </c>
      <c r="H103" t="e">
        <f>AND(resultados!S104,"AAAAAH+tbQc=")</f>
        <v>#VALUE!</v>
      </c>
      <c r="I103" t="e">
        <f>AND(resultados!T104,"AAAAAH+tbQg=")</f>
        <v>#VALUE!</v>
      </c>
      <c r="J103" t="e">
        <f>AND(resultados!U104,"AAAAAH+tbQk=")</f>
        <v>#VALUE!</v>
      </c>
      <c r="K103" t="e">
        <f>AND(resultados!V104,"AAAAAH+tbQo=")</f>
        <v>#VALUE!</v>
      </c>
      <c r="L103" t="e">
        <f>AND(resultados!W104,"AAAAAH+tbQs=")</f>
        <v>#VALUE!</v>
      </c>
      <c r="M103" t="e">
        <f>AND(resultados!X104,"AAAAAH+tbQw=")</f>
        <v>#VALUE!</v>
      </c>
      <c r="N103" t="e">
        <f>AND(resultados!Y104,"AAAAAH+tbQ0=")</f>
        <v>#VALUE!</v>
      </c>
      <c r="O103" t="e">
        <f>AND(resultados!Z104,"AAAAAH+tbQ4=")</f>
        <v>#VALUE!</v>
      </c>
      <c r="P103" t="e">
        <f>AND(resultados!AA104,"AAAAAH+tbQ8=")</f>
        <v>#VALUE!</v>
      </c>
      <c r="Q103" t="e">
        <f>AND(resultados!AB104,"AAAAAH+tbRA=")</f>
        <v>#VALUE!</v>
      </c>
      <c r="R103" t="e">
        <f>AND(resultados!AC104,"AAAAAH+tbRE=")</f>
        <v>#VALUE!</v>
      </c>
      <c r="S103" t="e">
        <f>AND(resultados!AD104,"AAAAAH+tbRI=")</f>
        <v>#VALUE!</v>
      </c>
      <c r="T103" t="e">
        <f>AND(resultados!AE104,"AAAAAH+tbRM=")</f>
        <v>#VALUE!</v>
      </c>
      <c r="U103" t="e">
        <f>AND(resultados!AF104,"AAAAAH+tbRQ=")</f>
        <v>#VALUE!</v>
      </c>
      <c r="V103" t="e">
        <f>AND(resultados!AG104,"AAAAAH+tbRU=")</f>
        <v>#VALUE!</v>
      </c>
      <c r="W103" t="e">
        <f>AND(resultados!AH104,"AAAAAH+tbRY=")</f>
        <v>#VALUE!</v>
      </c>
      <c r="X103" t="e">
        <f>AND(resultados!AI104,"AAAAAH+tbRc=")</f>
        <v>#VALUE!</v>
      </c>
      <c r="Y103">
        <f>IF(resultados!105:105,"AAAAAH+tbRg=",0)</f>
        <v>0</v>
      </c>
      <c r="Z103" t="e">
        <f>AND(resultados!#REF!,"AAAAAH+tbRk=")</f>
        <v>#REF!</v>
      </c>
      <c r="AA103" t="e">
        <f>AND(resultados!C105,"AAAAAH+tbRo=")</f>
        <v>#VALUE!</v>
      </c>
      <c r="AB103" t="e">
        <f>AND(resultados!D105,"AAAAAH+tbRs=")</f>
        <v>#VALUE!</v>
      </c>
      <c r="AC103" t="e">
        <f>AND(resultados!E105,"AAAAAH+tbRw=")</f>
        <v>#VALUE!</v>
      </c>
      <c r="AD103" t="e">
        <f>AND(resultados!#REF!,"AAAAAH+tbR0=")</f>
        <v>#REF!</v>
      </c>
      <c r="AE103" t="e">
        <f>AND(resultados!G105,"AAAAAH+tbR4=")</f>
        <v>#VALUE!</v>
      </c>
      <c r="AF103" t="e">
        <f>AND(resultados!H105,"AAAAAH+tbR8=")</f>
        <v>#VALUE!</v>
      </c>
      <c r="AG103" t="e">
        <f>AND(resultados!I105,"AAAAAH+tbSA=")</f>
        <v>#VALUE!</v>
      </c>
      <c r="AH103" t="e">
        <f>AND(resultados!J105,"AAAAAH+tbSE=")</f>
        <v>#VALUE!</v>
      </c>
      <c r="AI103" t="e">
        <f>AND(resultados!K105,"AAAAAH+tbSI=")</f>
        <v>#VALUE!</v>
      </c>
      <c r="AJ103" t="e">
        <f>AND(resultados!L105,"AAAAAH+tbSM=")</f>
        <v>#VALUE!</v>
      </c>
      <c r="AK103" t="e">
        <f>AND(resultados!M105,"AAAAAH+tbSQ=")</f>
        <v>#VALUE!</v>
      </c>
      <c r="AL103" t="e">
        <f>AND(resultados!N105,"AAAAAH+tbSU=")</f>
        <v>#VALUE!</v>
      </c>
      <c r="AM103" t="e">
        <f>AND(resultados!O105,"AAAAAH+tbSY=")</f>
        <v>#VALUE!</v>
      </c>
      <c r="AN103" t="e">
        <f>AND(resultados!P105,"AAAAAH+tbSc=")</f>
        <v>#VALUE!</v>
      </c>
      <c r="AO103" t="e">
        <f>AND(resultados!Q105,"AAAAAH+tbSg=")</f>
        <v>#VALUE!</v>
      </c>
      <c r="AP103" t="e">
        <f>AND(resultados!R105,"AAAAAH+tbSk=")</f>
        <v>#VALUE!</v>
      </c>
      <c r="AQ103" t="e">
        <f>AND(resultados!S105,"AAAAAH+tbSo=")</f>
        <v>#VALUE!</v>
      </c>
      <c r="AR103" t="e">
        <f>AND(resultados!T105,"AAAAAH+tbSs=")</f>
        <v>#VALUE!</v>
      </c>
      <c r="AS103" t="e">
        <f>AND(resultados!U105,"AAAAAH+tbSw=")</f>
        <v>#VALUE!</v>
      </c>
      <c r="AT103" t="e">
        <f>AND(resultados!V105,"AAAAAH+tbS0=")</f>
        <v>#VALUE!</v>
      </c>
      <c r="AU103" t="e">
        <f>AND(resultados!W105,"AAAAAH+tbS4=")</f>
        <v>#VALUE!</v>
      </c>
      <c r="AV103" t="e">
        <f>AND(resultados!X105,"AAAAAH+tbS8=")</f>
        <v>#VALUE!</v>
      </c>
      <c r="AW103" t="e">
        <f>AND(resultados!Y105,"AAAAAH+tbTA=")</f>
        <v>#VALUE!</v>
      </c>
      <c r="AX103" t="e">
        <f>AND(resultados!Z105,"AAAAAH+tbTE=")</f>
        <v>#VALUE!</v>
      </c>
      <c r="AY103" t="e">
        <f>AND(resultados!AA105,"AAAAAH+tbTI=")</f>
        <v>#VALUE!</v>
      </c>
      <c r="AZ103" t="e">
        <f>AND(resultados!AB105,"AAAAAH+tbTM=")</f>
        <v>#VALUE!</v>
      </c>
      <c r="BA103" t="e">
        <f>AND(resultados!AC105,"AAAAAH+tbTQ=")</f>
        <v>#VALUE!</v>
      </c>
      <c r="BB103" t="e">
        <f>AND(resultados!AD105,"AAAAAH+tbTU=")</f>
        <v>#VALUE!</v>
      </c>
      <c r="BC103" t="e">
        <f>AND(resultados!AE105,"AAAAAH+tbTY=")</f>
        <v>#VALUE!</v>
      </c>
      <c r="BD103" t="e">
        <f>AND(resultados!AF105,"AAAAAH+tbTc=")</f>
        <v>#VALUE!</v>
      </c>
      <c r="BE103" t="e">
        <f>AND(resultados!AG105,"AAAAAH+tbTg=")</f>
        <v>#VALUE!</v>
      </c>
      <c r="BF103" t="e">
        <f>AND(resultados!AH105,"AAAAAH+tbTk=")</f>
        <v>#VALUE!</v>
      </c>
      <c r="BG103" t="e">
        <f>AND(resultados!AI105,"AAAAAH+tbTo=")</f>
        <v>#VALUE!</v>
      </c>
      <c r="BH103">
        <f>IF(resultados!106:106,"AAAAAH+tbTs=",0)</f>
        <v>0</v>
      </c>
      <c r="BI103" t="e">
        <f>AND(resultados!#REF!,"AAAAAH+tbTw=")</f>
        <v>#REF!</v>
      </c>
      <c r="BJ103" t="e">
        <f>AND(resultados!C106,"AAAAAH+tbT0=")</f>
        <v>#VALUE!</v>
      </c>
      <c r="BK103" t="e">
        <f>AND(resultados!D106,"AAAAAH+tbT4=")</f>
        <v>#VALUE!</v>
      </c>
      <c r="BL103" t="e">
        <f>AND(resultados!E106,"AAAAAH+tbT8=")</f>
        <v>#VALUE!</v>
      </c>
      <c r="BM103" t="e">
        <f>AND(resultados!#REF!,"AAAAAH+tbUA=")</f>
        <v>#REF!</v>
      </c>
      <c r="BN103" t="e">
        <f>AND(resultados!G106,"AAAAAH+tbUE=")</f>
        <v>#VALUE!</v>
      </c>
      <c r="BO103" t="e">
        <f>AND(resultados!H106,"AAAAAH+tbUI=")</f>
        <v>#VALUE!</v>
      </c>
      <c r="BP103" t="e">
        <f>AND(resultados!I106,"AAAAAH+tbUM=")</f>
        <v>#VALUE!</v>
      </c>
      <c r="BQ103" t="e">
        <f>AND(resultados!J106,"AAAAAH+tbUQ=")</f>
        <v>#VALUE!</v>
      </c>
      <c r="BR103" t="e">
        <f>AND(resultados!K106,"AAAAAH+tbUU=")</f>
        <v>#VALUE!</v>
      </c>
      <c r="BS103" t="e">
        <f>AND(resultados!L106,"AAAAAH+tbUY=")</f>
        <v>#VALUE!</v>
      </c>
      <c r="BT103" t="e">
        <f>AND(resultados!M106,"AAAAAH+tbUc=")</f>
        <v>#VALUE!</v>
      </c>
      <c r="BU103" t="e">
        <f>AND(resultados!N106,"AAAAAH+tbUg=")</f>
        <v>#VALUE!</v>
      </c>
      <c r="BV103" t="e">
        <f>AND(resultados!O106,"AAAAAH+tbUk=")</f>
        <v>#VALUE!</v>
      </c>
      <c r="BW103" t="e">
        <f>AND(resultados!P106,"AAAAAH+tbUo=")</f>
        <v>#VALUE!</v>
      </c>
      <c r="BX103" t="e">
        <f>AND(resultados!Q106,"AAAAAH+tbUs=")</f>
        <v>#VALUE!</v>
      </c>
      <c r="BY103" t="e">
        <f>AND(resultados!R106,"AAAAAH+tbUw=")</f>
        <v>#VALUE!</v>
      </c>
      <c r="BZ103" t="e">
        <f>AND(resultados!S106,"AAAAAH+tbU0=")</f>
        <v>#VALUE!</v>
      </c>
      <c r="CA103" t="e">
        <f>AND(resultados!T106,"AAAAAH+tbU4=")</f>
        <v>#VALUE!</v>
      </c>
      <c r="CB103" t="e">
        <f>AND(resultados!U106,"AAAAAH+tbU8=")</f>
        <v>#VALUE!</v>
      </c>
      <c r="CC103" t="e">
        <f>AND(resultados!V106,"AAAAAH+tbVA=")</f>
        <v>#VALUE!</v>
      </c>
      <c r="CD103" t="e">
        <f>AND(resultados!W106,"AAAAAH+tbVE=")</f>
        <v>#VALUE!</v>
      </c>
      <c r="CE103" t="e">
        <f>AND(resultados!X106,"AAAAAH+tbVI=")</f>
        <v>#VALUE!</v>
      </c>
      <c r="CF103" t="e">
        <f>AND(resultados!Y106,"AAAAAH+tbVM=")</f>
        <v>#VALUE!</v>
      </c>
      <c r="CG103" t="e">
        <f>AND(resultados!Z106,"AAAAAH+tbVQ=")</f>
        <v>#VALUE!</v>
      </c>
      <c r="CH103" t="e">
        <f>AND(resultados!AA106,"AAAAAH+tbVU=")</f>
        <v>#VALUE!</v>
      </c>
      <c r="CI103" t="e">
        <f>AND(resultados!AB106,"AAAAAH+tbVY=")</f>
        <v>#VALUE!</v>
      </c>
      <c r="CJ103" t="e">
        <f>AND(resultados!AC106,"AAAAAH+tbVc=")</f>
        <v>#VALUE!</v>
      </c>
      <c r="CK103" t="e">
        <f>AND(resultados!AD106,"AAAAAH+tbVg=")</f>
        <v>#VALUE!</v>
      </c>
      <c r="CL103" t="e">
        <f>AND(resultados!AE106,"AAAAAH+tbVk=")</f>
        <v>#VALUE!</v>
      </c>
      <c r="CM103" t="e">
        <f>AND(resultados!AF106,"AAAAAH+tbVo=")</f>
        <v>#VALUE!</v>
      </c>
      <c r="CN103" t="e">
        <f>AND(resultados!AG106,"AAAAAH+tbVs=")</f>
        <v>#VALUE!</v>
      </c>
      <c r="CO103" t="e">
        <f>AND(resultados!AH106,"AAAAAH+tbVw=")</f>
        <v>#VALUE!</v>
      </c>
      <c r="CP103" t="e">
        <f>AND(resultados!AI106,"AAAAAH+tbV0=")</f>
        <v>#VALUE!</v>
      </c>
      <c r="CQ103">
        <f>IF(resultados!107:107,"AAAAAH+tbV4=",0)</f>
        <v>0</v>
      </c>
      <c r="CR103" t="e">
        <f>AND(resultados!#REF!,"AAAAAH+tbV8=")</f>
        <v>#REF!</v>
      </c>
      <c r="CS103" t="e">
        <f>AND(resultados!C107,"AAAAAH+tbWA=")</f>
        <v>#VALUE!</v>
      </c>
      <c r="CT103" t="e">
        <f>AND(resultados!D107,"AAAAAH+tbWE=")</f>
        <v>#VALUE!</v>
      </c>
      <c r="CU103" t="e">
        <f>AND(resultados!E107,"AAAAAH+tbWI=")</f>
        <v>#VALUE!</v>
      </c>
      <c r="CV103" t="e">
        <f>AND(resultados!#REF!,"AAAAAH+tbWM=")</f>
        <v>#REF!</v>
      </c>
      <c r="CW103" t="e">
        <f>AND(resultados!G107,"AAAAAH+tbWQ=")</f>
        <v>#VALUE!</v>
      </c>
      <c r="CX103" t="e">
        <f>AND(resultados!H107,"AAAAAH+tbWU=")</f>
        <v>#VALUE!</v>
      </c>
      <c r="CY103" t="e">
        <f>AND(resultados!I107,"AAAAAH+tbWY=")</f>
        <v>#VALUE!</v>
      </c>
      <c r="CZ103" t="e">
        <f>AND(resultados!J107,"AAAAAH+tbWc=")</f>
        <v>#VALUE!</v>
      </c>
      <c r="DA103" t="e">
        <f>AND(resultados!K107,"AAAAAH+tbWg=")</f>
        <v>#VALUE!</v>
      </c>
      <c r="DB103" t="e">
        <f>AND(resultados!L107,"AAAAAH+tbWk=")</f>
        <v>#VALUE!</v>
      </c>
      <c r="DC103" t="e">
        <f>AND(resultados!M107,"AAAAAH+tbWo=")</f>
        <v>#VALUE!</v>
      </c>
      <c r="DD103" t="e">
        <f>AND(resultados!N107,"AAAAAH+tbWs=")</f>
        <v>#VALUE!</v>
      </c>
      <c r="DE103" t="e">
        <f>AND(resultados!O107,"AAAAAH+tbWw=")</f>
        <v>#VALUE!</v>
      </c>
      <c r="DF103" t="e">
        <f>AND(resultados!P107,"AAAAAH+tbW0=")</f>
        <v>#VALUE!</v>
      </c>
      <c r="DG103" t="e">
        <f>AND(resultados!Q107,"AAAAAH+tbW4=")</f>
        <v>#VALUE!</v>
      </c>
      <c r="DH103" t="e">
        <f>AND(resultados!R107,"AAAAAH+tbW8=")</f>
        <v>#VALUE!</v>
      </c>
      <c r="DI103" t="e">
        <f>AND(resultados!S107,"AAAAAH+tbXA=")</f>
        <v>#VALUE!</v>
      </c>
      <c r="DJ103" t="e">
        <f>AND(resultados!T107,"AAAAAH+tbXE=")</f>
        <v>#VALUE!</v>
      </c>
      <c r="DK103" t="e">
        <f>AND(resultados!U107,"AAAAAH+tbXI=")</f>
        <v>#VALUE!</v>
      </c>
      <c r="DL103" t="e">
        <f>AND(resultados!V107,"AAAAAH+tbXM=")</f>
        <v>#VALUE!</v>
      </c>
      <c r="DM103" t="e">
        <f>AND(resultados!W107,"AAAAAH+tbXQ=")</f>
        <v>#VALUE!</v>
      </c>
      <c r="DN103" t="e">
        <f>AND(resultados!X107,"AAAAAH+tbXU=")</f>
        <v>#VALUE!</v>
      </c>
      <c r="DO103" t="e">
        <f>AND(resultados!Y107,"AAAAAH+tbXY=")</f>
        <v>#VALUE!</v>
      </c>
      <c r="DP103" t="e">
        <f>AND(resultados!Z107,"AAAAAH+tbXc=")</f>
        <v>#VALUE!</v>
      </c>
      <c r="DQ103" t="e">
        <f>AND(resultados!AA107,"AAAAAH+tbXg=")</f>
        <v>#VALUE!</v>
      </c>
      <c r="DR103" t="e">
        <f>AND(resultados!AB107,"AAAAAH+tbXk=")</f>
        <v>#VALUE!</v>
      </c>
      <c r="DS103" t="e">
        <f>AND(resultados!AC107,"AAAAAH+tbXo=")</f>
        <v>#VALUE!</v>
      </c>
      <c r="DT103" t="e">
        <f>AND(resultados!AD107,"AAAAAH+tbXs=")</f>
        <v>#VALUE!</v>
      </c>
      <c r="DU103" t="e">
        <f>AND(resultados!AE107,"AAAAAH+tbXw=")</f>
        <v>#VALUE!</v>
      </c>
      <c r="DV103" t="e">
        <f>AND(resultados!AF107,"AAAAAH+tbX0=")</f>
        <v>#VALUE!</v>
      </c>
      <c r="DW103" t="e">
        <f>AND(resultados!AG107,"AAAAAH+tbX4=")</f>
        <v>#VALUE!</v>
      </c>
      <c r="DX103" t="e">
        <f>AND(resultados!AH107,"AAAAAH+tbX8=")</f>
        <v>#VALUE!</v>
      </c>
      <c r="DY103" t="e">
        <f>AND(resultados!AI107,"AAAAAH+tbYA=")</f>
        <v>#VALUE!</v>
      </c>
      <c r="DZ103">
        <f>IF(resultados!108:108,"AAAAAH+tbYE=",0)</f>
        <v>0</v>
      </c>
      <c r="EA103" t="e">
        <f>AND(resultados!#REF!,"AAAAAH+tbYI=")</f>
        <v>#REF!</v>
      </c>
      <c r="EB103" t="e">
        <f>AND(resultados!C108,"AAAAAH+tbYM=")</f>
        <v>#VALUE!</v>
      </c>
      <c r="EC103" t="e">
        <f>AND(resultados!D108,"AAAAAH+tbYQ=")</f>
        <v>#VALUE!</v>
      </c>
      <c r="ED103" t="e">
        <f>AND(resultados!E108,"AAAAAH+tbYU=")</f>
        <v>#VALUE!</v>
      </c>
      <c r="EE103" t="e">
        <f>AND(resultados!#REF!,"AAAAAH+tbYY=")</f>
        <v>#REF!</v>
      </c>
      <c r="EF103" t="e">
        <f>AND(resultados!G108,"AAAAAH+tbYc=")</f>
        <v>#VALUE!</v>
      </c>
      <c r="EG103" t="e">
        <f>AND(resultados!H108,"AAAAAH+tbYg=")</f>
        <v>#VALUE!</v>
      </c>
      <c r="EH103" t="e">
        <f>AND(resultados!I108,"AAAAAH+tbYk=")</f>
        <v>#VALUE!</v>
      </c>
      <c r="EI103" t="e">
        <f>AND(resultados!J108,"AAAAAH+tbYo=")</f>
        <v>#VALUE!</v>
      </c>
      <c r="EJ103" t="e">
        <f>AND(resultados!K108,"AAAAAH+tbYs=")</f>
        <v>#VALUE!</v>
      </c>
      <c r="EK103" t="e">
        <f>AND(resultados!L108,"AAAAAH+tbYw=")</f>
        <v>#VALUE!</v>
      </c>
      <c r="EL103" t="e">
        <f>AND(resultados!M108,"AAAAAH+tbY0=")</f>
        <v>#VALUE!</v>
      </c>
      <c r="EM103" t="e">
        <f>AND(resultados!N108,"AAAAAH+tbY4=")</f>
        <v>#VALUE!</v>
      </c>
      <c r="EN103" t="e">
        <f>AND(resultados!O108,"AAAAAH+tbY8=")</f>
        <v>#VALUE!</v>
      </c>
      <c r="EO103" t="e">
        <f>AND(resultados!P108,"AAAAAH+tbZA=")</f>
        <v>#VALUE!</v>
      </c>
      <c r="EP103" t="e">
        <f>AND(resultados!Q108,"AAAAAH+tbZE=")</f>
        <v>#VALUE!</v>
      </c>
      <c r="EQ103" t="e">
        <f>AND(resultados!R108,"AAAAAH+tbZI=")</f>
        <v>#VALUE!</v>
      </c>
      <c r="ER103" t="e">
        <f>AND(resultados!S108,"AAAAAH+tbZM=")</f>
        <v>#VALUE!</v>
      </c>
      <c r="ES103" t="e">
        <f>AND(resultados!T108,"AAAAAH+tbZQ=")</f>
        <v>#VALUE!</v>
      </c>
      <c r="ET103" t="e">
        <f>AND(resultados!U108,"AAAAAH+tbZU=")</f>
        <v>#VALUE!</v>
      </c>
      <c r="EU103" t="e">
        <f>AND(resultados!V108,"AAAAAH+tbZY=")</f>
        <v>#VALUE!</v>
      </c>
      <c r="EV103" t="e">
        <f>AND(resultados!W108,"AAAAAH+tbZc=")</f>
        <v>#VALUE!</v>
      </c>
      <c r="EW103" t="e">
        <f>AND(resultados!X108,"AAAAAH+tbZg=")</f>
        <v>#VALUE!</v>
      </c>
      <c r="EX103" t="e">
        <f>AND(resultados!Y108,"AAAAAH+tbZk=")</f>
        <v>#VALUE!</v>
      </c>
      <c r="EY103" t="e">
        <f>AND(resultados!Z108,"AAAAAH+tbZo=")</f>
        <v>#VALUE!</v>
      </c>
      <c r="EZ103" t="e">
        <f>AND(resultados!AA108,"AAAAAH+tbZs=")</f>
        <v>#VALUE!</v>
      </c>
      <c r="FA103" t="e">
        <f>AND(resultados!AB108,"AAAAAH+tbZw=")</f>
        <v>#VALUE!</v>
      </c>
      <c r="FB103" t="e">
        <f>AND(resultados!AC108,"AAAAAH+tbZ0=")</f>
        <v>#VALUE!</v>
      </c>
      <c r="FC103" t="e">
        <f>AND(resultados!AD108,"AAAAAH+tbZ4=")</f>
        <v>#VALUE!</v>
      </c>
      <c r="FD103" t="e">
        <f>AND(resultados!AE108,"AAAAAH+tbZ8=")</f>
        <v>#VALUE!</v>
      </c>
      <c r="FE103" t="e">
        <f>AND(resultados!AF108,"AAAAAH+tbaA=")</f>
        <v>#VALUE!</v>
      </c>
      <c r="FF103" t="e">
        <f>AND(resultados!AG108,"AAAAAH+tbaE=")</f>
        <v>#VALUE!</v>
      </c>
      <c r="FG103" t="e">
        <f>AND(resultados!AH108,"AAAAAH+tbaI=")</f>
        <v>#VALUE!</v>
      </c>
      <c r="FH103" t="e">
        <f>AND(resultados!AI108,"AAAAAH+tbaM=")</f>
        <v>#VALUE!</v>
      </c>
      <c r="FI103">
        <f>IF(resultados!109:109,"AAAAAH+tbaQ=",0)</f>
        <v>0</v>
      </c>
      <c r="FJ103" t="e">
        <f>AND(resultados!#REF!,"AAAAAH+tbaU=")</f>
        <v>#REF!</v>
      </c>
      <c r="FK103" t="e">
        <f>AND(resultados!C109,"AAAAAH+tbaY=")</f>
        <v>#VALUE!</v>
      </c>
      <c r="FL103" t="e">
        <f>AND(resultados!D109,"AAAAAH+tbac=")</f>
        <v>#VALUE!</v>
      </c>
      <c r="FM103" t="e">
        <f>AND(resultados!E109,"AAAAAH+tbag=")</f>
        <v>#VALUE!</v>
      </c>
      <c r="FN103" t="e">
        <f>AND(resultados!#REF!,"AAAAAH+tbak=")</f>
        <v>#REF!</v>
      </c>
      <c r="FO103" t="e">
        <f>AND(resultados!G109,"AAAAAH+tbao=")</f>
        <v>#VALUE!</v>
      </c>
      <c r="FP103" t="e">
        <f>AND(resultados!H109,"AAAAAH+tbas=")</f>
        <v>#VALUE!</v>
      </c>
      <c r="FQ103" t="e">
        <f>AND(resultados!I109,"AAAAAH+tbaw=")</f>
        <v>#VALUE!</v>
      </c>
      <c r="FR103" t="e">
        <f>AND(resultados!J109,"AAAAAH+tba0=")</f>
        <v>#VALUE!</v>
      </c>
      <c r="FS103" t="e">
        <f>AND(resultados!K109,"AAAAAH+tba4=")</f>
        <v>#VALUE!</v>
      </c>
      <c r="FT103" t="e">
        <f>AND(resultados!L109,"AAAAAH+tba8=")</f>
        <v>#VALUE!</v>
      </c>
      <c r="FU103" t="e">
        <f>AND(resultados!M109,"AAAAAH+tbbA=")</f>
        <v>#VALUE!</v>
      </c>
      <c r="FV103" t="e">
        <f>AND(resultados!N109,"AAAAAH+tbbE=")</f>
        <v>#VALUE!</v>
      </c>
      <c r="FW103" t="e">
        <f>AND(resultados!O109,"AAAAAH+tbbI=")</f>
        <v>#VALUE!</v>
      </c>
      <c r="FX103" t="e">
        <f>AND(resultados!P109,"AAAAAH+tbbM=")</f>
        <v>#VALUE!</v>
      </c>
      <c r="FY103" t="e">
        <f>AND(resultados!Q109,"AAAAAH+tbbQ=")</f>
        <v>#VALUE!</v>
      </c>
      <c r="FZ103" t="e">
        <f>AND(resultados!R109,"AAAAAH+tbbU=")</f>
        <v>#VALUE!</v>
      </c>
      <c r="GA103" t="e">
        <f>AND(resultados!S109,"AAAAAH+tbbY=")</f>
        <v>#VALUE!</v>
      </c>
      <c r="GB103" t="e">
        <f>AND(resultados!T109,"AAAAAH+tbbc=")</f>
        <v>#VALUE!</v>
      </c>
      <c r="GC103" t="e">
        <f>AND(resultados!U109,"AAAAAH+tbbg=")</f>
        <v>#VALUE!</v>
      </c>
      <c r="GD103" t="e">
        <f>AND(resultados!V109,"AAAAAH+tbbk=")</f>
        <v>#VALUE!</v>
      </c>
      <c r="GE103" t="e">
        <f>AND(resultados!W109,"AAAAAH+tbbo=")</f>
        <v>#VALUE!</v>
      </c>
      <c r="GF103" t="e">
        <f>AND(resultados!X109,"AAAAAH+tbbs=")</f>
        <v>#VALUE!</v>
      </c>
      <c r="GG103" t="e">
        <f>AND(resultados!Y109,"AAAAAH+tbbw=")</f>
        <v>#VALUE!</v>
      </c>
      <c r="GH103" t="e">
        <f>AND(resultados!Z109,"AAAAAH+tbb0=")</f>
        <v>#VALUE!</v>
      </c>
      <c r="GI103" t="e">
        <f>AND(resultados!AA109,"AAAAAH+tbb4=")</f>
        <v>#VALUE!</v>
      </c>
      <c r="GJ103" t="e">
        <f>AND(resultados!AB109,"AAAAAH+tbb8=")</f>
        <v>#VALUE!</v>
      </c>
      <c r="GK103" t="e">
        <f>AND(resultados!AC109,"AAAAAH+tbcA=")</f>
        <v>#VALUE!</v>
      </c>
      <c r="GL103" t="e">
        <f>AND(resultados!AD109,"AAAAAH+tbcE=")</f>
        <v>#VALUE!</v>
      </c>
      <c r="GM103" t="e">
        <f>AND(resultados!AE109,"AAAAAH+tbcI=")</f>
        <v>#VALUE!</v>
      </c>
      <c r="GN103" t="e">
        <f>AND(resultados!AF109,"AAAAAH+tbcM=")</f>
        <v>#VALUE!</v>
      </c>
      <c r="GO103" t="e">
        <f>AND(resultados!AG109,"AAAAAH+tbcQ=")</f>
        <v>#VALUE!</v>
      </c>
      <c r="GP103" t="e">
        <f>AND(resultados!AH109,"AAAAAH+tbcU=")</f>
        <v>#VALUE!</v>
      </c>
      <c r="GQ103" t="e">
        <f>AND(resultados!AI109,"AAAAAH+tbcY=")</f>
        <v>#VALUE!</v>
      </c>
      <c r="GR103">
        <f>IF(resultados!110:110,"AAAAAH+tbcc=",0)</f>
        <v>0</v>
      </c>
      <c r="GS103" t="e">
        <f>AND(resultados!#REF!,"AAAAAH+tbcg=")</f>
        <v>#REF!</v>
      </c>
      <c r="GT103" t="e">
        <f>AND(resultados!C110,"AAAAAH+tbck=")</f>
        <v>#VALUE!</v>
      </c>
      <c r="GU103" t="e">
        <f>AND(resultados!D110,"AAAAAH+tbco=")</f>
        <v>#VALUE!</v>
      </c>
      <c r="GV103" t="e">
        <f>AND(resultados!E110,"AAAAAH+tbcs=")</f>
        <v>#VALUE!</v>
      </c>
      <c r="GW103" t="e">
        <f>AND(resultados!#REF!,"AAAAAH+tbcw=")</f>
        <v>#REF!</v>
      </c>
      <c r="GX103" t="e">
        <f>AND(resultados!G110,"AAAAAH+tbc0=")</f>
        <v>#VALUE!</v>
      </c>
      <c r="GY103" t="e">
        <f>AND(resultados!H110,"AAAAAH+tbc4=")</f>
        <v>#VALUE!</v>
      </c>
      <c r="GZ103" t="e">
        <f>AND(resultados!I110,"AAAAAH+tbc8=")</f>
        <v>#VALUE!</v>
      </c>
      <c r="HA103" t="e">
        <f>AND(resultados!J110,"AAAAAH+tbdA=")</f>
        <v>#VALUE!</v>
      </c>
      <c r="HB103" t="e">
        <f>AND(resultados!K110,"AAAAAH+tbdE=")</f>
        <v>#VALUE!</v>
      </c>
      <c r="HC103" t="e">
        <f>AND(resultados!L110,"AAAAAH+tbdI=")</f>
        <v>#VALUE!</v>
      </c>
      <c r="HD103" t="e">
        <f>AND(resultados!M110,"AAAAAH+tbdM=")</f>
        <v>#VALUE!</v>
      </c>
      <c r="HE103" t="e">
        <f>AND(resultados!N110,"AAAAAH+tbdQ=")</f>
        <v>#VALUE!</v>
      </c>
      <c r="HF103" t="e">
        <f>AND(resultados!O110,"AAAAAH+tbdU=")</f>
        <v>#VALUE!</v>
      </c>
      <c r="HG103" t="e">
        <f>AND(resultados!P110,"AAAAAH+tbdY=")</f>
        <v>#VALUE!</v>
      </c>
      <c r="HH103" t="e">
        <f>AND(resultados!Q110,"AAAAAH+tbdc=")</f>
        <v>#VALUE!</v>
      </c>
      <c r="HI103" t="e">
        <f>AND(resultados!R110,"AAAAAH+tbdg=")</f>
        <v>#VALUE!</v>
      </c>
      <c r="HJ103" t="e">
        <f>AND(resultados!S110,"AAAAAH+tbdk=")</f>
        <v>#VALUE!</v>
      </c>
      <c r="HK103" t="e">
        <f>AND(resultados!T110,"AAAAAH+tbdo=")</f>
        <v>#VALUE!</v>
      </c>
      <c r="HL103" t="e">
        <f>AND(resultados!U110,"AAAAAH+tbds=")</f>
        <v>#VALUE!</v>
      </c>
      <c r="HM103" t="e">
        <f>AND(resultados!V110,"AAAAAH+tbdw=")</f>
        <v>#VALUE!</v>
      </c>
      <c r="HN103" t="e">
        <f>AND(resultados!W110,"AAAAAH+tbd0=")</f>
        <v>#VALUE!</v>
      </c>
      <c r="HO103" t="e">
        <f>AND(resultados!X110,"AAAAAH+tbd4=")</f>
        <v>#VALUE!</v>
      </c>
      <c r="HP103" t="e">
        <f>AND(resultados!Y110,"AAAAAH+tbd8=")</f>
        <v>#VALUE!</v>
      </c>
      <c r="HQ103" t="e">
        <f>AND(resultados!Z110,"AAAAAH+tbeA=")</f>
        <v>#VALUE!</v>
      </c>
      <c r="HR103" t="e">
        <f>AND(resultados!AA110,"AAAAAH+tbeE=")</f>
        <v>#VALUE!</v>
      </c>
      <c r="HS103" t="e">
        <f>AND(resultados!AB110,"AAAAAH+tbeI=")</f>
        <v>#VALUE!</v>
      </c>
      <c r="HT103" t="e">
        <f>AND(resultados!AC110,"AAAAAH+tbeM=")</f>
        <v>#VALUE!</v>
      </c>
      <c r="HU103" t="e">
        <f>AND(resultados!AD110,"AAAAAH+tbeQ=")</f>
        <v>#VALUE!</v>
      </c>
      <c r="HV103" t="e">
        <f>AND(resultados!AE110,"AAAAAH+tbeU=")</f>
        <v>#VALUE!</v>
      </c>
      <c r="HW103" t="e">
        <f>AND(resultados!AF110,"AAAAAH+tbeY=")</f>
        <v>#VALUE!</v>
      </c>
      <c r="HX103" t="e">
        <f>AND(resultados!AG110,"AAAAAH+tbec=")</f>
        <v>#VALUE!</v>
      </c>
      <c r="HY103" t="e">
        <f>AND(resultados!AH110,"AAAAAH+tbeg=")</f>
        <v>#VALUE!</v>
      </c>
      <c r="HZ103" t="e">
        <f>AND(resultados!AI110,"AAAAAH+tbek=")</f>
        <v>#VALUE!</v>
      </c>
      <c r="IA103">
        <f>IF(resultados!111:111,"AAAAAH+tbeo=",0)</f>
        <v>0</v>
      </c>
      <c r="IB103" t="e">
        <f>AND(resultados!#REF!,"AAAAAH+tbes=")</f>
        <v>#REF!</v>
      </c>
      <c r="IC103" t="e">
        <f>AND(resultados!C111,"AAAAAH+tbew=")</f>
        <v>#VALUE!</v>
      </c>
      <c r="ID103" t="e">
        <f>AND(resultados!D111,"AAAAAH+tbe0=")</f>
        <v>#VALUE!</v>
      </c>
      <c r="IE103" t="e">
        <f>AND(resultados!E111,"AAAAAH+tbe4=")</f>
        <v>#VALUE!</v>
      </c>
      <c r="IF103" t="e">
        <f>AND(resultados!#REF!,"AAAAAH+tbe8=")</f>
        <v>#REF!</v>
      </c>
      <c r="IG103" t="e">
        <f>AND(resultados!G111,"AAAAAH+tbfA=")</f>
        <v>#VALUE!</v>
      </c>
      <c r="IH103" t="e">
        <f>AND(resultados!H111,"AAAAAH+tbfE=")</f>
        <v>#VALUE!</v>
      </c>
      <c r="II103" t="e">
        <f>AND(resultados!I111,"AAAAAH+tbfI=")</f>
        <v>#VALUE!</v>
      </c>
      <c r="IJ103" t="e">
        <f>AND(resultados!J111,"AAAAAH+tbfM=")</f>
        <v>#VALUE!</v>
      </c>
      <c r="IK103" t="e">
        <f>AND(resultados!K111,"AAAAAH+tbfQ=")</f>
        <v>#VALUE!</v>
      </c>
      <c r="IL103" t="e">
        <f>AND(resultados!L111,"AAAAAH+tbfU=")</f>
        <v>#VALUE!</v>
      </c>
      <c r="IM103" t="e">
        <f>AND(resultados!M111,"AAAAAH+tbfY=")</f>
        <v>#VALUE!</v>
      </c>
      <c r="IN103" t="e">
        <f>AND(resultados!N111,"AAAAAH+tbfc=")</f>
        <v>#VALUE!</v>
      </c>
      <c r="IO103" t="e">
        <f>AND(resultados!O111,"AAAAAH+tbfg=")</f>
        <v>#VALUE!</v>
      </c>
      <c r="IP103" t="e">
        <f>AND(resultados!P111,"AAAAAH+tbfk=")</f>
        <v>#VALUE!</v>
      </c>
      <c r="IQ103" t="e">
        <f>AND(resultados!Q111,"AAAAAH+tbfo=")</f>
        <v>#VALUE!</v>
      </c>
      <c r="IR103" t="e">
        <f>AND(resultados!R111,"AAAAAH+tbfs=")</f>
        <v>#VALUE!</v>
      </c>
      <c r="IS103" t="e">
        <f>AND(resultados!S111,"AAAAAH+tbfw=")</f>
        <v>#VALUE!</v>
      </c>
      <c r="IT103" t="e">
        <f>AND(resultados!T111,"AAAAAH+tbf0=")</f>
        <v>#VALUE!</v>
      </c>
      <c r="IU103" t="e">
        <f>AND(resultados!U111,"AAAAAH+tbf4=")</f>
        <v>#VALUE!</v>
      </c>
      <c r="IV103" t="e">
        <f>AND(resultados!V111,"AAAAAH+tbf8=")</f>
        <v>#VALUE!</v>
      </c>
    </row>
    <row r="104" spans="1:256" x14ac:dyDescent="0.2">
      <c r="A104" t="e">
        <f>AND(resultados!W111,"AAAAAD375gA=")</f>
        <v>#VALUE!</v>
      </c>
      <c r="B104" t="e">
        <f>AND(resultados!X111,"AAAAAD375gE=")</f>
        <v>#VALUE!</v>
      </c>
      <c r="C104" t="e">
        <f>AND(resultados!Y111,"AAAAAD375gI=")</f>
        <v>#VALUE!</v>
      </c>
      <c r="D104" t="e">
        <f>AND(resultados!Z111,"AAAAAD375gM=")</f>
        <v>#VALUE!</v>
      </c>
      <c r="E104" t="e">
        <f>AND(resultados!AA111,"AAAAAD375gQ=")</f>
        <v>#VALUE!</v>
      </c>
      <c r="F104" t="e">
        <f>AND(resultados!AB111,"AAAAAD375gU=")</f>
        <v>#VALUE!</v>
      </c>
      <c r="G104" t="e">
        <f>AND(resultados!AC111,"AAAAAD375gY=")</f>
        <v>#VALUE!</v>
      </c>
      <c r="H104" t="e">
        <f>AND(resultados!AD111,"AAAAAD375gc=")</f>
        <v>#VALUE!</v>
      </c>
      <c r="I104" t="e">
        <f>AND(resultados!AE111,"AAAAAD375gg=")</f>
        <v>#VALUE!</v>
      </c>
      <c r="J104" t="e">
        <f>AND(resultados!AF111,"AAAAAD375gk=")</f>
        <v>#VALUE!</v>
      </c>
      <c r="K104" t="e">
        <f>AND(resultados!AG111,"AAAAAD375go=")</f>
        <v>#VALUE!</v>
      </c>
      <c r="L104" t="e">
        <f>AND(resultados!AH111,"AAAAAD375gs=")</f>
        <v>#VALUE!</v>
      </c>
      <c r="M104" t="e">
        <f>AND(resultados!AI111,"AAAAAD375gw=")</f>
        <v>#VALUE!</v>
      </c>
      <c r="N104">
        <f>IF(resultados!112:112,"AAAAAD375g0=",0)</f>
        <v>0</v>
      </c>
      <c r="O104" t="e">
        <f>AND(resultados!#REF!,"AAAAAD375g4=")</f>
        <v>#REF!</v>
      </c>
      <c r="P104" t="e">
        <f>AND(resultados!C112,"AAAAAD375g8=")</f>
        <v>#VALUE!</v>
      </c>
      <c r="Q104" t="e">
        <f>AND(resultados!D112,"AAAAAD375hA=")</f>
        <v>#VALUE!</v>
      </c>
      <c r="R104" t="e">
        <f>AND(resultados!E112,"AAAAAD375hE=")</f>
        <v>#VALUE!</v>
      </c>
      <c r="S104" t="e">
        <f>AND(resultados!#REF!,"AAAAAD375hI=")</f>
        <v>#REF!</v>
      </c>
      <c r="T104" t="e">
        <f>AND(resultados!G112,"AAAAAD375hM=")</f>
        <v>#VALUE!</v>
      </c>
      <c r="U104" t="e">
        <f>AND(resultados!H112,"AAAAAD375hQ=")</f>
        <v>#VALUE!</v>
      </c>
      <c r="V104" t="e">
        <f>AND(resultados!I112,"AAAAAD375hU=")</f>
        <v>#VALUE!</v>
      </c>
      <c r="W104" t="e">
        <f>AND(resultados!J112,"AAAAAD375hY=")</f>
        <v>#VALUE!</v>
      </c>
      <c r="X104" t="e">
        <f>AND(resultados!K112,"AAAAAD375hc=")</f>
        <v>#VALUE!</v>
      </c>
      <c r="Y104" t="e">
        <f>AND(resultados!L112,"AAAAAD375hg=")</f>
        <v>#VALUE!</v>
      </c>
      <c r="Z104" t="e">
        <f>AND(resultados!M112,"AAAAAD375hk=")</f>
        <v>#VALUE!</v>
      </c>
      <c r="AA104" t="e">
        <f>AND(resultados!N112,"AAAAAD375ho=")</f>
        <v>#VALUE!</v>
      </c>
      <c r="AB104" t="e">
        <f>AND(resultados!O112,"AAAAAD375hs=")</f>
        <v>#VALUE!</v>
      </c>
      <c r="AC104" t="e">
        <f>AND(resultados!P112,"AAAAAD375hw=")</f>
        <v>#VALUE!</v>
      </c>
      <c r="AD104" t="e">
        <f>AND(resultados!Q112,"AAAAAD375h0=")</f>
        <v>#VALUE!</v>
      </c>
      <c r="AE104" t="e">
        <f>AND(resultados!R112,"AAAAAD375h4=")</f>
        <v>#VALUE!</v>
      </c>
      <c r="AF104" t="e">
        <f>AND(resultados!S112,"AAAAAD375h8=")</f>
        <v>#VALUE!</v>
      </c>
      <c r="AG104" t="e">
        <f>AND(resultados!T112,"AAAAAD375iA=")</f>
        <v>#VALUE!</v>
      </c>
      <c r="AH104" t="e">
        <f>AND(resultados!U112,"AAAAAD375iE=")</f>
        <v>#VALUE!</v>
      </c>
      <c r="AI104" t="e">
        <f>AND(resultados!V112,"AAAAAD375iI=")</f>
        <v>#VALUE!</v>
      </c>
      <c r="AJ104" t="e">
        <f>AND(resultados!W112,"AAAAAD375iM=")</f>
        <v>#VALUE!</v>
      </c>
      <c r="AK104" t="e">
        <f>AND(resultados!X112,"AAAAAD375iQ=")</f>
        <v>#VALUE!</v>
      </c>
      <c r="AL104" t="e">
        <f>AND(resultados!Y112,"AAAAAD375iU=")</f>
        <v>#VALUE!</v>
      </c>
      <c r="AM104" t="e">
        <f>AND(resultados!Z112,"AAAAAD375iY=")</f>
        <v>#VALUE!</v>
      </c>
      <c r="AN104" t="e">
        <f>AND(resultados!AA112,"AAAAAD375ic=")</f>
        <v>#VALUE!</v>
      </c>
      <c r="AO104" t="e">
        <f>AND(resultados!AB112,"AAAAAD375ig=")</f>
        <v>#VALUE!</v>
      </c>
      <c r="AP104" t="e">
        <f>AND(resultados!AC112,"AAAAAD375ik=")</f>
        <v>#VALUE!</v>
      </c>
      <c r="AQ104" t="e">
        <f>AND(resultados!AD112,"AAAAAD375io=")</f>
        <v>#VALUE!</v>
      </c>
      <c r="AR104" t="e">
        <f>AND(resultados!AE112,"AAAAAD375is=")</f>
        <v>#VALUE!</v>
      </c>
      <c r="AS104" t="e">
        <f>AND(resultados!AF112,"AAAAAD375iw=")</f>
        <v>#VALUE!</v>
      </c>
      <c r="AT104" t="e">
        <f>AND(resultados!AG112,"AAAAAD375i0=")</f>
        <v>#VALUE!</v>
      </c>
      <c r="AU104" t="e">
        <f>AND(resultados!AH112,"AAAAAD375i4=")</f>
        <v>#VALUE!</v>
      </c>
      <c r="AV104" t="e">
        <f>AND(resultados!AI112,"AAAAAD375i8=")</f>
        <v>#VALUE!</v>
      </c>
      <c r="AW104">
        <f>IF(resultados!113:113,"AAAAAD375jA=",0)</f>
        <v>0</v>
      </c>
      <c r="AX104" t="e">
        <f>AND(resultados!#REF!,"AAAAAD375jE=")</f>
        <v>#REF!</v>
      </c>
      <c r="AY104" t="e">
        <f>AND(resultados!C113,"AAAAAD375jI=")</f>
        <v>#VALUE!</v>
      </c>
      <c r="AZ104" t="e">
        <f>AND(resultados!D113,"AAAAAD375jM=")</f>
        <v>#VALUE!</v>
      </c>
      <c r="BA104" t="e">
        <f>AND(resultados!E113,"AAAAAD375jQ=")</f>
        <v>#VALUE!</v>
      </c>
      <c r="BB104" t="e">
        <f>AND(resultados!#REF!,"AAAAAD375jU=")</f>
        <v>#REF!</v>
      </c>
      <c r="BC104" t="e">
        <f>AND(resultados!G113,"AAAAAD375jY=")</f>
        <v>#VALUE!</v>
      </c>
      <c r="BD104" t="e">
        <f>AND(resultados!H113,"AAAAAD375jc=")</f>
        <v>#VALUE!</v>
      </c>
      <c r="BE104" t="e">
        <f>AND(resultados!I113,"AAAAAD375jg=")</f>
        <v>#VALUE!</v>
      </c>
      <c r="BF104" t="e">
        <f>AND(resultados!J113,"AAAAAD375jk=")</f>
        <v>#VALUE!</v>
      </c>
      <c r="BG104" t="e">
        <f>AND(resultados!K113,"AAAAAD375jo=")</f>
        <v>#VALUE!</v>
      </c>
      <c r="BH104" t="e">
        <f>AND(resultados!L113,"AAAAAD375js=")</f>
        <v>#VALUE!</v>
      </c>
      <c r="BI104" t="e">
        <f>AND(resultados!M113,"AAAAAD375jw=")</f>
        <v>#VALUE!</v>
      </c>
      <c r="BJ104" t="e">
        <f>AND(resultados!N113,"AAAAAD375j0=")</f>
        <v>#VALUE!</v>
      </c>
      <c r="BK104" t="e">
        <f>AND(resultados!O113,"AAAAAD375j4=")</f>
        <v>#VALUE!</v>
      </c>
      <c r="BL104" t="e">
        <f>AND(resultados!P113,"AAAAAD375j8=")</f>
        <v>#VALUE!</v>
      </c>
      <c r="BM104" t="e">
        <f>AND(resultados!Q113,"AAAAAD375kA=")</f>
        <v>#VALUE!</v>
      </c>
      <c r="BN104" t="e">
        <f>AND(resultados!R113,"AAAAAD375kE=")</f>
        <v>#VALUE!</v>
      </c>
      <c r="BO104" t="e">
        <f>AND(resultados!S113,"AAAAAD375kI=")</f>
        <v>#VALUE!</v>
      </c>
      <c r="BP104" t="e">
        <f>AND(resultados!T113,"AAAAAD375kM=")</f>
        <v>#VALUE!</v>
      </c>
      <c r="BQ104" t="e">
        <f>AND(resultados!U113,"AAAAAD375kQ=")</f>
        <v>#VALUE!</v>
      </c>
      <c r="BR104" t="e">
        <f>AND(resultados!V113,"AAAAAD375kU=")</f>
        <v>#VALUE!</v>
      </c>
      <c r="BS104" t="e">
        <f>AND(resultados!W113,"AAAAAD375kY=")</f>
        <v>#VALUE!</v>
      </c>
      <c r="BT104" t="e">
        <f>AND(resultados!X113,"AAAAAD375kc=")</f>
        <v>#VALUE!</v>
      </c>
      <c r="BU104" t="e">
        <f>AND(resultados!Y113,"AAAAAD375kg=")</f>
        <v>#VALUE!</v>
      </c>
      <c r="BV104" t="e">
        <f>AND(resultados!Z113,"AAAAAD375kk=")</f>
        <v>#VALUE!</v>
      </c>
      <c r="BW104" t="e">
        <f>AND(resultados!AA113,"AAAAAD375ko=")</f>
        <v>#VALUE!</v>
      </c>
      <c r="BX104" t="e">
        <f>AND(resultados!AB113,"AAAAAD375ks=")</f>
        <v>#VALUE!</v>
      </c>
      <c r="BY104" t="e">
        <f>AND(resultados!AC113,"AAAAAD375kw=")</f>
        <v>#VALUE!</v>
      </c>
      <c r="BZ104" t="e">
        <f>AND(resultados!AD113,"AAAAAD375k0=")</f>
        <v>#VALUE!</v>
      </c>
      <c r="CA104" t="e">
        <f>AND(resultados!AE113,"AAAAAD375k4=")</f>
        <v>#VALUE!</v>
      </c>
      <c r="CB104" t="e">
        <f>AND(resultados!AF113,"AAAAAD375k8=")</f>
        <v>#VALUE!</v>
      </c>
      <c r="CC104" t="e">
        <f>AND(resultados!AG113,"AAAAAD375lA=")</f>
        <v>#VALUE!</v>
      </c>
      <c r="CD104" t="e">
        <f>AND(resultados!AH113,"AAAAAD375lE=")</f>
        <v>#VALUE!</v>
      </c>
      <c r="CE104" t="e">
        <f>AND(resultados!AI113,"AAAAAD375lI=")</f>
        <v>#VALUE!</v>
      </c>
      <c r="CF104">
        <f>IF(resultados!114:114,"AAAAAD375lM=",0)</f>
        <v>0</v>
      </c>
      <c r="CG104" t="e">
        <f>AND(resultados!#REF!,"AAAAAD375lQ=")</f>
        <v>#REF!</v>
      </c>
      <c r="CH104" t="e">
        <f>AND(resultados!C114,"AAAAAD375lU=")</f>
        <v>#VALUE!</v>
      </c>
      <c r="CI104" t="e">
        <f>AND(resultados!D114,"AAAAAD375lY=")</f>
        <v>#VALUE!</v>
      </c>
      <c r="CJ104" t="e">
        <f>AND(resultados!E114,"AAAAAD375lc=")</f>
        <v>#VALUE!</v>
      </c>
      <c r="CK104" t="e">
        <f>AND(resultados!#REF!,"AAAAAD375lg=")</f>
        <v>#REF!</v>
      </c>
      <c r="CL104" t="e">
        <f>AND(resultados!G114,"AAAAAD375lk=")</f>
        <v>#VALUE!</v>
      </c>
      <c r="CM104" t="e">
        <f>AND(resultados!H114,"AAAAAD375lo=")</f>
        <v>#VALUE!</v>
      </c>
      <c r="CN104" t="e">
        <f>AND(resultados!I114,"AAAAAD375ls=")</f>
        <v>#VALUE!</v>
      </c>
      <c r="CO104" t="e">
        <f>AND(resultados!J114,"AAAAAD375lw=")</f>
        <v>#VALUE!</v>
      </c>
      <c r="CP104" t="e">
        <f>AND(resultados!K114,"AAAAAD375l0=")</f>
        <v>#VALUE!</v>
      </c>
      <c r="CQ104" t="e">
        <f>AND(resultados!L114,"AAAAAD375l4=")</f>
        <v>#VALUE!</v>
      </c>
      <c r="CR104" t="e">
        <f>AND(resultados!M114,"AAAAAD375l8=")</f>
        <v>#VALUE!</v>
      </c>
      <c r="CS104" t="e">
        <f>AND(resultados!N114,"AAAAAD375mA=")</f>
        <v>#VALUE!</v>
      </c>
      <c r="CT104" t="e">
        <f>AND(resultados!O114,"AAAAAD375mE=")</f>
        <v>#VALUE!</v>
      </c>
      <c r="CU104" t="e">
        <f>AND(resultados!P114,"AAAAAD375mI=")</f>
        <v>#VALUE!</v>
      </c>
      <c r="CV104" t="e">
        <f>AND(resultados!Q114,"AAAAAD375mM=")</f>
        <v>#VALUE!</v>
      </c>
      <c r="CW104" t="e">
        <f>AND(resultados!R114,"AAAAAD375mQ=")</f>
        <v>#VALUE!</v>
      </c>
      <c r="CX104" t="e">
        <f>AND(resultados!S114,"AAAAAD375mU=")</f>
        <v>#VALUE!</v>
      </c>
      <c r="CY104" t="e">
        <f>AND(resultados!T114,"AAAAAD375mY=")</f>
        <v>#VALUE!</v>
      </c>
      <c r="CZ104" t="e">
        <f>AND(resultados!U114,"AAAAAD375mc=")</f>
        <v>#VALUE!</v>
      </c>
      <c r="DA104" t="e">
        <f>AND(resultados!V114,"AAAAAD375mg=")</f>
        <v>#VALUE!</v>
      </c>
      <c r="DB104" t="e">
        <f>AND(resultados!W114,"AAAAAD375mk=")</f>
        <v>#VALUE!</v>
      </c>
      <c r="DC104" t="e">
        <f>AND(resultados!X114,"AAAAAD375mo=")</f>
        <v>#VALUE!</v>
      </c>
      <c r="DD104" t="e">
        <f>AND(resultados!Y114,"AAAAAD375ms=")</f>
        <v>#VALUE!</v>
      </c>
      <c r="DE104" t="e">
        <f>AND(resultados!Z114,"AAAAAD375mw=")</f>
        <v>#VALUE!</v>
      </c>
      <c r="DF104" t="e">
        <f>AND(resultados!AA114,"AAAAAD375m0=")</f>
        <v>#VALUE!</v>
      </c>
      <c r="DG104" t="e">
        <f>AND(resultados!AB114,"AAAAAD375m4=")</f>
        <v>#VALUE!</v>
      </c>
      <c r="DH104" t="e">
        <f>AND(resultados!AC114,"AAAAAD375m8=")</f>
        <v>#VALUE!</v>
      </c>
      <c r="DI104" t="e">
        <f>AND(resultados!AD114,"AAAAAD375nA=")</f>
        <v>#VALUE!</v>
      </c>
      <c r="DJ104" t="e">
        <f>AND(resultados!AE114,"AAAAAD375nE=")</f>
        <v>#VALUE!</v>
      </c>
      <c r="DK104" t="e">
        <f>AND(resultados!AF114,"AAAAAD375nI=")</f>
        <v>#VALUE!</v>
      </c>
      <c r="DL104" t="e">
        <f>AND(resultados!AG114,"AAAAAD375nM=")</f>
        <v>#VALUE!</v>
      </c>
      <c r="DM104" t="e">
        <f>AND(resultados!AH114,"AAAAAD375nQ=")</f>
        <v>#VALUE!</v>
      </c>
      <c r="DN104" t="e">
        <f>AND(resultados!AI114,"AAAAAD375nU=")</f>
        <v>#VALUE!</v>
      </c>
      <c r="DO104">
        <f>IF(resultados!115:115,"AAAAAD375nY=",0)</f>
        <v>0</v>
      </c>
      <c r="DP104" t="e">
        <f>AND(resultados!#REF!,"AAAAAD375nc=")</f>
        <v>#REF!</v>
      </c>
      <c r="DQ104" t="e">
        <f>AND(resultados!C115,"AAAAAD375ng=")</f>
        <v>#VALUE!</v>
      </c>
      <c r="DR104" t="e">
        <f>AND(resultados!D115,"AAAAAD375nk=")</f>
        <v>#VALUE!</v>
      </c>
      <c r="DS104" t="e">
        <f>AND(resultados!E115,"AAAAAD375no=")</f>
        <v>#VALUE!</v>
      </c>
      <c r="DT104" t="e">
        <f>AND(resultados!#REF!,"AAAAAD375ns=")</f>
        <v>#REF!</v>
      </c>
      <c r="DU104" t="e">
        <f>AND(resultados!G115,"AAAAAD375nw=")</f>
        <v>#VALUE!</v>
      </c>
      <c r="DV104" t="e">
        <f>AND(resultados!H115,"AAAAAD375n0=")</f>
        <v>#VALUE!</v>
      </c>
      <c r="DW104" t="e">
        <f>AND(resultados!I115,"AAAAAD375n4=")</f>
        <v>#VALUE!</v>
      </c>
      <c r="DX104" t="e">
        <f>AND(resultados!J115,"AAAAAD375n8=")</f>
        <v>#VALUE!</v>
      </c>
      <c r="DY104" t="e">
        <f>AND(resultados!K115,"AAAAAD375oA=")</f>
        <v>#VALUE!</v>
      </c>
      <c r="DZ104" t="e">
        <f>AND(resultados!L115,"AAAAAD375oE=")</f>
        <v>#VALUE!</v>
      </c>
      <c r="EA104" t="e">
        <f>AND(resultados!M115,"AAAAAD375oI=")</f>
        <v>#VALUE!</v>
      </c>
      <c r="EB104" t="e">
        <f>AND(resultados!N115,"AAAAAD375oM=")</f>
        <v>#VALUE!</v>
      </c>
      <c r="EC104" t="e">
        <f>AND(resultados!O115,"AAAAAD375oQ=")</f>
        <v>#VALUE!</v>
      </c>
      <c r="ED104" t="e">
        <f>AND(resultados!P115,"AAAAAD375oU=")</f>
        <v>#VALUE!</v>
      </c>
      <c r="EE104" t="e">
        <f>AND(resultados!Q115,"AAAAAD375oY=")</f>
        <v>#VALUE!</v>
      </c>
      <c r="EF104" t="e">
        <f>AND(resultados!R115,"AAAAAD375oc=")</f>
        <v>#VALUE!</v>
      </c>
      <c r="EG104" t="e">
        <f>AND(resultados!S115,"AAAAAD375og=")</f>
        <v>#VALUE!</v>
      </c>
      <c r="EH104" t="e">
        <f>AND(resultados!T115,"AAAAAD375ok=")</f>
        <v>#VALUE!</v>
      </c>
      <c r="EI104" t="e">
        <f>AND(resultados!U115,"AAAAAD375oo=")</f>
        <v>#VALUE!</v>
      </c>
      <c r="EJ104" t="e">
        <f>AND(resultados!V115,"AAAAAD375os=")</f>
        <v>#VALUE!</v>
      </c>
      <c r="EK104" t="e">
        <f>AND(resultados!W115,"AAAAAD375ow=")</f>
        <v>#VALUE!</v>
      </c>
      <c r="EL104" t="e">
        <f>AND(resultados!X115,"AAAAAD375o0=")</f>
        <v>#VALUE!</v>
      </c>
      <c r="EM104" t="e">
        <f>AND(resultados!Y115,"AAAAAD375o4=")</f>
        <v>#VALUE!</v>
      </c>
      <c r="EN104" t="e">
        <f>AND(resultados!Z115,"AAAAAD375o8=")</f>
        <v>#VALUE!</v>
      </c>
      <c r="EO104" t="e">
        <f>AND(resultados!AA115,"AAAAAD375pA=")</f>
        <v>#VALUE!</v>
      </c>
      <c r="EP104" t="e">
        <f>AND(resultados!AB115,"AAAAAD375pE=")</f>
        <v>#VALUE!</v>
      </c>
      <c r="EQ104" t="e">
        <f>AND(resultados!AC115,"AAAAAD375pI=")</f>
        <v>#VALUE!</v>
      </c>
      <c r="ER104" t="e">
        <f>AND(resultados!AD115,"AAAAAD375pM=")</f>
        <v>#VALUE!</v>
      </c>
      <c r="ES104" t="e">
        <f>AND(resultados!AE115,"AAAAAD375pQ=")</f>
        <v>#VALUE!</v>
      </c>
      <c r="ET104" t="e">
        <f>AND(resultados!AF115,"AAAAAD375pU=")</f>
        <v>#VALUE!</v>
      </c>
      <c r="EU104" t="e">
        <f>AND(resultados!AG115,"AAAAAD375pY=")</f>
        <v>#VALUE!</v>
      </c>
      <c r="EV104" t="e">
        <f>AND(resultados!AH115,"AAAAAD375pc=")</f>
        <v>#VALUE!</v>
      </c>
      <c r="EW104" t="e">
        <f>AND(resultados!AI115,"AAAAAD375pg=")</f>
        <v>#VALUE!</v>
      </c>
      <c r="EX104">
        <f>IF(resultados!116:116,"AAAAAD375pk=",0)</f>
        <v>0</v>
      </c>
      <c r="EY104" t="e">
        <f>AND(resultados!#REF!,"AAAAAD375po=")</f>
        <v>#REF!</v>
      </c>
      <c r="EZ104" t="e">
        <f>AND(resultados!C116,"AAAAAD375ps=")</f>
        <v>#VALUE!</v>
      </c>
      <c r="FA104" t="e">
        <f>AND(resultados!D116,"AAAAAD375pw=")</f>
        <v>#VALUE!</v>
      </c>
      <c r="FB104" t="e">
        <f>AND(resultados!E116,"AAAAAD375p0=")</f>
        <v>#VALUE!</v>
      </c>
      <c r="FC104" t="e">
        <f>AND(resultados!#REF!,"AAAAAD375p4=")</f>
        <v>#REF!</v>
      </c>
      <c r="FD104" t="e">
        <f>AND(resultados!G116,"AAAAAD375p8=")</f>
        <v>#VALUE!</v>
      </c>
      <c r="FE104" t="e">
        <f>AND(resultados!H116,"AAAAAD375qA=")</f>
        <v>#VALUE!</v>
      </c>
      <c r="FF104" t="e">
        <f>AND(resultados!I116,"AAAAAD375qE=")</f>
        <v>#VALUE!</v>
      </c>
      <c r="FG104" t="e">
        <f>AND(resultados!J116,"AAAAAD375qI=")</f>
        <v>#VALUE!</v>
      </c>
      <c r="FH104" t="e">
        <f>AND(resultados!K116,"AAAAAD375qM=")</f>
        <v>#VALUE!</v>
      </c>
      <c r="FI104" t="e">
        <f>AND(resultados!L116,"AAAAAD375qQ=")</f>
        <v>#VALUE!</v>
      </c>
      <c r="FJ104" t="e">
        <f>AND(resultados!M116,"AAAAAD375qU=")</f>
        <v>#VALUE!</v>
      </c>
      <c r="FK104" t="e">
        <f>AND(resultados!N116,"AAAAAD375qY=")</f>
        <v>#VALUE!</v>
      </c>
      <c r="FL104" t="e">
        <f>AND(resultados!O116,"AAAAAD375qc=")</f>
        <v>#VALUE!</v>
      </c>
      <c r="FM104" t="e">
        <f>AND(resultados!P116,"AAAAAD375qg=")</f>
        <v>#VALUE!</v>
      </c>
      <c r="FN104" t="e">
        <f>AND(resultados!Q116,"AAAAAD375qk=")</f>
        <v>#VALUE!</v>
      </c>
      <c r="FO104" t="e">
        <f>AND(resultados!R116,"AAAAAD375qo=")</f>
        <v>#VALUE!</v>
      </c>
      <c r="FP104" t="e">
        <f>AND(resultados!S116,"AAAAAD375qs=")</f>
        <v>#VALUE!</v>
      </c>
      <c r="FQ104" t="e">
        <f>AND(resultados!T116,"AAAAAD375qw=")</f>
        <v>#VALUE!</v>
      </c>
      <c r="FR104" t="e">
        <f>AND(resultados!U116,"AAAAAD375q0=")</f>
        <v>#VALUE!</v>
      </c>
      <c r="FS104" t="e">
        <f>AND(resultados!V116,"AAAAAD375q4=")</f>
        <v>#VALUE!</v>
      </c>
      <c r="FT104" t="e">
        <f>AND(resultados!W116,"AAAAAD375q8=")</f>
        <v>#VALUE!</v>
      </c>
      <c r="FU104" t="e">
        <f>AND(resultados!X116,"AAAAAD375rA=")</f>
        <v>#VALUE!</v>
      </c>
      <c r="FV104" t="e">
        <f>AND(resultados!Y116,"AAAAAD375rE=")</f>
        <v>#VALUE!</v>
      </c>
      <c r="FW104" t="e">
        <f>AND(resultados!Z116,"AAAAAD375rI=")</f>
        <v>#VALUE!</v>
      </c>
      <c r="FX104" t="e">
        <f>AND(resultados!AA116,"AAAAAD375rM=")</f>
        <v>#VALUE!</v>
      </c>
      <c r="FY104" t="e">
        <f>AND(resultados!AB116,"AAAAAD375rQ=")</f>
        <v>#VALUE!</v>
      </c>
      <c r="FZ104" t="e">
        <f>AND(resultados!AC116,"AAAAAD375rU=")</f>
        <v>#VALUE!</v>
      </c>
      <c r="GA104" t="e">
        <f>AND(resultados!AD116,"AAAAAD375rY=")</f>
        <v>#VALUE!</v>
      </c>
      <c r="GB104" t="e">
        <f>AND(resultados!AE116,"AAAAAD375rc=")</f>
        <v>#VALUE!</v>
      </c>
      <c r="GC104" t="e">
        <f>AND(resultados!AF116,"AAAAAD375rg=")</f>
        <v>#VALUE!</v>
      </c>
      <c r="GD104" t="e">
        <f>AND(resultados!AG116,"AAAAAD375rk=")</f>
        <v>#VALUE!</v>
      </c>
      <c r="GE104" t="e">
        <f>AND(resultados!AH116,"AAAAAD375ro=")</f>
        <v>#VALUE!</v>
      </c>
      <c r="GF104" t="e">
        <f>AND(resultados!AI116,"AAAAAD375rs=")</f>
        <v>#VALUE!</v>
      </c>
      <c r="GG104">
        <f>IF(resultados!117:117,"AAAAAD375rw=",0)</f>
        <v>0</v>
      </c>
      <c r="GH104" t="e">
        <f>AND(resultados!#REF!,"AAAAAD375r0=")</f>
        <v>#REF!</v>
      </c>
      <c r="GI104" t="e">
        <f>AND(resultados!C117,"AAAAAD375r4=")</f>
        <v>#VALUE!</v>
      </c>
      <c r="GJ104" t="e">
        <f>AND(resultados!D117,"AAAAAD375r8=")</f>
        <v>#VALUE!</v>
      </c>
      <c r="GK104" t="e">
        <f>AND(resultados!E117,"AAAAAD375sA=")</f>
        <v>#VALUE!</v>
      </c>
      <c r="GL104" t="e">
        <f>AND(resultados!#REF!,"AAAAAD375sE=")</f>
        <v>#REF!</v>
      </c>
      <c r="GM104" t="e">
        <f>AND(resultados!G117,"AAAAAD375sI=")</f>
        <v>#VALUE!</v>
      </c>
      <c r="GN104" t="e">
        <f>AND(resultados!H117,"AAAAAD375sM=")</f>
        <v>#VALUE!</v>
      </c>
      <c r="GO104" t="e">
        <f>AND(resultados!I117,"AAAAAD375sQ=")</f>
        <v>#VALUE!</v>
      </c>
      <c r="GP104" t="e">
        <f>AND(resultados!J117,"AAAAAD375sU=")</f>
        <v>#VALUE!</v>
      </c>
      <c r="GQ104" t="e">
        <f>AND(resultados!K117,"AAAAAD375sY=")</f>
        <v>#VALUE!</v>
      </c>
      <c r="GR104" t="e">
        <f>AND(resultados!L117,"AAAAAD375sc=")</f>
        <v>#VALUE!</v>
      </c>
      <c r="GS104" t="e">
        <f>AND(resultados!M117,"AAAAAD375sg=")</f>
        <v>#VALUE!</v>
      </c>
      <c r="GT104" t="e">
        <f>AND(resultados!N117,"AAAAAD375sk=")</f>
        <v>#VALUE!</v>
      </c>
      <c r="GU104" t="e">
        <f>AND(resultados!O117,"AAAAAD375so=")</f>
        <v>#VALUE!</v>
      </c>
      <c r="GV104" t="e">
        <f>AND(resultados!P117,"AAAAAD375ss=")</f>
        <v>#VALUE!</v>
      </c>
      <c r="GW104" t="e">
        <f>AND(resultados!Q117,"AAAAAD375sw=")</f>
        <v>#VALUE!</v>
      </c>
      <c r="GX104" t="e">
        <f>AND(resultados!R117,"AAAAAD375s0=")</f>
        <v>#VALUE!</v>
      </c>
      <c r="GY104" t="e">
        <f>AND(resultados!S117,"AAAAAD375s4=")</f>
        <v>#VALUE!</v>
      </c>
      <c r="GZ104" t="e">
        <f>AND(resultados!T117,"AAAAAD375s8=")</f>
        <v>#VALUE!</v>
      </c>
      <c r="HA104" t="e">
        <f>AND(resultados!U117,"AAAAAD375tA=")</f>
        <v>#VALUE!</v>
      </c>
      <c r="HB104" t="e">
        <f>AND(resultados!V117,"AAAAAD375tE=")</f>
        <v>#VALUE!</v>
      </c>
      <c r="HC104" t="e">
        <f>AND(resultados!W117,"AAAAAD375tI=")</f>
        <v>#VALUE!</v>
      </c>
      <c r="HD104" t="e">
        <f>AND(resultados!X117,"AAAAAD375tM=")</f>
        <v>#VALUE!</v>
      </c>
      <c r="HE104" t="e">
        <f>AND(resultados!Y117,"AAAAAD375tQ=")</f>
        <v>#VALUE!</v>
      </c>
      <c r="HF104" t="e">
        <f>AND(resultados!Z117,"AAAAAD375tU=")</f>
        <v>#VALUE!</v>
      </c>
      <c r="HG104" t="e">
        <f>AND(resultados!AA117,"AAAAAD375tY=")</f>
        <v>#VALUE!</v>
      </c>
      <c r="HH104" t="e">
        <f>AND(resultados!AB117,"AAAAAD375tc=")</f>
        <v>#VALUE!</v>
      </c>
      <c r="HI104" t="e">
        <f>AND(resultados!AC117,"AAAAAD375tg=")</f>
        <v>#VALUE!</v>
      </c>
      <c r="HJ104" t="e">
        <f>AND(resultados!AD117,"AAAAAD375tk=")</f>
        <v>#VALUE!</v>
      </c>
      <c r="HK104" t="e">
        <f>AND(resultados!AE117,"AAAAAD375to=")</f>
        <v>#VALUE!</v>
      </c>
      <c r="HL104" t="e">
        <f>AND(resultados!AF117,"AAAAAD375ts=")</f>
        <v>#VALUE!</v>
      </c>
      <c r="HM104" t="e">
        <f>AND(resultados!AG117,"AAAAAD375tw=")</f>
        <v>#VALUE!</v>
      </c>
      <c r="HN104" t="e">
        <f>AND(resultados!AH117,"AAAAAD375t0=")</f>
        <v>#VALUE!</v>
      </c>
      <c r="HO104" t="e">
        <f>AND(resultados!AI117,"AAAAAD375t4=")</f>
        <v>#VALUE!</v>
      </c>
      <c r="HP104">
        <f>IF(resultados!118:118,"AAAAAD375t8=",0)</f>
        <v>0</v>
      </c>
      <c r="HQ104" t="e">
        <f>AND(resultados!#REF!,"AAAAAD375uA=")</f>
        <v>#REF!</v>
      </c>
      <c r="HR104" t="e">
        <f>AND(resultados!C118,"AAAAAD375uE=")</f>
        <v>#VALUE!</v>
      </c>
      <c r="HS104" t="e">
        <f>AND(resultados!D118,"AAAAAD375uI=")</f>
        <v>#VALUE!</v>
      </c>
      <c r="HT104" t="e">
        <f>AND(resultados!E118,"AAAAAD375uM=")</f>
        <v>#VALUE!</v>
      </c>
      <c r="HU104" t="e">
        <f>AND(resultados!#REF!,"AAAAAD375uQ=")</f>
        <v>#REF!</v>
      </c>
      <c r="HV104" t="e">
        <f>AND(resultados!G118,"AAAAAD375uU=")</f>
        <v>#VALUE!</v>
      </c>
      <c r="HW104" t="e">
        <f>AND(resultados!H118,"AAAAAD375uY=")</f>
        <v>#VALUE!</v>
      </c>
      <c r="HX104" t="e">
        <f>AND(resultados!I118,"AAAAAD375uc=")</f>
        <v>#VALUE!</v>
      </c>
      <c r="HY104" t="e">
        <f>AND(resultados!J118,"AAAAAD375ug=")</f>
        <v>#VALUE!</v>
      </c>
      <c r="HZ104" t="e">
        <f>AND(resultados!K118,"AAAAAD375uk=")</f>
        <v>#VALUE!</v>
      </c>
      <c r="IA104" t="e">
        <f>AND(resultados!L118,"AAAAAD375uo=")</f>
        <v>#VALUE!</v>
      </c>
      <c r="IB104" t="e">
        <f>AND(resultados!M118,"AAAAAD375us=")</f>
        <v>#VALUE!</v>
      </c>
      <c r="IC104" t="e">
        <f>AND(resultados!N118,"AAAAAD375uw=")</f>
        <v>#VALUE!</v>
      </c>
      <c r="ID104" t="e">
        <f>AND(resultados!O118,"AAAAAD375u0=")</f>
        <v>#VALUE!</v>
      </c>
      <c r="IE104" t="e">
        <f>AND(resultados!P118,"AAAAAD375u4=")</f>
        <v>#VALUE!</v>
      </c>
      <c r="IF104" t="e">
        <f>AND(resultados!Q118,"AAAAAD375u8=")</f>
        <v>#VALUE!</v>
      </c>
      <c r="IG104" t="e">
        <f>AND(resultados!R118,"AAAAAD375vA=")</f>
        <v>#VALUE!</v>
      </c>
      <c r="IH104" t="e">
        <f>AND(resultados!S118,"AAAAAD375vE=")</f>
        <v>#VALUE!</v>
      </c>
      <c r="II104" t="e">
        <f>AND(resultados!T118,"AAAAAD375vI=")</f>
        <v>#VALUE!</v>
      </c>
      <c r="IJ104" t="e">
        <f>AND(resultados!U118,"AAAAAD375vM=")</f>
        <v>#VALUE!</v>
      </c>
      <c r="IK104" t="e">
        <f>AND(resultados!V118,"AAAAAD375vQ=")</f>
        <v>#VALUE!</v>
      </c>
      <c r="IL104" t="e">
        <f>AND(resultados!W118,"AAAAAD375vU=")</f>
        <v>#VALUE!</v>
      </c>
      <c r="IM104" t="e">
        <f>AND(resultados!X118,"AAAAAD375vY=")</f>
        <v>#VALUE!</v>
      </c>
      <c r="IN104" t="e">
        <f>AND(resultados!Y118,"AAAAAD375vc=")</f>
        <v>#VALUE!</v>
      </c>
      <c r="IO104" t="e">
        <f>AND(resultados!Z118,"AAAAAD375vg=")</f>
        <v>#VALUE!</v>
      </c>
      <c r="IP104" t="e">
        <f>AND(resultados!AA118,"AAAAAD375vk=")</f>
        <v>#VALUE!</v>
      </c>
      <c r="IQ104" t="e">
        <f>AND(resultados!AB118,"AAAAAD375vo=")</f>
        <v>#VALUE!</v>
      </c>
      <c r="IR104" t="e">
        <f>AND(resultados!AC118,"AAAAAD375vs=")</f>
        <v>#VALUE!</v>
      </c>
      <c r="IS104" t="e">
        <f>AND(resultados!AD118,"AAAAAD375vw=")</f>
        <v>#VALUE!</v>
      </c>
      <c r="IT104" t="e">
        <f>AND(resultados!AE118,"AAAAAD375v0=")</f>
        <v>#VALUE!</v>
      </c>
      <c r="IU104" t="e">
        <f>AND(resultados!AF118,"AAAAAD375v4=")</f>
        <v>#VALUE!</v>
      </c>
      <c r="IV104" t="e">
        <f>AND(resultados!AG118,"AAAAAD375v8=")</f>
        <v>#VALUE!</v>
      </c>
    </row>
    <row r="105" spans="1:256" x14ac:dyDescent="0.2">
      <c r="A105" t="e">
        <f>AND(resultados!AH118,"AAAAAD39mgA=")</f>
        <v>#VALUE!</v>
      </c>
      <c r="B105" t="e">
        <f>AND(resultados!AI118,"AAAAAD39mgE=")</f>
        <v>#VALUE!</v>
      </c>
      <c r="C105" t="e">
        <f>IF(resultados!119:119,"AAAAAD39mgI=",0)</f>
        <v>#VALUE!</v>
      </c>
      <c r="D105" t="e">
        <f>AND(resultados!#REF!,"AAAAAD39mgM=")</f>
        <v>#REF!</v>
      </c>
      <c r="E105" t="e">
        <f>AND(resultados!C119,"AAAAAD39mgQ=")</f>
        <v>#VALUE!</v>
      </c>
      <c r="F105" t="e">
        <f>AND(resultados!D119,"AAAAAD39mgU=")</f>
        <v>#VALUE!</v>
      </c>
      <c r="G105" t="e">
        <f>AND(resultados!E119,"AAAAAD39mgY=")</f>
        <v>#VALUE!</v>
      </c>
      <c r="H105" t="e">
        <f>AND(resultados!#REF!,"AAAAAD39mgc=")</f>
        <v>#REF!</v>
      </c>
      <c r="I105" t="e">
        <f>AND(resultados!G119,"AAAAAD39mgg=")</f>
        <v>#VALUE!</v>
      </c>
      <c r="J105" t="e">
        <f>AND(resultados!H119,"AAAAAD39mgk=")</f>
        <v>#VALUE!</v>
      </c>
      <c r="K105" t="e">
        <f>AND(resultados!I119,"AAAAAD39mgo=")</f>
        <v>#VALUE!</v>
      </c>
      <c r="L105" t="e">
        <f>AND(resultados!J119,"AAAAAD39mgs=")</f>
        <v>#VALUE!</v>
      </c>
      <c r="M105" t="e">
        <f>AND(resultados!K119,"AAAAAD39mgw=")</f>
        <v>#VALUE!</v>
      </c>
      <c r="N105" t="e">
        <f>AND(resultados!L119,"AAAAAD39mg0=")</f>
        <v>#VALUE!</v>
      </c>
      <c r="O105" t="e">
        <f>AND(resultados!M119,"AAAAAD39mg4=")</f>
        <v>#VALUE!</v>
      </c>
      <c r="P105" t="e">
        <f>AND(resultados!N119,"AAAAAD39mg8=")</f>
        <v>#VALUE!</v>
      </c>
      <c r="Q105" t="e">
        <f>AND(resultados!O119,"AAAAAD39mhA=")</f>
        <v>#VALUE!</v>
      </c>
      <c r="R105" t="e">
        <f>AND(resultados!P119,"AAAAAD39mhE=")</f>
        <v>#VALUE!</v>
      </c>
      <c r="S105" t="e">
        <f>AND(resultados!Q119,"AAAAAD39mhI=")</f>
        <v>#VALUE!</v>
      </c>
      <c r="T105" t="e">
        <f>AND(resultados!R119,"AAAAAD39mhM=")</f>
        <v>#VALUE!</v>
      </c>
      <c r="U105" t="e">
        <f>AND(resultados!S119,"AAAAAD39mhQ=")</f>
        <v>#VALUE!</v>
      </c>
      <c r="V105" t="e">
        <f>AND(resultados!T119,"AAAAAD39mhU=")</f>
        <v>#VALUE!</v>
      </c>
      <c r="W105" t="e">
        <f>AND(resultados!U119,"AAAAAD39mhY=")</f>
        <v>#VALUE!</v>
      </c>
      <c r="X105" t="e">
        <f>AND(resultados!V119,"AAAAAD39mhc=")</f>
        <v>#VALUE!</v>
      </c>
      <c r="Y105" t="e">
        <f>AND(resultados!W119,"AAAAAD39mhg=")</f>
        <v>#VALUE!</v>
      </c>
      <c r="Z105" t="e">
        <f>AND(resultados!X119,"AAAAAD39mhk=")</f>
        <v>#VALUE!</v>
      </c>
      <c r="AA105" t="e">
        <f>AND(resultados!Y119,"AAAAAD39mho=")</f>
        <v>#VALUE!</v>
      </c>
      <c r="AB105" t="e">
        <f>AND(resultados!Z119,"AAAAAD39mhs=")</f>
        <v>#VALUE!</v>
      </c>
      <c r="AC105" t="e">
        <f>AND(resultados!AA119,"AAAAAD39mhw=")</f>
        <v>#VALUE!</v>
      </c>
      <c r="AD105" t="e">
        <f>AND(resultados!AB119,"AAAAAD39mh0=")</f>
        <v>#VALUE!</v>
      </c>
      <c r="AE105" t="e">
        <f>AND(resultados!AC119,"AAAAAD39mh4=")</f>
        <v>#VALUE!</v>
      </c>
      <c r="AF105" t="e">
        <f>AND(resultados!AD119,"AAAAAD39mh8=")</f>
        <v>#VALUE!</v>
      </c>
      <c r="AG105" t="e">
        <f>AND(resultados!AE119,"AAAAAD39miA=")</f>
        <v>#VALUE!</v>
      </c>
      <c r="AH105" t="e">
        <f>AND(resultados!AF119,"AAAAAD39miE=")</f>
        <v>#VALUE!</v>
      </c>
      <c r="AI105" t="e">
        <f>AND(resultados!AG119,"AAAAAD39miI=")</f>
        <v>#VALUE!</v>
      </c>
      <c r="AJ105" t="e">
        <f>AND(resultados!AH119,"AAAAAD39miM=")</f>
        <v>#VALUE!</v>
      </c>
      <c r="AK105" t="e">
        <f>AND(resultados!AI119,"AAAAAD39miQ=")</f>
        <v>#VALUE!</v>
      </c>
      <c r="AL105">
        <f>IF(resultados!120:120,"AAAAAD39miU=",0)</f>
        <v>0</v>
      </c>
      <c r="AM105" t="e">
        <f>AND(resultados!#REF!,"AAAAAD39miY=")</f>
        <v>#REF!</v>
      </c>
      <c r="AN105" t="e">
        <f>AND(resultados!C120,"AAAAAD39mic=")</f>
        <v>#VALUE!</v>
      </c>
      <c r="AO105" t="e">
        <f>AND(resultados!D120,"AAAAAD39mig=")</f>
        <v>#VALUE!</v>
      </c>
      <c r="AP105" t="e">
        <f>AND(resultados!E120,"AAAAAD39mik=")</f>
        <v>#VALUE!</v>
      </c>
      <c r="AQ105" t="e">
        <f>AND(resultados!#REF!,"AAAAAD39mio=")</f>
        <v>#REF!</v>
      </c>
      <c r="AR105" t="e">
        <f>AND(resultados!G120,"AAAAAD39mis=")</f>
        <v>#VALUE!</v>
      </c>
      <c r="AS105" t="e">
        <f>AND(resultados!H120,"AAAAAD39miw=")</f>
        <v>#VALUE!</v>
      </c>
      <c r="AT105" t="e">
        <f>AND(resultados!I120,"AAAAAD39mi0=")</f>
        <v>#VALUE!</v>
      </c>
      <c r="AU105" t="e">
        <f>AND(resultados!J120,"AAAAAD39mi4=")</f>
        <v>#VALUE!</v>
      </c>
      <c r="AV105" t="e">
        <f>AND(resultados!K120,"AAAAAD39mi8=")</f>
        <v>#VALUE!</v>
      </c>
      <c r="AW105" t="e">
        <f>AND(resultados!L120,"AAAAAD39mjA=")</f>
        <v>#VALUE!</v>
      </c>
      <c r="AX105" t="e">
        <f>AND(resultados!M120,"AAAAAD39mjE=")</f>
        <v>#VALUE!</v>
      </c>
      <c r="AY105" t="e">
        <f>AND(resultados!N120,"AAAAAD39mjI=")</f>
        <v>#VALUE!</v>
      </c>
      <c r="AZ105" t="e">
        <f>AND(resultados!O120,"AAAAAD39mjM=")</f>
        <v>#VALUE!</v>
      </c>
      <c r="BA105" t="e">
        <f>AND(resultados!P120,"AAAAAD39mjQ=")</f>
        <v>#VALUE!</v>
      </c>
      <c r="BB105" t="e">
        <f>AND(resultados!Q120,"AAAAAD39mjU=")</f>
        <v>#VALUE!</v>
      </c>
      <c r="BC105" t="e">
        <f>AND(resultados!R120,"AAAAAD39mjY=")</f>
        <v>#VALUE!</v>
      </c>
      <c r="BD105" t="e">
        <f>AND(resultados!S120,"AAAAAD39mjc=")</f>
        <v>#VALUE!</v>
      </c>
      <c r="BE105" t="e">
        <f>AND(resultados!T120,"AAAAAD39mjg=")</f>
        <v>#VALUE!</v>
      </c>
      <c r="BF105" t="e">
        <f>AND(resultados!U120,"AAAAAD39mjk=")</f>
        <v>#VALUE!</v>
      </c>
      <c r="BG105" t="e">
        <f>AND(resultados!V120,"AAAAAD39mjo=")</f>
        <v>#VALUE!</v>
      </c>
      <c r="BH105" t="e">
        <f>AND(resultados!W120,"AAAAAD39mjs=")</f>
        <v>#VALUE!</v>
      </c>
      <c r="BI105" t="e">
        <f>AND(resultados!X120,"AAAAAD39mjw=")</f>
        <v>#VALUE!</v>
      </c>
      <c r="BJ105" t="e">
        <f>AND(resultados!Y120,"AAAAAD39mj0=")</f>
        <v>#VALUE!</v>
      </c>
      <c r="BK105" t="e">
        <f>AND(resultados!Z120,"AAAAAD39mj4=")</f>
        <v>#VALUE!</v>
      </c>
      <c r="BL105" t="e">
        <f>AND(resultados!AA120,"AAAAAD39mj8=")</f>
        <v>#VALUE!</v>
      </c>
      <c r="BM105" t="e">
        <f>AND(resultados!AB120,"AAAAAD39mkA=")</f>
        <v>#VALUE!</v>
      </c>
      <c r="BN105" t="e">
        <f>AND(resultados!AC120,"AAAAAD39mkE=")</f>
        <v>#VALUE!</v>
      </c>
      <c r="BO105" t="e">
        <f>AND(resultados!AD120,"AAAAAD39mkI=")</f>
        <v>#VALUE!</v>
      </c>
      <c r="BP105" t="e">
        <f>AND(resultados!AE120,"AAAAAD39mkM=")</f>
        <v>#VALUE!</v>
      </c>
      <c r="BQ105" t="e">
        <f>AND(resultados!AF120,"AAAAAD39mkQ=")</f>
        <v>#VALUE!</v>
      </c>
      <c r="BR105" t="e">
        <f>AND(resultados!AG120,"AAAAAD39mkU=")</f>
        <v>#VALUE!</v>
      </c>
      <c r="BS105" t="e">
        <f>AND(resultados!AH120,"AAAAAD39mkY=")</f>
        <v>#VALUE!</v>
      </c>
      <c r="BT105" t="e">
        <f>AND(resultados!AI120,"AAAAAD39mkc=")</f>
        <v>#VALUE!</v>
      </c>
      <c r="BU105">
        <f>IF(resultados!121:121,"AAAAAD39mkg=",0)</f>
        <v>0</v>
      </c>
      <c r="BV105" t="e">
        <f>AND(resultados!#REF!,"AAAAAD39mkk=")</f>
        <v>#REF!</v>
      </c>
      <c r="BW105" t="e">
        <f>AND(resultados!C121,"AAAAAD39mko=")</f>
        <v>#VALUE!</v>
      </c>
      <c r="BX105" t="e">
        <f>AND(resultados!D121,"AAAAAD39mks=")</f>
        <v>#VALUE!</v>
      </c>
      <c r="BY105" t="e">
        <f>AND(resultados!E121,"AAAAAD39mkw=")</f>
        <v>#VALUE!</v>
      </c>
      <c r="BZ105" t="e">
        <f>AND(resultados!#REF!,"AAAAAD39mk0=")</f>
        <v>#REF!</v>
      </c>
      <c r="CA105" t="e">
        <f>AND(resultados!G121,"AAAAAD39mk4=")</f>
        <v>#VALUE!</v>
      </c>
      <c r="CB105" t="e">
        <f>AND(resultados!H121,"AAAAAD39mk8=")</f>
        <v>#VALUE!</v>
      </c>
      <c r="CC105" t="e">
        <f>AND(resultados!I121,"AAAAAD39mlA=")</f>
        <v>#VALUE!</v>
      </c>
      <c r="CD105" t="e">
        <f>AND(resultados!J121,"AAAAAD39mlE=")</f>
        <v>#VALUE!</v>
      </c>
      <c r="CE105" t="e">
        <f>AND(resultados!K121,"AAAAAD39mlI=")</f>
        <v>#VALUE!</v>
      </c>
      <c r="CF105" t="e">
        <f>AND(resultados!L121,"AAAAAD39mlM=")</f>
        <v>#VALUE!</v>
      </c>
      <c r="CG105" t="e">
        <f>AND(resultados!M121,"AAAAAD39mlQ=")</f>
        <v>#VALUE!</v>
      </c>
      <c r="CH105" t="e">
        <f>AND(resultados!N121,"AAAAAD39mlU=")</f>
        <v>#VALUE!</v>
      </c>
      <c r="CI105" t="e">
        <f>AND(resultados!O121,"AAAAAD39mlY=")</f>
        <v>#VALUE!</v>
      </c>
      <c r="CJ105" t="e">
        <f>AND(resultados!P121,"AAAAAD39mlc=")</f>
        <v>#VALUE!</v>
      </c>
      <c r="CK105" t="e">
        <f>AND(resultados!Q121,"AAAAAD39mlg=")</f>
        <v>#VALUE!</v>
      </c>
      <c r="CL105" t="e">
        <f>AND(resultados!R121,"AAAAAD39mlk=")</f>
        <v>#VALUE!</v>
      </c>
      <c r="CM105" t="e">
        <f>AND(resultados!S121,"AAAAAD39mlo=")</f>
        <v>#VALUE!</v>
      </c>
      <c r="CN105" t="e">
        <f>AND(resultados!T121,"AAAAAD39mls=")</f>
        <v>#VALUE!</v>
      </c>
      <c r="CO105" t="e">
        <f>AND(resultados!U121,"AAAAAD39mlw=")</f>
        <v>#VALUE!</v>
      </c>
      <c r="CP105" t="e">
        <f>AND(resultados!V121,"AAAAAD39ml0=")</f>
        <v>#VALUE!</v>
      </c>
      <c r="CQ105" t="e">
        <f>AND(resultados!W121,"AAAAAD39ml4=")</f>
        <v>#VALUE!</v>
      </c>
      <c r="CR105" t="e">
        <f>AND(resultados!X121,"AAAAAD39ml8=")</f>
        <v>#VALUE!</v>
      </c>
      <c r="CS105" t="e">
        <f>AND(resultados!Y121,"AAAAAD39mmA=")</f>
        <v>#VALUE!</v>
      </c>
      <c r="CT105" t="e">
        <f>AND(resultados!Z121,"AAAAAD39mmE=")</f>
        <v>#VALUE!</v>
      </c>
      <c r="CU105" t="e">
        <f>AND(resultados!AA121,"AAAAAD39mmI=")</f>
        <v>#VALUE!</v>
      </c>
      <c r="CV105" t="e">
        <f>AND(resultados!AB121,"AAAAAD39mmM=")</f>
        <v>#VALUE!</v>
      </c>
      <c r="CW105" t="e">
        <f>AND(resultados!AC121,"AAAAAD39mmQ=")</f>
        <v>#VALUE!</v>
      </c>
      <c r="CX105" t="e">
        <f>AND(resultados!AD121,"AAAAAD39mmU=")</f>
        <v>#VALUE!</v>
      </c>
      <c r="CY105" t="e">
        <f>AND(resultados!AE121,"AAAAAD39mmY=")</f>
        <v>#VALUE!</v>
      </c>
      <c r="CZ105" t="e">
        <f>AND(resultados!AF121,"AAAAAD39mmc=")</f>
        <v>#VALUE!</v>
      </c>
      <c r="DA105" t="e">
        <f>AND(resultados!AG121,"AAAAAD39mmg=")</f>
        <v>#VALUE!</v>
      </c>
      <c r="DB105" t="e">
        <f>AND(resultados!AH121,"AAAAAD39mmk=")</f>
        <v>#VALUE!</v>
      </c>
      <c r="DC105" t="e">
        <f>AND(resultados!AI121,"AAAAAD39mmo=")</f>
        <v>#VALUE!</v>
      </c>
      <c r="DD105">
        <f>IF(resultados!122:122,"AAAAAD39mms=",0)</f>
        <v>0</v>
      </c>
      <c r="DE105" t="e">
        <f>AND(resultados!#REF!,"AAAAAD39mmw=")</f>
        <v>#REF!</v>
      </c>
      <c r="DF105" t="e">
        <f>AND(resultados!C122,"AAAAAD39mm0=")</f>
        <v>#VALUE!</v>
      </c>
      <c r="DG105" t="e">
        <f>AND(resultados!D122,"AAAAAD39mm4=")</f>
        <v>#VALUE!</v>
      </c>
      <c r="DH105" t="e">
        <f>AND(resultados!E122,"AAAAAD39mm8=")</f>
        <v>#VALUE!</v>
      </c>
      <c r="DI105" t="e">
        <f>AND(resultados!#REF!,"AAAAAD39mnA=")</f>
        <v>#REF!</v>
      </c>
      <c r="DJ105" t="e">
        <f>AND(resultados!G122,"AAAAAD39mnE=")</f>
        <v>#VALUE!</v>
      </c>
      <c r="DK105" t="e">
        <f>AND(resultados!H122,"AAAAAD39mnI=")</f>
        <v>#VALUE!</v>
      </c>
      <c r="DL105" t="e">
        <f>AND(resultados!I122,"AAAAAD39mnM=")</f>
        <v>#VALUE!</v>
      </c>
      <c r="DM105" t="e">
        <f>AND(resultados!J122,"AAAAAD39mnQ=")</f>
        <v>#VALUE!</v>
      </c>
      <c r="DN105" t="e">
        <f>AND(resultados!K122,"AAAAAD39mnU=")</f>
        <v>#VALUE!</v>
      </c>
      <c r="DO105" t="e">
        <f>AND(resultados!L122,"AAAAAD39mnY=")</f>
        <v>#VALUE!</v>
      </c>
      <c r="DP105" t="e">
        <f>AND(resultados!M122,"AAAAAD39mnc=")</f>
        <v>#VALUE!</v>
      </c>
      <c r="DQ105" t="e">
        <f>AND(resultados!N122,"AAAAAD39mng=")</f>
        <v>#VALUE!</v>
      </c>
      <c r="DR105" t="e">
        <f>AND(resultados!O122,"AAAAAD39mnk=")</f>
        <v>#VALUE!</v>
      </c>
      <c r="DS105" t="e">
        <f>AND(resultados!P122,"AAAAAD39mno=")</f>
        <v>#VALUE!</v>
      </c>
      <c r="DT105" t="e">
        <f>AND(resultados!Q122,"AAAAAD39mns=")</f>
        <v>#VALUE!</v>
      </c>
      <c r="DU105" t="e">
        <f>AND(resultados!R122,"AAAAAD39mnw=")</f>
        <v>#VALUE!</v>
      </c>
      <c r="DV105" t="e">
        <f>AND(resultados!S122,"AAAAAD39mn0=")</f>
        <v>#VALUE!</v>
      </c>
      <c r="DW105" t="e">
        <f>AND(resultados!T122,"AAAAAD39mn4=")</f>
        <v>#VALUE!</v>
      </c>
      <c r="DX105" t="e">
        <f>AND(resultados!U122,"AAAAAD39mn8=")</f>
        <v>#VALUE!</v>
      </c>
      <c r="DY105" t="e">
        <f>AND(resultados!V122,"AAAAAD39moA=")</f>
        <v>#VALUE!</v>
      </c>
      <c r="DZ105" t="e">
        <f>AND(resultados!W122,"AAAAAD39moE=")</f>
        <v>#VALUE!</v>
      </c>
      <c r="EA105" t="e">
        <f>AND(resultados!X122,"AAAAAD39moI=")</f>
        <v>#VALUE!</v>
      </c>
      <c r="EB105" t="e">
        <f>AND(resultados!Y122,"AAAAAD39moM=")</f>
        <v>#VALUE!</v>
      </c>
      <c r="EC105" t="e">
        <f>AND(resultados!Z122,"AAAAAD39moQ=")</f>
        <v>#VALUE!</v>
      </c>
      <c r="ED105" t="e">
        <f>AND(resultados!AA122,"AAAAAD39moU=")</f>
        <v>#VALUE!</v>
      </c>
      <c r="EE105" t="e">
        <f>AND(resultados!AB122,"AAAAAD39moY=")</f>
        <v>#VALUE!</v>
      </c>
      <c r="EF105" t="e">
        <f>AND(resultados!AC122,"AAAAAD39moc=")</f>
        <v>#VALUE!</v>
      </c>
      <c r="EG105" t="e">
        <f>AND(resultados!AD122,"AAAAAD39mog=")</f>
        <v>#VALUE!</v>
      </c>
      <c r="EH105" t="e">
        <f>AND(resultados!AE122,"AAAAAD39mok=")</f>
        <v>#VALUE!</v>
      </c>
      <c r="EI105" t="e">
        <f>AND(resultados!AF122,"AAAAAD39moo=")</f>
        <v>#VALUE!</v>
      </c>
      <c r="EJ105" t="e">
        <f>AND(resultados!AG122,"AAAAAD39mos=")</f>
        <v>#VALUE!</v>
      </c>
      <c r="EK105" t="e">
        <f>AND(resultados!AH122,"AAAAAD39mow=")</f>
        <v>#VALUE!</v>
      </c>
      <c r="EL105" t="e">
        <f>AND(resultados!AI122,"AAAAAD39mo0=")</f>
        <v>#VALUE!</v>
      </c>
      <c r="EM105">
        <f>IF(resultados!123:123,"AAAAAD39mo4=",0)</f>
        <v>0</v>
      </c>
      <c r="EN105" t="e">
        <f>AND(resultados!#REF!,"AAAAAD39mo8=")</f>
        <v>#REF!</v>
      </c>
      <c r="EO105" t="e">
        <f>AND(resultados!C123,"AAAAAD39mpA=")</f>
        <v>#VALUE!</v>
      </c>
      <c r="EP105" t="e">
        <f>AND(resultados!D123,"AAAAAD39mpE=")</f>
        <v>#VALUE!</v>
      </c>
      <c r="EQ105" t="e">
        <f>AND(resultados!E123,"AAAAAD39mpI=")</f>
        <v>#VALUE!</v>
      </c>
      <c r="ER105" t="e">
        <f>AND(resultados!#REF!,"AAAAAD39mpM=")</f>
        <v>#REF!</v>
      </c>
      <c r="ES105" t="e">
        <f>AND(resultados!G123,"AAAAAD39mpQ=")</f>
        <v>#VALUE!</v>
      </c>
      <c r="ET105" t="e">
        <f>AND(resultados!H123,"AAAAAD39mpU=")</f>
        <v>#VALUE!</v>
      </c>
      <c r="EU105" t="e">
        <f>AND(resultados!I123,"AAAAAD39mpY=")</f>
        <v>#VALUE!</v>
      </c>
      <c r="EV105" t="e">
        <f>AND(resultados!J123,"AAAAAD39mpc=")</f>
        <v>#VALUE!</v>
      </c>
      <c r="EW105" t="e">
        <f>AND(resultados!K123,"AAAAAD39mpg=")</f>
        <v>#VALUE!</v>
      </c>
      <c r="EX105" t="e">
        <f>AND(resultados!L123,"AAAAAD39mpk=")</f>
        <v>#VALUE!</v>
      </c>
      <c r="EY105" t="e">
        <f>AND(resultados!M123,"AAAAAD39mpo=")</f>
        <v>#VALUE!</v>
      </c>
      <c r="EZ105" t="e">
        <f>AND(resultados!N123,"AAAAAD39mps=")</f>
        <v>#VALUE!</v>
      </c>
      <c r="FA105" t="e">
        <f>AND(resultados!O123,"AAAAAD39mpw=")</f>
        <v>#VALUE!</v>
      </c>
      <c r="FB105" t="e">
        <f>AND(resultados!P123,"AAAAAD39mp0=")</f>
        <v>#VALUE!</v>
      </c>
      <c r="FC105" t="e">
        <f>AND(resultados!Q123,"AAAAAD39mp4=")</f>
        <v>#VALUE!</v>
      </c>
      <c r="FD105" t="e">
        <f>AND(resultados!R123,"AAAAAD39mp8=")</f>
        <v>#VALUE!</v>
      </c>
      <c r="FE105" t="e">
        <f>AND(resultados!S123,"AAAAAD39mqA=")</f>
        <v>#VALUE!</v>
      </c>
      <c r="FF105" t="e">
        <f>AND(resultados!T123,"AAAAAD39mqE=")</f>
        <v>#VALUE!</v>
      </c>
      <c r="FG105" t="e">
        <f>AND(resultados!U123,"AAAAAD39mqI=")</f>
        <v>#VALUE!</v>
      </c>
      <c r="FH105" t="e">
        <f>AND(resultados!V123,"AAAAAD39mqM=")</f>
        <v>#VALUE!</v>
      </c>
      <c r="FI105" t="e">
        <f>AND(resultados!W123,"AAAAAD39mqQ=")</f>
        <v>#VALUE!</v>
      </c>
      <c r="FJ105" t="e">
        <f>AND(resultados!X123,"AAAAAD39mqU=")</f>
        <v>#VALUE!</v>
      </c>
      <c r="FK105" t="e">
        <f>AND(resultados!Y123,"AAAAAD39mqY=")</f>
        <v>#VALUE!</v>
      </c>
      <c r="FL105" t="e">
        <f>AND(resultados!Z123,"AAAAAD39mqc=")</f>
        <v>#VALUE!</v>
      </c>
      <c r="FM105" t="e">
        <f>AND(resultados!AA123,"AAAAAD39mqg=")</f>
        <v>#VALUE!</v>
      </c>
      <c r="FN105" t="e">
        <f>AND(resultados!AB123,"AAAAAD39mqk=")</f>
        <v>#VALUE!</v>
      </c>
      <c r="FO105" t="e">
        <f>AND(resultados!AC123,"AAAAAD39mqo=")</f>
        <v>#VALUE!</v>
      </c>
      <c r="FP105" t="e">
        <f>AND(resultados!AD123,"AAAAAD39mqs=")</f>
        <v>#VALUE!</v>
      </c>
      <c r="FQ105" t="e">
        <f>AND(resultados!AE123,"AAAAAD39mqw=")</f>
        <v>#VALUE!</v>
      </c>
      <c r="FR105" t="e">
        <f>AND(resultados!AF123,"AAAAAD39mq0=")</f>
        <v>#VALUE!</v>
      </c>
      <c r="FS105" t="e">
        <f>AND(resultados!AG123,"AAAAAD39mq4=")</f>
        <v>#VALUE!</v>
      </c>
      <c r="FT105" t="e">
        <f>AND(resultados!AH123,"AAAAAD39mq8=")</f>
        <v>#VALUE!</v>
      </c>
      <c r="FU105" t="e">
        <f>AND(resultados!AI123,"AAAAAD39mrA=")</f>
        <v>#VALUE!</v>
      </c>
      <c r="FV105">
        <f>IF(resultados!124:124,"AAAAAD39mrE=",0)</f>
        <v>0</v>
      </c>
      <c r="FW105" t="e">
        <f>AND(resultados!#REF!,"AAAAAD39mrI=")</f>
        <v>#REF!</v>
      </c>
      <c r="FX105" t="e">
        <f>AND(resultados!C124,"AAAAAD39mrM=")</f>
        <v>#VALUE!</v>
      </c>
      <c r="FY105" t="e">
        <f>AND(resultados!D124,"AAAAAD39mrQ=")</f>
        <v>#VALUE!</v>
      </c>
      <c r="FZ105" t="e">
        <f>AND(resultados!E124,"AAAAAD39mrU=")</f>
        <v>#VALUE!</v>
      </c>
      <c r="GA105" t="e">
        <f>AND(resultados!#REF!,"AAAAAD39mrY=")</f>
        <v>#REF!</v>
      </c>
      <c r="GB105" t="e">
        <f>AND(resultados!G124,"AAAAAD39mrc=")</f>
        <v>#VALUE!</v>
      </c>
      <c r="GC105" t="e">
        <f>AND(resultados!H124,"AAAAAD39mrg=")</f>
        <v>#VALUE!</v>
      </c>
      <c r="GD105" t="e">
        <f>AND(resultados!I124,"AAAAAD39mrk=")</f>
        <v>#VALUE!</v>
      </c>
      <c r="GE105" t="e">
        <f>AND(resultados!J124,"AAAAAD39mro=")</f>
        <v>#VALUE!</v>
      </c>
      <c r="GF105" t="e">
        <f>AND(resultados!K124,"AAAAAD39mrs=")</f>
        <v>#VALUE!</v>
      </c>
      <c r="GG105" t="e">
        <f>AND(resultados!L124,"AAAAAD39mrw=")</f>
        <v>#VALUE!</v>
      </c>
      <c r="GH105" t="e">
        <f>AND(resultados!M124,"AAAAAD39mr0=")</f>
        <v>#VALUE!</v>
      </c>
      <c r="GI105" t="e">
        <f>AND(resultados!N124,"AAAAAD39mr4=")</f>
        <v>#VALUE!</v>
      </c>
      <c r="GJ105" t="e">
        <f>AND(resultados!O124,"AAAAAD39mr8=")</f>
        <v>#VALUE!</v>
      </c>
      <c r="GK105" t="e">
        <f>AND(resultados!P124,"AAAAAD39msA=")</f>
        <v>#VALUE!</v>
      </c>
      <c r="GL105" t="e">
        <f>AND(resultados!Q124,"AAAAAD39msE=")</f>
        <v>#VALUE!</v>
      </c>
      <c r="GM105" t="e">
        <f>AND(resultados!R124,"AAAAAD39msI=")</f>
        <v>#VALUE!</v>
      </c>
      <c r="GN105" t="e">
        <f>AND(resultados!S124,"AAAAAD39msM=")</f>
        <v>#VALUE!</v>
      </c>
      <c r="GO105" t="e">
        <f>AND(resultados!T124,"AAAAAD39msQ=")</f>
        <v>#VALUE!</v>
      </c>
      <c r="GP105" t="e">
        <f>AND(resultados!U124,"AAAAAD39msU=")</f>
        <v>#VALUE!</v>
      </c>
      <c r="GQ105" t="e">
        <f>AND(resultados!V124,"AAAAAD39msY=")</f>
        <v>#VALUE!</v>
      </c>
      <c r="GR105" t="e">
        <f>AND(resultados!W124,"AAAAAD39msc=")</f>
        <v>#VALUE!</v>
      </c>
      <c r="GS105" t="e">
        <f>AND(resultados!X124,"AAAAAD39msg=")</f>
        <v>#VALUE!</v>
      </c>
      <c r="GT105" t="e">
        <f>AND(resultados!Y124,"AAAAAD39msk=")</f>
        <v>#VALUE!</v>
      </c>
      <c r="GU105" t="e">
        <f>AND(resultados!Z124,"AAAAAD39mso=")</f>
        <v>#VALUE!</v>
      </c>
      <c r="GV105" t="e">
        <f>AND(resultados!AA124,"AAAAAD39mss=")</f>
        <v>#VALUE!</v>
      </c>
      <c r="GW105" t="e">
        <f>AND(resultados!AB124,"AAAAAD39msw=")</f>
        <v>#VALUE!</v>
      </c>
      <c r="GX105" t="e">
        <f>AND(resultados!AC124,"AAAAAD39ms0=")</f>
        <v>#VALUE!</v>
      </c>
      <c r="GY105" t="e">
        <f>AND(resultados!AD124,"AAAAAD39ms4=")</f>
        <v>#VALUE!</v>
      </c>
      <c r="GZ105" t="e">
        <f>AND(resultados!AE124,"AAAAAD39ms8=")</f>
        <v>#VALUE!</v>
      </c>
      <c r="HA105" t="e">
        <f>AND(resultados!AF124,"AAAAAD39mtA=")</f>
        <v>#VALUE!</v>
      </c>
      <c r="HB105" t="e">
        <f>AND(resultados!AG124,"AAAAAD39mtE=")</f>
        <v>#VALUE!</v>
      </c>
      <c r="HC105" t="e">
        <f>AND(resultados!AH124,"AAAAAD39mtI=")</f>
        <v>#VALUE!</v>
      </c>
      <c r="HD105" t="e">
        <f>AND(resultados!AI124,"AAAAAD39mtM=")</f>
        <v>#VALUE!</v>
      </c>
      <c r="HE105">
        <f>IF(resultados!125:125,"AAAAAD39mtQ=",0)</f>
        <v>0</v>
      </c>
      <c r="HF105" t="e">
        <f>AND(resultados!#REF!,"AAAAAD39mtU=")</f>
        <v>#REF!</v>
      </c>
      <c r="HG105" t="e">
        <f>AND(resultados!C125,"AAAAAD39mtY=")</f>
        <v>#VALUE!</v>
      </c>
      <c r="HH105" t="e">
        <f>AND(resultados!D125,"AAAAAD39mtc=")</f>
        <v>#VALUE!</v>
      </c>
      <c r="HI105" t="e">
        <f>AND(resultados!E125,"AAAAAD39mtg=")</f>
        <v>#VALUE!</v>
      </c>
      <c r="HJ105" t="e">
        <f>AND(resultados!#REF!,"AAAAAD39mtk=")</f>
        <v>#REF!</v>
      </c>
      <c r="HK105" t="e">
        <f>AND(resultados!G125,"AAAAAD39mto=")</f>
        <v>#VALUE!</v>
      </c>
      <c r="HL105" t="e">
        <f>AND(resultados!H125,"AAAAAD39mts=")</f>
        <v>#VALUE!</v>
      </c>
      <c r="HM105" t="e">
        <f>AND(resultados!I125,"AAAAAD39mtw=")</f>
        <v>#VALUE!</v>
      </c>
      <c r="HN105" t="e">
        <f>AND(resultados!J125,"AAAAAD39mt0=")</f>
        <v>#VALUE!</v>
      </c>
      <c r="HO105" t="e">
        <f>AND(resultados!K125,"AAAAAD39mt4=")</f>
        <v>#VALUE!</v>
      </c>
      <c r="HP105" t="e">
        <f>AND(resultados!L125,"AAAAAD39mt8=")</f>
        <v>#VALUE!</v>
      </c>
      <c r="HQ105" t="e">
        <f>AND(resultados!M125,"AAAAAD39muA=")</f>
        <v>#VALUE!</v>
      </c>
      <c r="HR105" t="e">
        <f>AND(resultados!N125,"AAAAAD39muE=")</f>
        <v>#VALUE!</v>
      </c>
      <c r="HS105" t="e">
        <f>AND(resultados!O125,"AAAAAD39muI=")</f>
        <v>#VALUE!</v>
      </c>
      <c r="HT105" t="e">
        <f>AND(resultados!P125,"AAAAAD39muM=")</f>
        <v>#VALUE!</v>
      </c>
      <c r="HU105" t="e">
        <f>AND(resultados!Q125,"AAAAAD39muQ=")</f>
        <v>#VALUE!</v>
      </c>
      <c r="HV105" t="e">
        <f>AND(resultados!R125,"AAAAAD39muU=")</f>
        <v>#VALUE!</v>
      </c>
      <c r="HW105" t="e">
        <f>AND(resultados!S125,"AAAAAD39muY=")</f>
        <v>#VALUE!</v>
      </c>
      <c r="HX105" t="e">
        <f>AND(resultados!T125,"AAAAAD39muc=")</f>
        <v>#VALUE!</v>
      </c>
      <c r="HY105" t="e">
        <f>AND(resultados!U125,"AAAAAD39mug=")</f>
        <v>#VALUE!</v>
      </c>
      <c r="HZ105" t="e">
        <f>AND(resultados!V125,"AAAAAD39muk=")</f>
        <v>#VALUE!</v>
      </c>
      <c r="IA105" t="e">
        <f>AND(resultados!W125,"AAAAAD39muo=")</f>
        <v>#VALUE!</v>
      </c>
      <c r="IB105" t="e">
        <f>AND(resultados!X125,"AAAAAD39mus=")</f>
        <v>#VALUE!</v>
      </c>
      <c r="IC105" t="e">
        <f>AND(resultados!Y125,"AAAAAD39muw=")</f>
        <v>#VALUE!</v>
      </c>
      <c r="ID105" t="e">
        <f>AND(resultados!Z125,"AAAAAD39mu0=")</f>
        <v>#VALUE!</v>
      </c>
      <c r="IE105" t="e">
        <f>AND(resultados!AA125,"AAAAAD39mu4=")</f>
        <v>#VALUE!</v>
      </c>
      <c r="IF105" t="e">
        <f>AND(resultados!AB125,"AAAAAD39mu8=")</f>
        <v>#VALUE!</v>
      </c>
      <c r="IG105" t="e">
        <f>AND(resultados!AC125,"AAAAAD39mvA=")</f>
        <v>#VALUE!</v>
      </c>
      <c r="IH105" t="e">
        <f>AND(resultados!AD125,"AAAAAD39mvE=")</f>
        <v>#VALUE!</v>
      </c>
      <c r="II105" t="e">
        <f>AND(resultados!AE125,"AAAAAD39mvI=")</f>
        <v>#VALUE!</v>
      </c>
      <c r="IJ105" t="e">
        <f>AND(resultados!AF125,"AAAAAD39mvM=")</f>
        <v>#VALUE!</v>
      </c>
      <c r="IK105" t="e">
        <f>AND(resultados!AG125,"AAAAAD39mvQ=")</f>
        <v>#VALUE!</v>
      </c>
      <c r="IL105" t="e">
        <f>AND(resultados!AH125,"AAAAAD39mvU=")</f>
        <v>#VALUE!</v>
      </c>
      <c r="IM105" t="e">
        <f>AND(resultados!AI125,"AAAAAD39mvY=")</f>
        <v>#VALUE!</v>
      </c>
      <c r="IN105">
        <f>IF(resultados!126:126,"AAAAAD39mvc=",0)</f>
        <v>0</v>
      </c>
      <c r="IO105">
        <f>IF(resultados!127:127,"AAAAAD39mvg=",0)</f>
        <v>0</v>
      </c>
      <c r="IP105">
        <f>IF(resultados!128:128,"AAAAAD39mvk=",0)</f>
        <v>0</v>
      </c>
      <c r="IQ105">
        <f>IF(resultados!129:129,"AAAAAD39mvo=",0)</f>
        <v>0</v>
      </c>
      <c r="IR105">
        <f>IF(resultados!130:130,"AAAAAD39mvs=",0)</f>
        <v>0</v>
      </c>
      <c r="IS105">
        <f>IF(resultados!131:131,"AAAAAD39mvw=",0)</f>
        <v>0</v>
      </c>
      <c r="IT105">
        <f>IF(resultados!132:132,"AAAAAD39mv0=",0)</f>
        <v>0</v>
      </c>
      <c r="IU105">
        <f>IF(resultados!133:133,"AAAAAD39mv4=",0)</f>
        <v>0</v>
      </c>
      <c r="IV105">
        <f>IF(resultados!134:134,"AAAAAD39mv8=",0)</f>
        <v>0</v>
      </c>
    </row>
    <row r="106" spans="1:256" x14ac:dyDescent="0.2">
      <c r="A106">
        <f>IF(resultados!135:135,"AAAAAC92LQA=",0)</f>
        <v>0</v>
      </c>
      <c r="B106">
        <f>IF(resultados!136:136,"AAAAAC92LQE=",0)</f>
        <v>0</v>
      </c>
      <c r="C106">
        <f>IF(resultados!137:137,"AAAAAC92LQI=",0)</f>
        <v>0</v>
      </c>
      <c r="D106">
        <f>IF(resultados!138:138,"AAAAAC92LQM=",0)</f>
        <v>0</v>
      </c>
      <c r="E106">
        <f>IF(resultados!139:139,"AAAAAC92LQQ=",0)</f>
        <v>0</v>
      </c>
      <c r="F106">
        <f>IF(resultados!140:140,"AAAAAC92LQU=",0)</f>
        <v>0</v>
      </c>
      <c r="G106">
        <f>IF(resultados!141:141,"AAAAAC92LQY=",0)</f>
        <v>0</v>
      </c>
      <c r="H106">
        <f>IF(resultados!142:142,"AAAAAC92LQc=",0)</f>
        <v>0</v>
      </c>
      <c r="I106">
        <f>IF(resultados!143:143,"AAAAAC92LQg=",0)</f>
        <v>0</v>
      </c>
      <c r="J106">
        <f>IF(resultados!144:144,"AAAAAC92LQk=",0)</f>
        <v>0</v>
      </c>
      <c r="K106">
        <f>IF(resultados!145:145,"AAAAAC92LQo=",0)</f>
        <v>0</v>
      </c>
      <c r="L106">
        <f>IF(resultados!146:146,"AAAAAC92LQs=",0)</f>
        <v>0</v>
      </c>
      <c r="M106">
        <f>IF(resultados!147:147,"AAAAAC92LQw=",0)</f>
        <v>0</v>
      </c>
      <c r="N106">
        <f>IF(resultados!148:148,"AAAAAC92LQ0=",0)</f>
        <v>0</v>
      </c>
      <c r="O106">
        <f>IF(resultados!149:149,"AAAAAC92LQ4=",0)</f>
        <v>0</v>
      </c>
      <c r="P106">
        <f>IF(resultados!150:150,"AAAAAC92LQ8=",0)</f>
        <v>0</v>
      </c>
      <c r="Q106">
        <f>IF(resultados!151:151,"AAAAAC92LRA=",0)</f>
        <v>0</v>
      </c>
      <c r="R106">
        <f>IF(resultados!152:152,"AAAAAC92LRE=",0)</f>
        <v>0</v>
      </c>
      <c r="S106">
        <f>IF(resultados!153:153,"AAAAAC92LRI=",0)</f>
        <v>0</v>
      </c>
      <c r="T106">
        <f>IF(resultados!154:154,"AAAAAC92LRM=",0)</f>
        <v>0</v>
      </c>
      <c r="U106">
        <f>IF(resultados!155:155,"AAAAAC92LRQ=",0)</f>
        <v>0</v>
      </c>
      <c r="V106">
        <f>IF(resultados!156:156,"AAAAAC92LRU=",0)</f>
        <v>0</v>
      </c>
      <c r="W106">
        <f>IF(resultados!157:157,"AAAAAC92LRY=",0)</f>
        <v>0</v>
      </c>
      <c r="X106">
        <f>IF(resultados!158:158,"AAAAAC92LRc=",0)</f>
        <v>0</v>
      </c>
      <c r="Y106">
        <f>IF(resultados!159:159,"AAAAAC92LRg=",0)</f>
        <v>0</v>
      </c>
      <c r="Z106">
        <f>IF(resultados!160:160,"AAAAAC92LRk=",0)</f>
        <v>0</v>
      </c>
      <c r="AA106">
        <f>IF(resultados!161:161,"AAAAAC92LRo=",0)</f>
        <v>0</v>
      </c>
      <c r="AB106">
        <f>IF(resultados!162:162,"AAAAAC92LRs=",0)</f>
        <v>0</v>
      </c>
      <c r="AC106">
        <f>IF(resultados!163:163,"AAAAAC92LRw=",0)</f>
        <v>0</v>
      </c>
      <c r="AD106">
        <f>IF(resultados!164:164,"AAAAAC92LR0=",0)</f>
        <v>0</v>
      </c>
      <c r="AE106">
        <f>IF(resultados!165:165,"AAAAAC92LR4=",0)</f>
        <v>0</v>
      </c>
      <c r="AF106">
        <f>IF(resultados!166:166,"AAAAAC92LR8=",0)</f>
        <v>0</v>
      </c>
      <c r="AG106">
        <f>IF(resultados!167:167,"AAAAAC92LSA=",0)</f>
        <v>0</v>
      </c>
      <c r="AH106">
        <f>IF(resultados!168:168,"AAAAAC92LSE=",0)</f>
        <v>0</v>
      </c>
      <c r="AI106">
        <f>IF(resultados!169:169,"AAAAAC92LSI=",0)</f>
        <v>0</v>
      </c>
      <c r="AJ106">
        <f>IF(resultados!170:170,"AAAAAC92LSM=",0)</f>
        <v>0</v>
      </c>
      <c r="AK106">
        <f>IF(resultados!171:171,"AAAAAC92LSQ=",0)</f>
        <v>0</v>
      </c>
      <c r="AL106">
        <f>IF(resultados!172:172,"AAAAAC92LSU=",0)</f>
        <v>0</v>
      </c>
      <c r="AM106">
        <f>IF(resultados!173:173,"AAAAAC92LSY=",0)</f>
        <v>0</v>
      </c>
      <c r="AN106">
        <f>IF(resultados!174:174,"AAAAAC92LSc=",0)</f>
        <v>0</v>
      </c>
      <c r="AO106">
        <f>IF(resultados!175:175,"AAAAAC92LSg=",0)</f>
        <v>0</v>
      </c>
      <c r="AP106">
        <f>IF(resultados!176:176,"AAAAAC92LSk=",0)</f>
        <v>0</v>
      </c>
      <c r="AQ106">
        <f>IF(resultados!177:177,"AAAAAC92LSo=",0)</f>
        <v>0</v>
      </c>
      <c r="AR106">
        <f>IF(resultados!178:178,"AAAAAC92LSs=",0)</f>
        <v>0</v>
      </c>
      <c r="AS106">
        <f>IF(resultados!179:179,"AAAAAC92LSw=",0)</f>
        <v>0</v>
      </c>
      <c r="AT106">
        <f>IF(resultados!180:180,"AAAAAC92LS0=",0)</f>
        <v>0</v>
      </c>
      <c r="AU106">
        <f>IF(resultados!181:181,"AAAAAC92LS4=",0)</f>
        <v>0</v>
      </c>
      <c r="AV106">
        <f>IF(resultados!182:182,"AAAAAC92LS8=",0)</f>
        <v>0</v>
      </c>
      <c r="AW106">
        <f>IF(resultados!183:183,"AAAAAC92LTA=",0)</f>
        <v>0</v>
      </c>
      <c r="AX106">
        <f>IF(resultados!184:184,"AAAAAC92LTE=",0)</f>
        <v>0</v>
      </c>
      <c r="AY106">
        <f>IF(resultados!185:185,"AAAAAC92LTI=",0)</f>
        <v>0</v>
      </c>
      <c r="AZ106">
        <f>IF(resultados!186:186,"AAAAAC92LTM=",0)</f>
        <v>0</v>
      </c>
      <c r="BA106">
        <f>IF(resultados!187:187,"AAAAAC92LTQ=",0)</f>
        <v>0</v>
      </c>
      <c r="BB106">
        <f>IF(resultados!188:188,"AAAAAC92LTU=",0)</f>
        <v>0</v>
      </c>
      <c r="BC106">
        <f>IF(resultados!189:189,"AAAAAC92LTY=",0)</f>
        <v>0</v>
      </c>
      <c r="BD106">
        <f>IF(resultados!190:190,"AAAAAC92LTc=",0)</f>
        <v>0</v>
      </c>
      <c r="BE106">
        <f>IF(resultados!191:191,"AAAAAC92LTg=",0)</f>
        <v>0</v>
      </c>
      <c r="BF106">
        <f>IF(resultados!192:192,"AAAAAC92LTk=",0)</f>
        <v>0</v>
      </c>
      <c r="BG106">
        <f>IF(resultados!193:193,"AAAAAC92LTo=",0)</f>
        <v>0</v>
      </c>
      <c r="BH106">
        <f>IF(resultados!194:194,"AAAAAC92LTs=",0)</f>
        <v>0</v>
      </c>
      <c r="BI106">
        <f>IF(resultados!195:195,"AAAAAC92LTw=",0)</f>
        <v>0</v>
      </c>
      <c r="BJ106">
        <f>IF(resultados!196:196,"AAAAAC92LT0=",0)</f>
        <v>0</v>
      </c>
      <c r="BK106">
        <f>IF(resultados!197:197,"AAAAAC92LT4=",0)</f>
        <v>0</v>
      </c>
      <c r="BL106">
        <f>IF(resultados!198:198,"AAAAAC92LT8=",0)</f>
        <v>0</v>
      </c>
      <c r="BM106">
        <f>IF(resultados!199:199,"AAAAAC92LUA=",0)</f>
        <v>0</v>
      </c>
      <c r="BN106">
        <f>IF(resultados!200:200,"AAAAAC92LUE=",0)</f>
        <v>0</v>
      </c>
      <c r="BO106">
        <f>IF(resultados!201:201,"AAAAAC92LUI=",0)</f>
        <v>0</v>
      </c>
      <c r="BP106">
        <f>IF(resultados!202:202,"AAAAAC92LUM=",0)</f>
        <v>0</v>
      </c>
      <c r="BQ106">
        <f>IF(resultados!203:203,"AAAAAC92LUQ=",0)</f>
        <v>0</v>
      </c>
      <c r="BR106">
        <f>IF(resultados!204:204,"AAAAAC92LUU=",0)</f>
        <v>0</v>
      </c>
      <c r="BS106">
        <f>IF(resultados!205:205,"AAAAAC92LUY=",0)</f>
        <v>0</v>
      </c>
      <c r="BT106">
        <f>IF(resultados!206:206,"AAAAAC92LUc=",0)</f>
        <v>0</v>
      </c>
      <c r="BU106">
        <f>IF(resultados!207:207,"AAAAAC92LUg=",0)</f>
        <v>0</v>
      </c>
      <c r="BV106">
        <f>IF(resultados!208:208,"AAAAAC92LUk=",0)</f>
        <v>0</v>
      </c>
      <c r="BW106">
        <f>IF(resultados!209:209,"AAAAAC92LUo=",0)</f>
        <v>0</v>
      </c>
      <c r="BX106">
        <f>IF(resultados!210:210,"AAAAAC92LUs=",0)</f>
        <v>0</v>
      </c>
      <c r="BY106">
        <f>IF(resultados!211:211,"AAAAAC92LUw=",0)</f>
        <v>0</v>
      </c>
      <c r="BZ106">
        <f>IF(resultados!212:212,"AAAAAC92LU0=",0)</f>
        <v>0</v>
      </c>
      <c r="CA106">
        <f>IF(resultados!213:213,"AAAAAC92LU4=",0)</f>
        <v>0</v>
      </c>
      <c r="CB106">
        <f>IF(resultados!214:214,"AAAAAC92LU8=",0)</f>
        <v>0</v>
      </c>
      <c r="CC106">
        <f>IF(resultados!215:215,"AAAAAC92LVA=",0)</f>
        <v>0</v>
      </c>
      <c r="CD106">
        <f>IF(resultados!216:216,"AAAAAC92LVE=",0)</f>
        <v>0</v>
      </c>
      <c r="CE106">
        <f>IF(resultados!217:217,"AAAAAC92LVI=",0)</f>
        <v>0</v>
      </c>
      <c r="CF106">
        <f>IF(resultados!218:218,"AAAAAC92LVM=",0)</f>
        <v>0</v>
      </c>
      <c r="CG106">
        <f>IF(resultados!219:219,"AAAAAC92LVQ=",0)</f>
        <v>0</v>
      </c>
      <c r="CH106">
        <f>IF(resultados!220:220,"AAAAAC92LVU=",0)</f>
        <v>0</v>
      </c>
      <c r="CI106">
        <f>IF(resultados!221:221,"AAAAAC92LVY=",0)</f>
        <v>0</v>
      </c>
      <c r="CJ106">
        <f>IF(resultados!222:222,"AAAAAC92LVc=",0)</f>
        <v>0</v>
      </c>
      <c r="CK106">
        <f>IF(resultados!223:223,"AAAAAC92LVg=",0)</f>
        <v>0</v>
      </c>
      <c r="CL106">
        <f>IF(resultados!224:224,"AAAAAC92LVk=",0)</f>
        <v>0</v>
      </c>
      <c r="CM106">
        <f>IF(resultados!225:225,"AAAAAC92LVo=",0)</f>
        <v>0</v>
      </c>
      <c r="CN106">
        <f>IF(resultados!226:226,"AAAAAC92LVs=",0)</f>
        <v>0</v>
      </c>
      <c r="CO106">
        <f>IF(resultados!227:227,"AAAAAC92LVw=",0)</f>
        <v>0</v>
      </c>
      <c r="CP106">
        <f>IF(resultados!228:228,"AAAAAC92LV0=",0)</f>
        <v>0</v>
      </c>
      <c r="CQ106">
        <f>IF(resultados!229:229,"AAAAAC92LV4=",0)</f>
        <v>0</v>
      </c>
      <c r="CR106">
        <f>IF(resultados!230:230,"AAAAAC92LV8=",0)</f>
        <v>0</v>
      </c>
      <c r="CS106">
        <f>IF(resultados!231:231,"AAAAAC92LWA=",0)</f>
        <v>0</v>
      </c>
      <c r="CT106">
        <f>IF(resultados!232:232,"AAAAAC92LWE=",0)</f>
        <v>0</v>
      </c>
      <c r="CU106">
        <f>IF(resultados!233:233,"AAAAAC92LWI=",0)</f>
        <v>0</v>
      </c>
      <c r="CV106">
        <f>IF(resultados!234:234,"AAAAAC92LWM=",0)</f>
        <v>0</v>
      </c>
      <c r="CW106">
        <f>IF(resultados!235:235,"AAAAAC92LWQ=",0)</f>
        <v>0</v>
      </c>
      <c r="CX106">
        <f>IF(resultados!236:236,"AAAAAC92LWU=",0)</f>
        <v>0</v>
      </c>
      <c r="CY106">
        <f>IF(resultados!237:237,"AAAAAC92LWY=",0)</f>
        <v>0</v>
      </c>
      <c r="CZ106">
        <f>IF(resultados!238:238,"AAAAAC92LWc=",0)</f>
        <v>0</v>
      </c>
      <c r="DA106">
        <f>IF(resultados!239:239,"AAAAAC92LWg=",0)</f>
        <v>0</v>
      </c>
      <c r="DB106">
        <f>IF(resultados!240:240,"AAAAAC92LWk=",0)</f>
        <v>0</v>
      </c>
      <c r="DC106">
        <f>IF(resultados!241:241,"AAAAAC92LWo=",0)</f>
        <v>0</v>
      </c>
      <c r="DD106">
        <f>IF(resultados!242:242,"AAAAAC92LWs=",0)</f>
        <v>0</v>
      </c>
      <c r="DE106">
        <f>IF(resultados!243:243,"AAAAAC92LWw=",0)</f>
        <v>0</v>
      </c>
      <c r="DF106">
        <f>IF(resultados!244:244,"AAAAAC92LW0=",0)</f>
        <v>0</v>
      </c>
      <c r="DG106">
        <f>IF(resultados!245:245,"AAAAAC92LW4=",0)</f>
        <v>0</v>
      </c>
      <c r="DH106">
        <f>IF(resultados!246:246,"AAAAAC92LW8=",0)</f>
        <v>0</v>
      </c>
      <c r="DI106">
        <f>IF(resultados!247:247,"AAAAAC92LXA=",0)</f>
        <v>0</v>
      </c>
      <c r="DJ106">
        <f>IF(resultados!248:248,"AAAAAC92LXE=",0)</f>
        <v>0</v>
      </c>
      <c r="DK106">
        <f>IF(resultados!249:249,"AAAAAC92LXI=",0)</f>
        <v>0</v>
      </c>
      <c r="DL106">
        <f>IF(resultados!250:250,"AAAAAC92LXM=",0)</f>
        <v>0</v>
      </c>
      <c r="DM106">
        <f>IF(resultados!251:251,"AAAAAC92LXQ=",0)</f>
        <v>0</v>
      </c>
      <c r="DN106">
        <f>IF(resultados!252:252,"AAAAAC92LXU=",0)</f>
        <v>0</v>
      </c>
      <c r="DO106">
        <f>IF(resultados!253:253,"AAAAAC92LXY=",0)</f>
        <v>0</v>
      </c>
      <c r="DP106">
        <f>IF(resultados!254:254,"AAAAAC92LXc=",0)</f>
        <v>0</v>
      </c>
      <c r="DQ106">
        <f>IF(resultados!255:255,"AAAAAC92LXg=",0)</f>
        <v>0</v>
      </c>
      <c r="DR106">
        <f>IF(resultados!256:256,"AAAAAC92LXk=",0)</f>
        <v>0</v>
      </c>
      <c r="DS106">
        <f>IF(resultados!257:257,"AAAAAC92LXo=",0)</f>
        <v>0</v>
      </c>
      <c r="DT106">
        <f>IF(resultados!258:258,"AAAAAC92LXs=",0)</f>
        <v>0</v>
      </c>
      <c r="DU106">
        <f>IF(resultados!259:259,"AAAAAC92LXw=",0)</f>
        <v>0</v>
      </c>
      <c r="DV106">
        <f>IF(resultados!260:260,"AAAAAC92LX0=",0)</f>
        <v>0</v>
      </c>
      <c r="DW106">
        <f>IF(resultados!261:261,"AAAAAC92LX4=",0)</f>
        <v>0</v>
      </c>
      <c r="DX106">
        <f>IF(resultados!262:262,"AAAAAC92LX8=",0)</f>
        <v>0</v>
      </c>
      <c r="DY106">
        <f>IF(resultados!263:263,"AAAAAC92LYA=",0)</f>
        <v>0</v>
      </c>
      <c r="DZ106">
        <f>IF(resultados!264:264,"AAAAAC92LYE=",0)</f>
        <v>0</v>
      </c>
      <c r="EA106">
        <f>IF(resultados!265:265,"AAAAAC92LYI=",0)</f>
        <v>0</v>
      </c>
      <c r="EB106">
        <f>IF(resultados!266:266,"AAAAAC92LYM=",0)</f>
        <v>0</v>
      </c>
      <c r="EC106">
        <f>IF(resultados!267:267,"AAAAAC92LYQ=",0)</f>
        <v>0</v>
      </c>
      <c r="ED106">
        <f>IF(resultados!268:268,"AAAAAC92LYU=",0)</f>
        <v>0</v>
      </c>
      <c r="EE106">
        <f>IF(resultados!269:269,"AAAAAC92LYY=",0)</f>
        <v>0</v>
      </c>
      <c r="EF106">
        <f>IF(resultados!270:270,"AAAAAC92LYc=",0)</f>
        <v>0</v>
      </c>
      <c r="EG106">
        <f>IF(resultados!271:271,"AAAAAC92LYg=",0)</f>
        <v>0</v>
      </c>
      <c r="EH106">
        <f>IF(resultados!272:272,"AAAAAC92LYk=",0)</f>
        <v>0</v>
      </c>
      <c r="EI106">
        <f>IF(resultados!273:273,"AAAAAC92LYo=",0)</f>
        <v>0</v>
      </c>
      <c r="EJ106">
        <f>IF(resultados!274:274,"AAAAAC92LYs=",0)</f>
        <v>0</v>
      </c>
      <c r="EK106">
        <f>IF(resultados!275:275,"AAAAAC92LYw=",0)</f>
        <v>0</v>
      </c>
      <c r="EL106">
        <f>IF(resultados!276:276,"AAAAAC92LY0=",0)</f>
        <v>0</v>
      </c>
      <c r="EM106">
        <f>IF(resultados!277:277,"AAAAAC92LY4=",0)</f>
        <v>0</v>
      </c>
      <c r="EN106">
        <f>IF(resultados!278:278,"AAAAAC92LY8=",0)</f>
        <v>0</v>
      </c>
      <c r="EO106">
        <f>IF(resultados!279:279,"AAAAAC92LZA=",0)</f>
        <v>0</v>
      </c>
      <c r="EP106">
        <f>IF(resultados!280:280,"AAAAAC92LZE=",0)</f>
        <v>0</v>
      </c>
      <c r="EQ106">
        <f>IF(resultados!281:281,"AAAAAC92LZI=",0)</f>
        <v>0</v>
      </c>
      <c r="ER106">
        <f>IF(resultados!282:282,"AAAAAC92LZM=",0)</f>
        <v>0</v>
      </c>
      <c r="ES106">
        <f>IF(resultados!283:283,"AAAAAC92LZQ=",0)</f>
        <v>0</v>
      </c>
      <c r="ET106">
        <f>IF(resultados!284:284,"AAAAAC92LZU=",0)</f>
        <v>0</v>
      </c>
      <c r="EU106">
        <f>IF(resultados!285:285,"AAAAAC92LZY=",0)</f>
        <v>0</v>
      </c>
      <c r="EV106">
        <f>IF(resultados!286:286,"AAAAAC92LZc=",0)</f>
        <v>0</v>
      </c>
      <c r="EW106">
        <f>IF(resultados!287:287,"AAAAAC92LZg=",0)</f>
        <v>0</v>
      </c>
      <c r="EX106">
        <f>IF(resultados!288:288,"AAAAAC92LZk=",0)</f>
        <v>0</v>
      </c>
      <c r="EY106">
        <f>IF(resultados!289:289,"AAAAAC92LZo=",0)</f>
        <v>0</v>
      </c>
      <c r="EZ106">
        <f>IF(resultados!290:290,"AAAAAC92LZs=",0)</f>
        <v>0</v>
      </c>
      <c r="FA106">
        <f>IF(resultados!291:291,"AAAAAC92LZw=",0)</f>
        <v>0</v>
      </c>
      <c r="FB106">
        <f>IF(resultados!292:292,"AAAAAC92LZ0=",0)</f>
        <v>0</v>
      </c>
      <c r="FC106">
        <f>IF(resultados!293:293,"AAAAAC92LZ4=",0)</f>
        <v>0</v>
      </c>
      <c r="FD106">
        <f>IF(resultados!294:294,"AAAAAC92LZ8=",0)</f>
        <v>0</v>
      </c>
      <c r="FE106">
        <f>IF(resultados!295:295,"AAAAAC92LaA=",0)</f>
        <v>0</v>
      </c>
      <c r="FF106">
        <f>IF(resultados!296:296,"AAAAAC92LaE=",0)</f>
        <v>0</v>
      </c>
      <c r="FG106">
        <f>IF(resultados!297:297,"AAAAAC92LaI=",0)</f>
        <v>0</v>
      </c>
      <c r="FH106">
        <f>IF(resultados!298:298,"AAAAAC92LaM=",0)</f>
        <v>0</v>
      </c>
      <c r="FI106">
        <f>IF(resultados!299:299,"AAAAAC92LaQ=",0)</f>
        <v>0</v>
      </c>
      <c r="FJ106">
        <f>IF(resultados!300:300,"AAAAAC92LaU=",0)</f>
        <v>0</v>
      </c>
      <c r="FK106">
        <f>IF(resultados!301:301,"AAAAAC92LaY=",0)</f>
        <v>0</v>
      </c>
      <c r="FL106">
        <f>IF(resultados!302:302,"AAAAAC92Lac=",0)</f>
        <v>0</v>
      </c>
      <c r="FM106">
        <f>IF(resultados!303:303,"AAAAAC92Lag=",0)</f>
        <v>0</v>
      </c>
      <c r="FN106">
        <f>IF(resultados!304:304,"AAAAAC92Lak=",0)</f>
        <v>0</v>
      </c>
      <c r="FO106">
        <f>IF(resultados!305:305,"AAAAAC92Lao=",0)</f>
        <v>0</v>
      </c>
      <c r="FP106">
        <f>IF(resultados!306:306,"AAAAAC92Las=",0)</f>
        <v>0</v>
      </c>
      <c r="FQ106">
        <f>IF(resultados!307:307,"AAAAAC92Law=",0)</f>
        <v>0</v>
      </c>
      <c r="FR106">
        <f>IF(resultados!308:308,"AAAAAC92La0=",0)</f>
        <v>0</v>
      </c>
      <c r="FS106">
        <f>IF(resultados!309:309,"AAAAAC92La4=",0)</f>
        <v>0</v>
      </c>
      <c r="FT106">
        <f>IF(resultados!310:310,"AAAAAC92La8=",0)</f>
        <v>0</v>
      </c>
      <c r="FU106">
        <f>IF(resultados!311:311,"AAAAAC92LbA=",0)</f>
        <v>0</v>
      </c>
      <c r="FV106">
        <f>IF(resultados!312:312,"AAAAAC92LbE=",0)</f>
        <v>0</v>
      </c>
      <c r="FW106">
        <f>IF(resultados!313:313,"AAAAAC92LbI=",0)</f>
        <v>0</v>
      </c>
      <c r="FX106">
        <f>IF(resultados!314:314,"AAAAAC92LbM=",0)</f>
        <v>0</v>
      </c>
      <c r="FY106">
        <f>IF(resultados!315:315,"AAAAAC92LbQ=",0)</f>
        <v>0</v>
      </c>
      <c r="FZ106">
        <f>IF(resultados!316:316,"AAAAAC92LbU=",0)</f>
        <v>0</v>
      </c>
      <c r="GA106">
        <f>IF(resultados!317:317,"AAAAAC92LbY=",0)</f>
        <v>0</v>
      </c>
      <c r="GB106">
        <f>IF(resultados!318:318,"AAAAAC92Lbc=",0)</f>
        <v>0</v>
      </c>
      <c r="GC106">
        <f>IF(resultados!319:319,"AAAAAC92Lbg=",0)</f>
        <v>0</v>
      </c>
      <c r="GD106">
        <f>IF(resultados!320:320,"AAAAAC92Lbk=",0)</f>
        <v>0</v>
      </c>
      <c r="GE106">
        <f>IF(resultados!321:321,"AAAAAC92Lbo=",0)</f>
        <v>0</v>
      </c>
      <c r="GF106">
        <f>IF(resultados!322:322,"AAAAAC92Lbs=",0)</f>
        <v>0</v>
      </c>
      <c r="GG106">
        <f>IF(resultados!323:323,"AAAAAC92Lbw=",0)</f>
        <v>0</v>
      </c>
      <c r="GH106">
        <f>IF(resultados!324:324,"AAAAAC92Lb0=",0)</f>
        <v>0</v>
      </c>
      <c r="GI106">
        <f>IF(resultados!325:325,"AAAAAC92Lb4=",0)</f>
        <v>0</v>
      </c>
      <c r="GJ106">
        <f>IF(resultados!326:326,"AAAAAC92Lb8=",0)</f>
        <v>0</v>
      </c>
      <c r="GK106">
        <f>IF(resultados!327:327,"AAAAAC92LcA=",0)</f>
        <v>0</v>
      </c>
      <c r="GL106">
        <f>IF(resultados!328:328,"AAAAAC92LcE=",0)</f>
        <v>0</v>
      </c>
      <c r="GM106">
        <f>IF(resultados!329:329,"AAAAAC92LcI=",0)</f>
        <v>0</v>
      </c>
      <c r="GN106">
        <f>IF(resultados!330:330,"AAAAAC92LcM=",0)</f>
        <v>0</v>
      </c>
      <c r="GO106">
        <f>IF(resultados!331:331,"AAAAAC92LcQ=",0)</f>
        <v>0</v>
      </c>
      <c r="GP106">
        <f>IF(resultados!332:332,"AAAAAC92LcU=",0)</f>
        <v>0</v>
      </c>
      <c r="GQ106">
        <f>IF(resultados!333:333,"AAAAAC92LcY=",0)</f>
        <v>0</v>
      </c>
      <c r="GR106">
        <f>IF(resultados!334:334,"AAAAAC92Lcc=",0)</f>
        <v>0</v>
      </c>
      <c r="GS106">
        <f>IF(resultados!335:335,"AAAAAC92Lcg=",0)</f>
        <v>0</v>
      </c>
      <c r="GT106">
        <f>IF(resultados!336:336,"AAAAAC92Lck=",0)</f>
        <v>0</v>
      </c>
      <c r="GU106">
        <f>IF(resultados!337:337,"AAAAAC92Lco=",0)</f>
        <v>0</v>
      </c>
      <c r="GV106">
        <f>IF(resultados!338:338,"AAAAAC92Lcs=",0)</f>
        <v>0</v>
      </c>
      <c r="GW106">
        <f>IF(resultados!339:339,"AAAAAC92Lcw=",0)</f>
        <v>0</v>
      </c>
      <c r="GX106">
        <f>IF(resultados!340:340,"AAAAAC92Lc0=",0)</f>
        <v>0</v>
      </c>
      <c r="GY106">
        <f>IF(resultados!341:341,"AAAAAC92Lc4=",0)</f>
        <v>0</v>
      </c>
      <c r="GZ106">
        <f>IF(resultados!342:342,"AAAAAC92Lc8=",0)</f>
        <v>0</v>
      </c>
      <c r="HA106">
        <f>IF(resultados!343:343,"AAAAAC92LdA=",0)</f>
        <v>0</v>
      </c>
      <c r="HB106">
        <f>IF(resultados!344:344,"AAAAAC92LdE=",0)</f>
        <v>0</v>
      </c>
      <c r="HC106">
        <f>IF(resultados!345:345,"AAAAAC92LdI=",0)</f>
        <v>0</v>
      </c>
      <c r="HD106">
        <f>IF(resultados!346:346,"AAAAAC92LdM=",0)</f>
        <v>0</v>
      </c>
      <c r="HE106">
        <f>IF(resultados!347:347,"AAAAAC92LdQ=",0)</f>
        <v>0</v>
      </c>
      <c r="HF106">
        <f>IF(resultados!348:348,"AAAAAC92LdU=",0)</f>
        <v>0</v>
      </c>
      <c r="HG106">
        <f>IF(resultados!349:349,"AAAAAC92LdY=",0)</f>
        <v>0</v>
      </c>
      <c r="HH106">
        <f>IF(resultados!350:350,"AAAAAC92Ldc=",0)</f>
        <v>0</v>
      </c>
      <c r="HI106">
        <f>IF(resultados!351:351,"AAAAAC92Ldg=",0)</f>
        <v>0</v>
      </c>
      <c r="HJ106">
        <f>IF(resultados!352:352,"AAAAAC92Ldk=",0)</f>
        <v>0</v>
      </c>
      <c r="HK106">
        <f>IF(resultados!353:353,"AAAAAC92Ldo=",0)</f>
        <v>0</v>
      </c>
      <c r="HL106">
        <f>IF(resultados!354:354,"AAAAAC92Lds=",0)</f>
        <v>0</v>
      </c>
      <c r="HM106">
        <f>IF(resultados!355:355,"AAAAAC92Ldw=",0)</f>
        <v>0</v>
      </c>
      <c r="HN106">
        <f>IF(resultados!356:356,"AAAAAC92Ld0=",0)</f>
        <v>0</v>
      </c>
      <c r="HO106">
        <f>IF(resultados!357:357,"AAAAAC92Ld4=",0)</f>
        <v>0</v>
      </c>
      <c r="HP106">
        <f>IF(resultados!358:358,"AAAAAC92Ld8=",0)</f>
        <v>0</v>
      </c>
      <c r="HQ106">
        <f>IF(resultados!359:359,"AAAAAC92LeA=",0)</f>
        <v>0</v>
      </c>
      <c r="HR106">
        <f>IF(resultados!360:360,"AAAAAC92LeE=",0)</f>
        <v>0</v>
      </c>
      <c r="HS106">
        <f>IF(resultados!361:361,"AAAAAC92LeI=",0)</f>
        <v>0</v>
      </c>
      <c r="HT106">
        <f>IF(resultados!362:362,"AAAAAC92LeM=",0)</f>
        <v>0</v>
      </c>
      <c r="HU106">
        <f>IF(resultados!363:363,"AAAAAC92LeQ=",0)</f>
        <v>0</v>
      </c>
      <c r="HV106">
        <f>IF(resultados!364:364,"AAAAAC92LeU=",0)</f>
        <v>0</v>
      </c>
      <c r="HW106">
        <f>IF(resultados!365:365,"AAAAAC92LeY=",0)</f>
        <v>0</v>
      </c>
      <c r="HX106">
        <f>IF(resultados!366:366,"AAAAAC92Lec=",0)</f>
        <v>0</v>
      </c>
      <c r="HY106">
        <f>IF(resultados!367:367,"AAAAAC92Leg=",0)</f>
        <v>0</v>
      </c>
      <c r="HZ106">
        <f>IF(resultados!368:368,"AAAAAC92Lek=",0)</f>
        <v>0</v>
      </c>
      <c r="IA106">
        <f>IF(resultados!369:369,"AAAAAC92Leo=",0)</f>
        <v>0</v>
      </c>
      <c r="IB106">
        <f>IF(resultados!370:370,"AAAAAC92Les=",0)</f>
        <v>0</v>
      </c>
      <c r="IC106">
        <f>IF(resultados!371:371,"AAAAAC92Lew=",0)</f>
        <v>0</v>
      </c>
      <c r="ID106">
        <f>IF(resultados!372:372,"AAAAAC92Le0=",0)</f>
        <v>0</v>
      </c>
      <c r="IE106">
        <f>IF(resultados!373:373,"AAAAAC92Le4=",0)</f>
        <v>0</v>
      </c>
      <c r="IF106">
        <f>IF(resultados!374:374,"AAAAAC92Le8=",0)</f>
        <v>0</v>
      </c>
      <c r="IG106">
        <f>IF(resultados!375:375,"AAAAAC92LfA=",0)</f>
        <v>0</v>
      </c>
      <c r="IH106">
        <f>IF(resultados!376:376,"AAAAAC92LfE=",0)</f>
        <v>0</v>
      </c>
      <c r="II106">
        <f>IF(resultados!377:377,"AAAAAC92LfI=",0)</f>
        <v>0</v>
      </c>
      <c r="IJ106">
        <f>IF(resultados!378:378,"AAAAAC92LfM=",0)</f>
        <v>0</v>
      </c>
      <c r="IK106">
        <f>IF(resultados!379:379,"AAAAAC92LfQ=",0)</f>
        <v>0</v>
      </c>
      <c r="IL106">
        <f>IF(resultados!380:380,"AAAAAC92LfU=",0)</f>
        <v>0</v>
      </c>
      <c r="IM106">
        <f>IF(resultados!381:381,"AAAAAC92LfY=",0)</f>
        <v>0</v>
      </c>
      <c r="IN106">
        <f>IF(resultados!382:382,"AAAAAC92Lfc=",0)</f>
        <v>0</v>
      </c>
      <c r="IO106">
        <f>IF(resultados!383:383,"AAAAAC92Lfg=",0)</f>
        <v>0</v>
      </c>
      <c r="IP106">
        <f>IF(resultados!384:384,"AAAAAC92Lfk=",0)</f>
        <v>0</v>
      </c>
      <c r="IQ106">
        <f>IF(resultados!385:385,"AAAAAC92Lfo=",0)</f>
        <v>0</v>
      </c>
      <c r="IR106">
        <f>IF(resultados!386:386,"AAAAAC92Lfs=",0)</f>
        <v>0</v>
      </c>
      <c r="IS106">
        <f>IF(resultados!387:387,"AAAAAC92Lfw=",0)</f>
        <v>0</v>
      </c>
      <c r="IT106">
        <f>IF(resultados!388:388,"AAAAAC92Lf0=",0)</f>
        <v>0</v>
      </c>
      <c r="IU106">
        <f>IF(resultados!389:389,"AAAAAC92Lf4=",0)</f>
        <v>0</v>
      </c>
      <c r="IV106">
        <f>IF(resultados!390:390,"AAAAAC92Lf8=",0)</f>
        <v>0</v>
      </c>
    </row>
    <row r="107" spans="1:256" x14ac:dyDescent="0.2">
      <c r="A107">
        <f>IF(resultados!391:391,"AAAAAH39/gA=",0)</f>
        <v>0</v>
      </c>
      <c r="B107">
        <f>IF(resultados!392:392,"AAAAAH39/gE=",0)</f>
        <v>0</v>
      </c>
      <c r="C107">
        <f>IF(resultados!393:393,"AAAAAH39/gI=",0)</f>
        <v>0</v>
      </c>
      <c r="D107">
        <f>IF(resultados!394:394,"AAAAAH39/gM=",0)</f>
        <v>0</v>
      </c>
      <c r="E107">
        <f>IF(resultados!395:395,"AAAAAH39/gQ=",0)</f>
        <v>0</v>
      </c>
      <c r="F107">
        <f>IF(resultados!396:396,"AAAAAH39/gU=",0)</f>
        <v>0</v>
      </c>
      <c r="G107">
        <f>IF(resultados!397:397,"AAAAAH39/gY=",0)</f>
        <v>0</v>
      </c>
      <c r="H107">
        <f>IF(resultados!398:398,"AAAAAH39/gc=",0)</f>
        <v>0</v>
      </c>
      <c r="I107">
        <f>IF(resultados!399:399,"AAAAAH39/gg=",0)</f>
        <v>0</v>
      </c>
      <c r="J107">
        <f>IF(resultados!400:400,"AAAAAH39/gk=",0)</f>
        <v>0</v>
      </c>
      <c r="K107">
        <f>IF(resultados!401:401,"AAAAAH39/go=",0)</f>
        <v>0</v>
      </c>
      <c r="L107">
        <f>IF(resultados!402:402,"AAAAAH39/gs=",0)</f>
        <v>0</v>
      </c>
      <c r="M107">
        <f>IF(resultados!403:403,"AAAAAH39/gw=",0)</f>
        <v>0</v>
      </c>
      <c r="N107">
        <f>IF(resultados!404:404,"AAAAAH39/g0=",0)</f>
        <v>0</v>
      </c>
      <c r="O107">
        <f>IF(resultados!405:405,"AAAAAH39/g4=",0)</f>
        <v>0</v>
      </c>
      <c r="P107">
        <f>IF(resultados!406:406,"AAAAAH39/g8=",0)</f>
        <v>0</v>
      </c>
      <c r="Q107">
        <f>IF(resultados!407:407,"AAAAAH39/hA=",0)</f>
        <v>0</v>
      </c>
      <c r="R107">
        <f>IF(resultados!408:408,"AAAAAH39/hE=",0)</f>
        <v>0</v>
      </c>
      <c r="S107">
        <f>IF(resultados!409:409,"AAAAAH39/hI=",0)</f>
        <v>0</v>
      </c>
      <c r="T107">
        <f>IF(resultados!410:410,"AAAAAH39/hM=",0)</f>
        <v>0</v>
      </c>
      <c r="U107">
        <f>IF(resultados!411:411,"AAAAAH39/hQ=",0)</f>
        <v>0</v>
      </c>
      <c r="V107">
        <f>IF(resultados!412:412,"AAAAAH39/hU=",0)</f>
        <v>0</v>
      </c>
      <c r="W107">
        <f>IF(resultados!413:413,"AAAAAH39/hY=",0)</f>
        <v>0</v>
      </c>
      <c r="X107">
        <f>IF(resultados!414:414,"AAAAAH39/hc=",0)</f>
        <v>0</v>
      </c>
      <c r="Y107">
        <f>IF(resultados!415:415,"AAAAAH39/hg=",0)</f>
        <v>0</v>
      </c>
      <c r="Z107">
        <f>IF(resultados!416:416,"AAAAAH39/hk=",0)</f>
        <v>0</v>
      </c>
      <c r="AA107">
        <f>IF(resultados!417:417,"AAAAAH39/ho=",0)</f>
        <v>0</v>
      </c>
      <c r="AB107">
        <f>IF(resultados!418:418,"AAAAAH39/hs=",0)</f>
        <v>0</v>
      </c>
      <c r="AC107">
        <f>IF(resultados!419:419,"AAAAAH39/hw=",0)</f>
        <v>0</v>
      </c>
      <c r="AD107">
        <f>IF(resultados!420:420,"AAAAAH39/h0=",0)</f>
        <v>0</v>
      </c>
      <c r="AE107">
        <f>IF(resultados!421:421,"AAAAAH39/h4=",0)</f>
        <v>0</v>
      </c>
      <c r="AF107">
        <f>IF(resultados!422:422,"AAAAAH39/h8=",0)</f>
        <v>0</v>
      </c>
      <c r="AG107">
        <f>IF(resultados!423:423,"AAAAAH39/iA=",0)</f>
        <v>0</v>
      </c>
      <c r="AH107">
        <f>IF(resultados!424:424,"AAAAAH39/iE=",0)</f>
        <v>0</v>
      </c>
      <c r="AI107">
        <f>IF(resultados!425:425,"AAAAAH39/iI=",0)</f>
        <v>0</v>
      </c>
      <c r="AJ107">
        <f>IF(resultados!426:426,"AAAAAH39/iM=",0)</f>
        <v>0</v>
      </c>
      <c r="AK107">
        <f>IF(resultados!427:427,"AAAAAH39/iQ=",0)</f>
        <v>0</v>
      </c>
      <c r="AL107">
        <f>IF(resultados!428:428,"AAAAAH39/iU=",0)</f>
        <v>0</v>
      </c>
      <c r="AM107">
        <f>IF(resultados!429:429,"AAAAAH39/iY=",0)</f>
        <v>0</v>
      </c>
      <c r="AN107">
        <f>IF(resultados!430:430,"AAAAAH39/ic=",0)</f>
        <v>0</v>
      </c>
      <c r="AO107">
        <f>IF(resultados!431:431,"AAAAAH39/ig=",0)</f>
        <v>0</v>
      </c>
      <c r="AP107">
        <f>IF(resultados!432:432,"AAAAAH39/ik=",0)</f>
        <v>0</v>
      </c>
      <c r="AQ107">
        <f>IF(resultados!433:433,"AAAAAH39/io=",0)</f>
        <v>0</v>
      </c>
      <c r="AR107">
        <f>IF(resultados!434:434,"AAAAAH39/is=",0)</f>
        <v>0</v>
      </c>
      <c r="AS107">
        <f>IF(resultados!435:435,"AAAAAH39/iw=",0)</f>
        <v>0</v>
      </c>
      <c r="AT107">
        <f>IF(resultados!436:436,"AAAAAH39/i0=",0)</f>
        <v>0</v>
      </c>
      <c r="AU107">
        <f>IF(resultados!437:437,"AAAAAH39/i4=",0)</f>
        <v>0</v>
      </c>
      <c r="AV107">
        <f>IF(resultados!438:438,"AAAAAH39/i8=",0)</f>
        <v>0</v>
      </c>
      <c r="AW107">
        <f>IF(resultados!439:439,"AAAAAH39/jA=",0)</f>
        <v>0</v>
      </c>
      <c r="AX107">
        <f>IF(resultados!440:440,"AAAAAH39/jE=",0)</f>
        <v>0</v>
      </c>
      <c r="AY107">
        <f>IF(resultados!441:441,"AAAAAH39/jI=",0)</f>
        <v>0</v>
      </c>
      <c r="AZ107">
        <f>IF(resultados!442:442,"AAAAAH39/jM=",0)</f>
        <v>0</v>
      </c>
      <c r="BA107">
        <f>IF(resultados!443:443,"AAAAAH39/jQ=",0)</f>
        <v>0</v>
      </c>
      <c r="BB107">
        <f>IF(resultados!444:444,"AAAAAH39/jU=",0)</f>
        <v>0</v>
      </c>
      <c r="BC107">
        <f>IF(resultados!445:445,"AAAAAH39/jY=",0)</f>
        <v>0</v>
      </c>
      <c r="BD107">
        <f>IF(resultados!446:446,"AAAAAH39/jc=",0)</f>
        <v>0</v>
      </c>
      <c r="BE107">
        <f>IF(resultados!447:447,"AAAAAH39/jg=",0)</f>
        <v>0</v>
      </c>
      <c r="BF107">
        <f>IF(resultados!448:448,"AAAAAH39/jk=",0)</f>
        <v>0</v>
      </c>
      <c r="BG107">
        <f>IF(resultados!449:449,"AAAAAH39/jo=",0)</f>
        <v>0</v>
      </c>
      <c r="BH107">
        <f>IF(resultados!450:450,"AAAAAH39/js=",0)</f>
        <v>0</v>
      </c>
      <c r="BI107">
        <f>IF(resultados!451:451,"AAAAAH39/jw=",0)</f>
        <v>0</v>
      </c>
      <c r="BJ107">
        <f>IF(resultados!452:452,"AAAAAH39/j0=",0)</f>
        <v>0</v>
      </c>
      <c r="BK107">
        <f>IF(resultados!453:453,"AAAAAH39/j4=",0)</f>
        <v>0</v>
      </c>
      <c r="BL107">
        <f>IF(resultados!454:454,"AAAAAH39/j8=",0)</f>
        <v>0</v>
      </c>
      <c r="BM107">
        <f>IF(resultados!455:455,"AAAAAH39/kA=",0)</f>
        <v>0</v>
      </c>
      <c r="BN107">
        <f>IF(resultados!456:456,"AAAAAH39/kE=",0)</f>
        <v>0</v>
      </c>
      <c r="BO107">
        <f>IF(resultados!457:457,"AAAAAH39/kI=",0)</f>
        <v>0</v>
      </c>
      <c r="BP107">
        <f>IF(resultados!458:458,"AAAAAH39/kM=",0)</f>
        <v>0</v>
      </c>
      <c r="BQ107">
        <f>IF(resultados!459:459,"AAAAAH39/kQ=",0)</f>
        <v>0</v>
      </c>
      <c r="BR107">
        <f>IF(resultados!460:460,"AAAAAH39/kU=",0)</f>
        <v>0</v>
      </c>
      <c r="BS107">
        <f>IF(resultados!461:461,"AAAAAH39/kY=",0)</f>
        <v>0</v>
      </c>
      <c r="BT107">
        <f>IF(resultados!462:462,"AAAAAH39/kc=",0)</f>
        <v>0</v>
      </c>
      <c r="BU107">
        <f>IF(resultados!463:463,"AAAAAH39/kg=",0)</f>
        <v>0</v>
      </c>
      <c r="BV107">
        <f>IF(resultados!464:464,"AAAAAH39/kk=",0)</f>
        <v>0</v>
      </c>
      <c r="BW107">
        <f>IF(resultados!465:465,"AAAAAH39/ko=",0)</f>
        <v>0</v>
      </c>
      <c r="BX107">
        <f>IF(resultados!466:466,"AAAAAH39/ks=",0)</f>
        <v>0</v>
      </c>
      <c r="BY107">
        <f>IF(resultados!467:467,"AAAAAH39/kw=",0)</f>
        <v>0</v>
      </c>
      <c r="BZ107">
        <f>IF(resultados!468:468,"AAAAAH39/k0=",0)</f>
        <v>0</v>
      </c>
      <c r="CA107">
        <f>IF(resultados!469:469,"AAAAAH39/k4=",0)</f>
        <v>0</v>
      </c>
      <c r="CB107">
        <f>IF(resultados!470:470,"AAAAAH39/k8=",0)</f>
        <v>0</v>
      </c>
      <c r="CC107">
        <f>IF(resultados!471:471,"AAAAAH39/lA=",0)</f>
        <v>0</v>
      </c>
      <c r="CD107">
        <f>IF(resultados!472:472,"AAAAAH39/lE=",0)</f>
        <v>0</v>
      </c>
      <c r="CE107">
        <f>IF(resultados!473:473,"AAAAAH39/lI=",0)</f>
        <v>0</v>
      </c>
      <c r="CF107">
        <f>IF(resultados!474:474,"AAAAAH39/lM=",0)</f>
        <v>0</v>
      </c>
      <c r="CG107">
        <f>IF(resultados!475:475,"AAAAAH39/lQ=",0)</f>
        <v>0</v>
      </c>
      <c r="CH107">
        <f>IF(resultados!476:476,"AAAAAH39/lU=",0)</f>
        <v>0</v>
      </c>
      <c r="CI107">
        <f>IF(resultados!477:477,"AAAAAH39/lY=",0)</f>
        <v>0</v>
      </c>
      <c r="CJ107">
        <f>IF(resultados!478:478,"AAAAAH39/lc=",0)</f>
        <v>0</v>
      </c>
      <c r="CK107">
        <f>IF(resultados!479:479,"AAAAAH39/lg=",0)</f>
        <v>0</v>
      </c>
      <c r="CL107">
        <f>IF(resultados!480:480,"AAAAAH39/lk=",0)</f>
        <v>0</v>
      </c>
      <c r="CM107">
        <f>IF(resultados!481:481,"AAAAAH39/lo=",0)</f>
        <v>0</v>
      </c>
      <c r="CN107">
        <f>IF(resultados!482:482,"AAAAAH39/ls=",0)</f>
        <v>0</v>
      </c>
      <c r="CO107">
        <f>IF(resultados!483:483,"AAAAAH39/lw=",0)</f>
        <v>0</v>
      </c>
      <c r="CP107">
        <f>IF(resultados!484:484,"AAAAAH39/l0=",0)</f>
        <v>0</v>
      </c>
      <c r="CQ107">
        <f>IF(resultados!485:485,"AAAAAH39/l4=",0)</f>
        <v>0</v>
      </c>
      <c r="CR107">
        <f>IF(resultados!486:486,"AAAAAH39/l8=",0)</f>
        <v>0</v>
      </c>
      <c r="CS107">
        <f>IF(resultados!487:487,"AAAAAH39/mA=",0)</f>
        <v>0</v>
      </c>
      <c r="CT107">
        <f>IF(resultados!488:488,"AAAAAH39/mE=",0)</f>
        <v>0</v>
      </c>
      <c r="CU107">
        <f>IF(resultados!489:489,"AAAAAH39/mI=",0)</f>
        <v>0</v>
      </c>
      <c r="CV107">
        <f>IF(resultados!490:490,"AAAAAH39/mM=",0)</f>
        <v>0</v>
      </c>
      <c r="CW107">
        <f>IF(resultados!491:491,"AAAAAH39/mQ=",0)</f>
        <v>0</v>
      </c>
      <c r="CX107">
        <f>IF(resultados!492:492,"AAAAAH39/mU=",0)</f>
        <v>0</v>
      </c>
      <c r="CY107">
        <f>IF(resultados!493:493,"AAAAAH39/mY=",0)</f>
        <v>0</v>
      </c>
      <c r="CZ107">
        <f>IF(resultados!494:494,"AAAAAH39/mc=",0)</f>
        <v>0</v>
      </c>
      <c r="DA107">
        <f>IF(resultados!495:495,"AAAAAH39/mg=",0)</f>
        <v>0</v>
      </c>
      <c r="DB107">
        <f>IF(resultados!496:496,"AAAAAH39/mk=",0)</f>
        <v>0</v>
      </c>
      <c r="DC107">
        <f>IF(resultados!497:497,"AAAAAH39/mo=",0)</f>
        <v>0</v>
      </c>
      <c r="DD107">
        <f>IF(resultados!498:498,"AAAAAH39/ms=",0)</f>
        <v>0</v>
      </c>
      <c r="DE107">
        <f>IF(resultados!499:499,"AAAAAH39/mw=",0)</f>
        <v>0</v>
      </c>
      <c r="DF107">
        <f>IF(resultados!500:500,"AAAAAH39/m0=",0)</f>
        <v>0</v>
      </c>
      <c r="DG107">
        <f>IF(resultados!501:501,"AAAAAH39/m4=",0)</f>
        <v>0</v>
      </c>
      <c r="DH107">
        <f>IF(resultados!502:502,"AAAAAH39/m8=",0)</f>
        <v>0</v>
      </c>
      <c r="DI107">
        <f>IF(resultados!503:503,"AAAAAH39/nA=",0)</f>
        <v>0</v>
      </c>
      <c r="DJ107">
        <f>IF(resultados!504:504,"AAAAAH39/nE=",0)</f>
        <v>0</v>
      </c>
      <c r="DK107">
        <f>IF(resultados!505:505,"AAAAAH39/nI=",0)</f>
        <v>0</v>
      </c>
      <c r="DL107">
        <f>IF(resultados!506:506,"AAAAAH39/nM=",0)</f>
        <v>0</v>
      </c>
      <c r="DM107">
        <f>IF(resultados!507:507,"AAAAAH39/nQ=",0)</f>
        <v>0</v>
      </c>
      <c r="DN107">
        <f>IF(resultados!508:508,"AAAAAH39/nU=",0)</f>
        <v>0</v>
      </c>
      <c r="DO107">
        <f>IF(resultados!509:509,"AAAAAH39/nY=",0)</f>
        <v>0</v>
      </c>
      <c r="DP107">
        <f>IF(resultados!510:510,"AAAAAH39/nc=",0)</f>
        <v>0</v>
      </c>
      <c r="DQ107">
        <f>IF(resultados!511:511,"AAAAAH39/ng=",0)</f>
        <v>0</v>
      </c>
      <c r="DR107">
        <f>IF(resultados!512:512,"AAAAAH39/nk=",0)</f>
        <v>0</v>
      </c>
      <c r="DS107">
        <f>IF(resultados!513:513,"AAAAAH39/no=",0)</f>
        <v>0</v>
      </c>
      <c r="DT107">
        <f>IF(resultados!514:514,"AAAAAH39/ns=",0)</f>
        <v>0</v>
      </c>
      <c r="DU107">
        <f>IF(resultados!515:515,"AAAAAH39/nw=",0)</f>
        <v>0</v>
      </c>
      <c r="DV107">
        <f>IF(resultados!516:516,"AAAAAH39/n0=",0)</f>
        <v>0</v>
      </c>
      <c r="DW107">
        <f>IF(resultados!517:517,"AAAAAH39/n4=",0)</f>
        <v>0</v>
      </c>
      <c r="DX107">
        <f>IF(resultados!518:518,"AAAAAH39/n8=",0)</f>
        <v>0</v>
      </c>
      <c r="DY107">
        <f>IF(resultados!519:519,"AAAAAH39/oA=",0)</f>
        <v>0</v>
      </c>
      <c r="DZ107">
        <f>IF(resultados!520:520,"AAAAAH39/oE=",0)</f>
        <v>0</v>
      </c>
      <c r="EA107">
        <f>IF(resultados!521:521,"AAAAAH39/oI=",0)</f>
        <v>0</v>
      </c>
      <c r="EB107">
        <f>IF(resultados!522:522,"AAAAAH39/oM=",0)</f>
        <v>0</v>
      </c>
      <c r="EC107">
        <f>IF(resultados!523:523,"AAAAAH39/oQ=",0)</f>
        <v>0</v>
      </c>
      <c r="ED107">
        <f>IF(resultados!524:524,"AAAAAH39/oU=",0)</f>
        <v>0</v>
      </c>
      <c r="EE107">
        <f>IF(resultados!525:525,"AAAAAH39/oY=",0)</f>
        <v>0</v>
      </c>
      <c r="EF107">
        <f>IF(resultados!526:526,"AAAAAH39/oc=",0)</f>
        <v>0</v>
      </c>
      <c r="EG107">
        <f>IF(resultados!527:527,"AAAAAH39/og=",0)</f>
        <v>0</v>
      </c>
      <c r="EH107">
        <f>IF(resultados!528:528,"AAAAAH39/ok=",0)</f>
        <v>0</v>
      </c>
      <c r="EI107">
        <f>IF(resultados!529:529,"AAAAAH39/oo=",0)</f>
        <v>0</v>
      </c>
      <c r="EJ107">
        <f>IF(resultados!530:530,"AAAAAH39/os=",0)</f>
        <v>0</v>
      </c>
      <c r="EK107">
        <f>IF(resultados!531:531,"AAAAAH39/ow=",0)</f>
        <v>0</v>
      </c>
      <c r="EL107" t="e">
        <f>IF(resultados!#REF!,"AAAAAH39/o0=",0)</f>
        <v>#REF!</v>
      </c>
      <c r="EM107" t="e">
        <f>IF(resultados!C:C,"AAAAAH39/o4=",0)</f>
        <v>#VALUE!</v>
      </c>
      <c r="EN107" t="e">
        <f>IF(resultados!D:D,"AAAAAH39/o8=",0)</f>
        <v>#VALUE!</v>
      </c>
      <c r="EO107" t="e">
        <f>IF(resultados!E:E,"AAAAAH39/pA=",0)</f>
        <v>#VALUE!</v>
      </c>
      <c r="EP107" t="e">
        <f>IF(resultados!#REF!,"AAAAAH39/pE=",0)</f>
        <v>#REF!</v>
      </c>
      <c r="EQ107" t="e">
        <f>IF(resultados!G:G,"AAAAAH39/pI=",0)</f>
        <v>#VALUE!</v>
      </c>
      <c r="ER107" t="e">
        <f>IF(resultados!H:H,"AAAAAH39/pM=",0)</f>
        <v>#VALUE!</v>
      </c>
      <c r="ES107" t="e">
        <f>IF(resultados!I:I,"AAAAAH39/pQ=",0)</f>
        <v>#VALUE!</v>
      </c>
      <c r="ET107">
        <f>IF(resultados!J:J,"AAAAAH39/pU=",0)</f>
        <v>0</v>
      </c>
      <c r="EU107">
        <f>IF(resultados!K:K,"AAAAAH39/pY=",0)</f>
        <v>0</v>
      </c>
      <c r="EV107">
        <f>IF(resultados!L:L,"AAAAAH39/pc=",0)</f>
        <v>0</v>
      </c>
      <c r="EW107">
        <f>IF(resultados!M:M,"AAAAAH39/pg=",0)</f>
        <v>0</v>
      </c>
      <c r="EX107">
        <f>IF(resultados!N:N,"AAAAAH39/pk=",0)</f>
        <v>0</v>
      </c>
      <c r="EY107">
        <f>IF(resultados!O:O,"AAAAAH39/po=",0)</f>
        <v>0</v>
      </c>
      <c r="EZ107">
        <f>IF(resultados!P:P,"AAAAAH39/ps=",0)</f>
        <v>0</v>
      </c>
      <c r="FA107">
        <f>IF(resultados!Q:Q,"AAAAAH39/pw=",0)</f>
        <v>0</v>
      </c>
      <c r="FB107">
        <f>IF(resultados!R:R,"AAAAAH39/p0=",0)</f>
        <v>0</v>
      </c>
      <c r="FC107">
        <f>IF(resultados!S:S,"AAAAAH39/p4=",0)</f>
        <v>0</v>
      </c>
      <c r="FD107">
        <f>IF(resultados!T:T,"AAAAAH39/p8=",0)</f>
        <v>0</v>
      </c>
      <c r="FE107">
        <f>IF(resultados!U:U,"AAAAAH39/qA=",0)</f>
        <v>0</v>
      </c>
      <c r="FF107">
        <f>IF(resultados!V:V,"AAAAAH39/qE=",0)</f>
        <v>0</v>
      </c>
      <c r="FG107">
        <f>IF(resultados!W:W,"AAAAAH39/qI=",0)</f>
        <v>0</v>
      </c>
      <c r="FH107">
        <f>IF(resultados!X:X,"AAAAAH39/qM=",0)</f>
        <v>0</v>
      </c>
      <c r="FI107">
        <f>IF(resultados!Y:Y,"AAAAAH39/qQ=",0)</f>
        <v>0</v>
      </c>
      <c r="FJ107">
        <f>IF(resultados!Z:Z,"AAAAAH39/qU=",0)</f>
        <v>0</v>
      </c>
      <c r="FK107">
        <f>IF(resultados!AA:AA,"AAAAAH39/qY=",0)</f>
        <v>0</v>
      </c>
      <c r="FL107">
        <f>IF(resultados!AB:AB,"AAAAAH39/qc=",0)</f>
        <v>0</v>
      </c>
      <c r="FM107">
        <f>IF(resultados!AC:AC,"AAAAAH39/qg=",0)</f>
        <v>0</v>
      </c>
      <c r="FN107">
        <f>IF(resultados!AD:AD,"AAAAAH39/qk=",0)</f>
        <v>0</v>
      </c>
      <c r="FO107">
        <f>IF(resultados!AE:AE,"AAAAAH39/qo=",0)</f>
        <v>0</v>
      </c>
      <c r="FP107">
        <f>IF(resultados!AF:AF,"AAAAAH39/qs=",0)</f>
        <v>0</v>
      </c>
      <c r="FQ107">
        <f>IF(resultados!AG:AG,"AAAAAH39/qw=",0)</f>
        <v>0</v>
      </c>
      <c r="FR107">
        <f>IF(resultados!AH:AH,"AAAAAH39/q0=",0)</f>
        <v>0</v>
      </c>
      <c r="FS107">
        <f>IF(resultados!AI:AI,"AAAAAH39/q4=",0)</f>
        <v>0</v>
      </c>
      <c r="FT107">
        <f>IF(tecantrop!1:1,"AAAAAH39/q8=",0)</f>
        <v>0</v>
      </c>
      <c r="FU107" t="e">
        <f>AND(tecantrop!A1,"AAAAAH39/rA=")</f>
        <v>#VALUE!</v>
      </c>
      <c r="FV107" t="e">
        <f>AND(tecantrop!B1,"AAAAAH39/rE=")</f>
        <v>#VALUE!</v>
      </c>
      <c r="FW107" t="e">
        <f>AND(tecantrop!C1,"AAAAAH39/rI=")</f>
        <v>#VALUE!</v>
      </c>
      <c r="FX107" t="e">
        <f>AND(tecantrop!D1,"AAAAAH39/rM=")</f>
        <v>#VALUE!</v>
      </c>
      <c r="FY107" t="e">
        <f>AND(tecantrop!E1,"AAAAAH39/rQ=")</f>
        <v>#VALUE!</v>
      </c>
      <c r="FZ107" t="e">
        <f>AND(tecantrop!F1,"AAAAAH39/rU=")</f>
        <v>#VALUE!</v>
      </c>
      <c r="GA107" t="e">
        <f>AND(tecantrop!G1,"AAAAAH39/rY=")</f>
        <v>#VALUE!</v>
      </c>
      <c r="GB107" t="e">
        <f>AND(tecantrop!H1,"AAAAAH39/rc=")</f>
        <v>#VALUE!</v>
      </c>
      <c r="GC107" t="e">
        <f>AND(tecantrop!I1,"AAAAAH39/rg=")</f>
        <v>#VALUE!</v>
      </c>
      <c r="GD107" t="e">
        <f>AND(tecantrop!J1,"AAAAAH39/rk=")</f>
        <v>#VALUE!</v>
      </c>
      <c r="GE107" t="e">
        <f>AND(tecantrop!K1,"AAAAAH39/ro=")</f>
        <v>#VALUE!</v>
      </c>
      <c r="GF107" t="e">
        <f>AND(tecantrop!L1,"AAAAAH39/rs=")</f>
        <v>#VALUE!</v>
      </c>
      <c r="GG107" t="e">
        <f>AND(tecantrop!M1,"AAAAAH39/rw=")</f>
        <v>#VALUE!</v>
      </c>
      <c r="GH107" t="e">
        <f>AND(tecantrop!N1,"AAAAAH39/r0=")</f>
        <v>#VALUE!</v>
      </c>
      <c r="GI107" t="e">
        <f>AND(tecantrop!O1,"AAAAAH39/r4=")</f>
        <v>#VALUE!</v>
      </c>
      <c r="GJ107" t="e">
        <f>AND(tecantrop!P1,"AAAAAH39/r8=")</f>
        <v>#VALUE!</v>
      </c>
      <c r="GK107" t="e">
        <f>AND(tecantrop!Q1,"AAAAAH39/sA=")</f>
        <v>#VALUE!</v>
      </c>
      <c r="GL107" t="e">
        <f>AND(tecantrop!R1,"AAAAAH39/sE=")</f>
        <v>#VALUE!</v>
      </c>
      <c r="GM107" t="e">
        <f>AND(tecantrop!S1,"AAAAAH39/sI=")</f>
        <v>#VALUE!</v>
      </c>
      <c r="GN107" t="e">
        <f>AND(tecantrop!T1,"AAAAAH39/sM=")</f>
        <v>#VALUE!</v>
      </c>
      <c r="GO107" t="e">
        <f>AND(tecantrop!U1,"AAAAAH39/sQ=")</f>
        <v>#VALUE!</v>
      </c>
      <c r="GP107" t="e">
        <f>AND(tecantrop!V1,"AAAAAH39/sU=")</f>
        <v>#VALUE!</v>
      </c>
      <c r="GQ107" t="e">
        <f>AND(tecantrop!W1,"AAAAAH39/sY=")</f>
        <v>#VALUE!</v>
      </c>
      <c r="GR107" t="e">
        <f>AND(tecantrop!X1,"AAAAAH39/sc=")</f>
        <v>#VALUE!</v>
      </c>
      <c r="GS107">
        <f>IF(tecantrop!2:2,"AAAAAH39/sg=",0)</f>
        <v>0</v>
      </c>
      <c r="GT107" t="e">
        <f>AND(tecantrop!A2,"AAAAAH39/sk=")</f>
        <v>#VALUE!</v>
      </c>
      <c r="GU107" t="e">
        <f>AND(tecantrop!B2,"AAAAAH39/so=")</f>
        <v>#VALUE!</v>
      </c>
      <c r="GV107" t="e">
        <f>AND(tecantrop!C2,"AAAAAH39/ss=")</f>
        <v>#VALUE!</v>
      </c>
      <c r="GW107" t="e">
        <f>AND(tecantrop!D2,"AAAAAH39/sw=")</f>
        <v>#VALUE!</v>
      </c>
      <c r="GX107" t="e">
        <f>AND(tecantrop!E2,"AAAAAH39/s0=")</f>
        <v>#VALUE!</v>
      </c>
      <c r="GY107" t="e">
        <f>AND(tecantrop!F2,"AAAAAH39/s4=")</f>
        <v>#VALUE!</v>
      </c>
      <c r="GZ107" t="e">
        <f>AND(tecantrop!G2,"AAAAAH39/s8=")</f>
        <v>#VALUE!</v>
      </c>
      <c r="HA107" t="e">
        <f>AND(tecantrop!H2,"AAAAAH39/tA=")</f>
        <v>#VALUE!</v>
      </c>
      <c r="HB107" t="e">
        <f>AND(tecantrop!I2,"AAAAAH39/tE=")</f>
        <v>#VALUE!</v>
      </c>
      <c r="HC107" t="e">
        <f>AND(tecantrop!J2,"AAAAAH39/tI=")</f>
        <v>#VALUE!</v>
      </c>
      <c r="HD107" t="e">
        <f>AND(tecantrop!K2,"AAAAAH39/tM=")</f>
        <v>#VALUE!</v>
      </c>
      <c r="HE107" t="e">
        <f>AND(tecantrop!L2,"AAAAAH39/tQ=")</f>
        <v>#VALUE!</v>
      </c>
      <c r="HF107" t="e">
        <f>AND(tecantrop!M2,"AAAAAH39/tU=")</f>
        <v>#VALUE!</v>
      </c>
      <c r="HG107" t="e">
        <f>AND(tecantrop!N2,"AAAAAH39/tY=")</f>
        <v>#VALUE!</v>
      </c>
      <c r="HH107" t="e">
        <f>AND(tecantrop!O2,"AAAAAH39/tc=")</f>
        <v>#VALUE!</v>
      </c>
      <c r="HI107" t="e">
        <f>AND(tecantrop!P2,"AAAAAH39/tg=")</f>
        <v>#VALUE!</v>
      </c>
      <c r="HJ107" t="e">
        <f>AND(tecantrop!Q2,"AAAAAH39/tk=")</f>
        <v>#VALUE!</v>
      </c>
      <c r="HK107" t="e">
        <f>AND(tecantrop!R2,"AAAAAH39/to=")</f>
        <v>#VALUE!</v>
      </c>
      <c r="HL107" t="e">
        <f>AND(tecantrop!S2,"AAAAAH39/ts=")</f>
        <v>#VALUE!</v>
      </c>
      <c r="HM107" t="e">
        <f>AND(tecantrop!T2,"AAAAAH39/tw=")</f>
        <v>#VALUE!</v>
      </c>
      <c r="HN107" t="e">
        <f>AND(tecantrop!U2,"AAAAAH39/t0=")</f>
        <v>#VALUE!</v>
      </c>
      <c r="HO107" t="e">
        <f>AND(tecantrop!V2,"AAAAAH39/t4=")</f>
        <v>#VALUE!</v>
      </c>
      <c r="HP107" t="e">
        <f>AND(tecantrop!W2,"AAAAAH39/t8=")</f>
        <v>#VALUE!</v>
      </c>
      <c r="HQ107" t="e">
        <f>AND(tecantrop!X2,"AAAAAH39/uA=")</f>
        <v>#VALUE!</v>
      </c>
      <c r="HR107">
        <f>IF(tecantrop!3:3,"AAAAAH39/uE=",0)</f>
        <v>0</v>
      </c>
      <c r="HS107" t="e">
        <f>AND(tecantrop!A3,"AAAAAH39/uI=")</f>
        <v>#VALUE!</v>
      </c>
      <c r="HT107" t="e">
        <f>AND(tecantrop!B3,"AAAAAH39/uM=")</f>
        <v>#VALUE!</v>
      </c>
      <c r="HU107" t="e">
        <f>AND(tecantrop!C3,"AAAAAH39/uQ=")</f>
        <v>#VALUE!</v>
      </c>
      <c r="HV107" t="e">
        <f>AND(tecantrop!D3,"AAAAAH39/uU=")</f>
        <v>#VALUE!</v>
      </c>
      <c r="HW107" t="e">
        <f>AND(tecantrop!E3,"AAAAAH39/uY=")</f>
        <v>#VALUE!</v>
      </c>
      <c r="HX107" t="e">
        <f>AND(tecantrop!F3,"AAAAAH39/uc=")</f>
        <v>#VALUE!</v>
      </c>
      <c r="HY107" t="e">
        <f>AND(tecantrop!G3,"AAAAAH39/ug=")</f>
        <v>#VALUE!</v>
      </c>
      <c r="HZ107" t="e">
        <f>AND(tecantrop!H3,"AAAAAH39/uk=")</f>
        <v>#VALUE!</v>
      </c>
      <c r="IA107" t="e">
        <f>AND(tecantrop!I3,"AAAAAH39/uo=")</f>
        <v>#VALUE!</v>
      </c>
      <c r="IB107" t="e">
        <f>AND(tecantrop!J3,"AAAAAH39/us=")</f>
        <v>#VALUE!</v>
      </c>
      <c r="IC107" t="e">
        <f>AND(tecantrop!K3,"AAAAAH39/uw=")</f>
        <v>#VALUE!</v>
      </c>
      <c r="ID107" t="e">
        <f>AND(tecantrop!L3,"AAAAAH39/u0=")</f>
        <v>#VALUE!</v>
      </c>
      <c r="IE107" t="e">
        <f>AND(tecantrop!M3,"AAAAAH39/u4=")</f>
        <v>#VALUE!</v>
      </c>
      <c r="IF107" t="e">
        <f>AND(tecantrop!N3,"AAAAAH39/u8=")</f>
        <v>#VALUE!</v>
      </c>
      <c r="IG107" t="e">
        <f>AND(tecantrop!O3,"AAAAAH39/vA=")</f>
        <v>#VALUE!</v>
      </c>
      <c r="IH107" t="e">
        <f>AND(tecantrop!P3,"AAAAAH39/vE=")</f>
        <v>#VALUE!</v>
      </c>
      <c r="II107" t="e">
        <f>AND(tecantrop!Q3,"AAAAAH39/vI=")</f>
        <v>#VALUE!</v>
      </c>
      <c r="IJ107" t="e">
        <f>AND(tecantrop!R3,"AAAAAH39/vM=")</f>
        <v>#VALUE!</v>
      </c>
      <c r="IK107" t="e">
        <f>AND(tecantrop!S3,"AAAAAH39/vQ=")</f>
        <v>#VALUE!</v>
      </c>
      <c r="IL107" t="e">
        <f>AND(tecantrop!T3,"AAAAAH39/vU=")</f>
        <v>#VALUE!</v>
      </c>
      <c r="IM107" t="e">
        <f>AND(tecantrop!U3,"AAAAAH39/vY=")</f>
        <v>#VALUE!</v>
      </c>
      <c r="IN107" t="e">
        <f>AND(tecantrop!V3,"AAAAAH39/vc=")</f>
        <v>#VALUE!</v>
      </c>
      <c r="IO107" t="e">
        <f>AND(tecantrop!W3,"AAAAAH39/vg=")</f>
        <v>#VALUE!</v>
      </c>
      <c r="IP107" t="e">
        <f>AND(tecantrop!X3,"AAAAAH39/vk=")</f>
        <v>#VALUE!</v>
      </c>
      <c r="IQ107">
        <f>IF(tecantrop!4:4,"AAAAAH39/vo=",0)</f>
        <v>0</v>
      </c>
      <c r="IR107" t="e">
        <f>AND(tecantrop!A4,"AAAAAH39/vs=")</f>
        <v>#VALUE!</v>
      </c>
      <c r="IS107" t="e">
        <f>AND(tecantrop!B4,"AAAAAH39/vw=")</f>
        <v>#VALUE!</v>
      </c>
      <c r="IT107" t="e">
        <f>AND(tecantrop!C4,"AAAAAH39/v0=")</f>
        <v>#VALUE!</v>
      </c>
      <c r="IU107" t="e">
        <f>AND(tecantrop!D4,"AAAAAH39/v4=")</f>
        <v>#VALUE!</v>
      </c>
      <c r="IV107" t="e">
        <f>AND(tecantrop!E4,"AAAAAH39/v8=")</f>
        <v>#VALUE!</v>
      </c>
    </row>
    <row r="108" spans="1:256" x14ac:dyDescent="0.2">
      <c r="A108" t="e">
        <f>AND(tecantrop!F4,"AAAAAF3PvwA=")</f>
        <v>#VALUE!</v>
      </c>
      <c r="B108" t="e">
        <f>AND(tecantrop!G4,"AAAAAF3PvwE=")</f>
        <v>#VALUE!</v>
      </c>
      <c r="C108" t="e">
        <f>AND(tecantrop!H4,"AAAAAF3PvwI=")</f>
        <v>#VALUE!</v>
      </c>
      <c r="D108" t="e">
        <f>AND(tecantrop!I4,"AAAAAF3PvwM=")</f>
        <v>#VALUE!</v>
      </c>
      <c r="E108" t="e">
        <f>AND(tecantrop!J4,"AAAAAF3PvwQ=")</f>
        <v>#VALUE!</v>
      </c>
      <c r="F108" t="e">
        <f>AND(tecantrop!K4,"AAAAAF3PvwU=")</f>
        <v>#VALUE!</v>
      </c>
      <c r="G108" t="e">
        <f>AND(tecantrop!L4,"AAAAAF3PvwY=")</f>
        <v>#VALUE!</v>
      </c>
      <c r="H108" t="e">
        <f>AND(tecantrop!M4,"AAAAAF3Pvwc=")</f>
        <v>#VALUE!</v>
      </c>
      <c r="I108" t="e">
        <f>AND(tecantrop!N4,"AAAAAF3Pvwg=")</f>
        <v>#VALUE!</v>
      </c>
      <c r="J108" t="e">
        <f>AND(tecantrop!O4,"AAAAAF3Pvwk=")</f>
        <v>#VALUE!</v>
      </c>
      <c r="K108" t="e">
        <f>AND(tecantrop!P4,"AAAAAF3Pvwo=")</f>
        <v>#VALUE!</v>
      </c>
      <c r="L108" t="e">
        <f>AND(tecantrop!Q4,"AAAAAF3Pvws=")</f>
        <v>#VALUE!</v>
      </c>
      <c r="M108" t="e">
        <f>AND(tecantrop!R4,"AAAAAF3Pvww=")</f>
        <v>#VALUE!</v>
      </c>
      <c r="N108" t="e">
        <f>AND(tecantrop!S4,"AAAAAF3Pvw0=")</f>
        <v>#VALUE!</v>
      </c>
      <c r="O108" t="e">
        <f>AND(tecantrop!T4,"AAAAAF3Pvw4=")</f>
        <v>#VALUE!</v>
      </c>
      <c r="P108" t="e">
        <f>AND(tecantrop!U4,"AAAAAF3Pvw8=")</f>
        <v>#VALUE!</v>
      </c>
      <c r="Q108" t="e">
        <f>AND(tecantrop!V4,"AAAAAF3PvxA=")</f>
        <v>#VALUE!</v>
      </c>
      <c r="R108" t="e">
        <f>AND(tecantrop!W4,"AAAAAF3PvxE=")</f>
        <v>#VALUE!</v>
      </c>
      <c r="S108" t="e">
        <f>AND(tecantrop!X4,"AAAAAF3PvxI=")</f>
        <v>#VALUE!</v>
      </c>
      <c r="T108">
        <f>IF(tecantrop!5:5,"AAAAAF3PvxM=",0)</f>
        <v>0</v>
      </c>
      <c r="U108" t="e">
        <f>AND(tecantrop!A5,"AAAAAF3PvxQ=")</f>
        <v>#VALUE!</v>
      </c>
      <c r="V108" t="e">
        <f>AND(tecantrop!B5,"AAAAAF3PvxU=")</f>
        <v>#VALUE!</v>
      </c>
      <c r="W108" t="e">
        <f>AND(tecantrop!C5,"AAAAAF3PvxY=")</f>
        <v>#VALUE!</v>
      </c>
      <c r="X108" t="e">
        <f>AND(tecantrop!D5,"AAAAAF3Pvxc=")</f>
        <v>#VALUE!</v>
      </c>
      <c r="Y108" t="e">
        <f>AND(tecantrop!E5,"AAAAAF3Pvxg=")</f>
        <v>#VALUE!</v>
      </c>
      <c r="Z108" t="e">
        <f>AND(tecantrop!F5,"AAAAAF3Pvxk=")</f>
        <v>#VALUE!</v>
      </c>
      <c r="AA108" t="e">
        <f>AND(tecantrop!G5,"AAAAAF3Pvxo=")</f>
        <v>#VALUE!</v>
      </c>
      <c r="AB108" t="e">
        <f>AND(tecantrop!H5,"AAAAAF3Pvxs=")</f>
        <v>#VALUE!</v>
      </c>
      <c r="AC108" t="e">
        <f>AND(tecantrop!I5,"AAAAAF3Pvxw=")</f>
        <v>#VALUE!</v>
      </c>
      <c r="AD108" t="e">
        <f>AND(tecantrop!J5,"AAAAAF3Pvx0=")</f>
        <v>#VALUE!</v>
      </c>
      <c r="AE108" t="e">
        <f>AND(tecantrop!K5,"AAAAAF3Pvx4=")</f>
        <v>#VALUE!</v>
      </c>
      <c r="AF108" t="e">
        <f>AND(tecantrop!L5,"AAAAAF3Pvx8=")</f>
        <v>#VALUE!</v>
      </c>
      <c r="AG108" t="e">
        <f>AND(tecantrop!M5,"AAAAAF3PvyA=")</f>
        <v>#VALUE!</v>
      </c>
      <c r="AH108" t="e">
        <f>AND(tecantrop!N5,"AAAAAF3PvyE=")</f>
        <v>#VALUE!</v>
      </c>
      <c r="AI108" t="e">
        <f>AND(tecantrop!O5,"AAAAAF3PvyI=")</f>
        <v>#VALUE!</v>
      </c>
      <c r="AJ108" t="e">
        <f>AND(tecantrop!P5,"AAAAAF3PvyM=")</f>
        <v>#VALUE!</v>
      </c>
      <c r="AK108" t="e">
        <f>AND(tecantrop!Q5,"AAAAAF3PvyQ=")</f>
        <v>#VALUE!</v>
      </c>
      <c r="AL108" t="e">
        <f>AND(tecantrop!R5,"AAAAAF3PvyU=")</f>
        <v>#VALUE!</v>
      </c>
      <c r="AM108" t="e">
        <f>AND(tecantrop!S5,"AAAAAF3PvyY=")</f>
        <v>#VALUE!</v>
      </c>
      <c r="AN108" t="e">
        <f>AND(tecantrop!T5,"AAAAAF3Pvyc=")</f>
        <v>#VALUE!</v>
      </c>
      <c r="AO108" t="e">
        <f>AND(tecantrop!U5,"AAAAAF3Pvyg=")</f>
        <v>#VALUE!</v>
      </c>
      <c r="AP108" t="e">
        <f>AND(tecantrop!V5,"AAAAAF3Pvyk=")</f>
        <v>#VALUE!</v>
      </c>
      <c r="AQ108" t="e">
        <f>AND(tecantrop!W5,"AAAAAF3Pvyo=")</f>
        <v>#VALUE!</v>
      </c>
      <c r="AR108" t="e">
        <f>AND(tecantrop!X5,"AAAAAF3Pvys=")</f>
        <v>#VALUE!</v>
      </c>
      <c r="AS108">
        <f>IF(tecantrop!6:6,"AAAAAF3Pvyw=",0)</f>
        <v>0</v>
      </c>
      <c r="AT108" t="e">
        <f>AND(tecantrop!A6,"AAAAAF3Pvy0=")</f>
        <v>#VALUE!</v>
      </c>
      <c r="AU108" t="e">
        <f>AND(tecantrop!B6,"AAAAAF3Pvy4=")</f>
        <v>#VALUE!</v>
      </c>
      <c r="AV108" t="e">
        <f>AND(tecantrop!C6,"AAAAAF3Pvy8=")</f>
        <v>#VALUE!</v>
      </c>
      <c r="AW108" t="e">
        <f>AND(tecantrop!D6,"AAAAAF3PvzA=")</f>
        <v>#VALUE!</v>
      </c>
      <c r="AX108" t="e">
        <f>AND(tecantrop!E6,"AAAAAF3PvzE=")</f>
        <v>#VALUE!</v>
      </c>
      <c r="AY108" t="e">
        <f>AND(tecantrop!F6,"AAAAAF3PvzI=")</f>
        <v>#VALUE!</v>
      </c>
      <c r="AZ108" t="e">
        <f>AND(tecantrop!G6,"AAAAAF3PvzM=")</f>
        <v>#VALUE!</v>
      </c>
      <c r="BA108" t="e">
        <f>AND(tecantrop!H6,"AAAAAF3PvzQ=")</f>
        <v>#VALUE!</v>
      </c>
      <c r="BB108" t="e">
        <f>AND(tecantrop!I6,"AAAAAF3PvzU=")</f>
        <v>#VALUE!</v>
      </c>
      <c r="BC108" t="e">
        <f>AND(tecantrop!J6,"AAAAAF3PvzY=")</f>
        <v>#VALUE!</v>
      </c>
      <c r="BD108" t="e">
        <f>AND(tecantrop!K6,"AAAAAF3Pvzc=")</f>
        <v>#VALUE!</v>
      </c>
      <c r="BE108" t="e">
        <f>AND(tecantrop!L6,"AAAAAF3Pvzg=")</f>
        <v>#VALUE!</v>
      </c>
      <c r="BF108" t="e">
        <f>AND(tecantrop!M6,"AAAAAF3Pvzk=")</f>
        <v>#VALUE!</v>
      </c>
      <c r="BG108" t="e">
        <f>AND(tecantrop!N6,"AAAAAF3Pvzo=")</f>
        <v>#VALUE!</v>
      </c>
      <c r="BH108" t="e">
        <f>AND(tecantrop!O6,"AAAAAF3Pvzs=")</f>
        <v>#VALUE!</v>
      </c>
      <c r="BI108" t="e">
        <f>AND(tecantrop!P6,"AAAAAF3Pvzw=")</f>
        <v>#VALUE!</v>
      </c>
      <c r="BJ108" t="e">
        <f>AND(tecantrop!Q6,"AAAAAF3Pvz0=")</f>
        <v>#VALUE!</v>
      </c>
      <c r="BK108" t="e">
        <f>AND(tecantrop!R6,"AAAAAF3Pvz4=")</f>
        <v>#VALUE!</v>
      </c>
      <c r="BL108" t="e">
        <f>AND(tecantrop!S6,"AAAAAF3Pvz8=")</f>
        <v>#VALUE!</v>
      </c>
      <c r="BM108" t="e">
        <f>AND(tecantrop!T6,"AAAAAF3Pv0A=")</f>
        <v>#VALUE!</v>
      </c>
      <c r="BN108" t="e">
        <f>AND(tecantrop!U6,"AAAAAF3Pv0E=")</f>
        <v>#VALUE!</v>
      </c>
      <c r="BO108" t="e">
        <f>AND(tecantrop!V6,"AAAAAF3Pv0I=")</f>
        <v>#VALUE!</v>
      </c>
      <c r="BP108" t="e">
        <f>AND(tecantrop!W6,"AAAAAF3Pv0M=")</f>
        <v>#VALUE!</v>
      </c>
      <c r="BQ108" t="e">
        <f>AND(tecantrop!X6,"AAAAAF3Pv0Q=")</f>
        <v>#VALUE!</v>
      </c>
      <c r="BR108">
        <f>IF(tecantrop!7:7,"AAAAAF3Pv0U=",0)</f>
        <v>0</v>
      </c>
      <c r="BS108" t="e">
        <f>AND(tecantrop!A7,"AAAAAF3Pv0Y=")</f>
        <v>#VALUE!</v>
      </c>
      <c r="BT108" t="e">
        <f>AND(tecantrop!B7,"AAAAAF3Pv0c=")</f>
        <v>#VALUE!</v>
      </c>
      <c r="BU108" t="e">
        <f>AND(tecantrop!C7,"AAAAAF3Pv0g=")</f>
        <v>#VALUE!</v>
      </c>
      <c r="BV108" t="e">
        <f>AND(tecantrop!D7,"AAAAAF3Pv0k=")</f>
        <v>#VALUE!</v>
      </c>
      <c r="BW108" t="e">
        <f>AND(tecantrop!E7,"AAAAAF3Pv0o=")</f>
        <v>#VALUE!</v>
      </c>
      <c r="BX108" t="e">
        <f>AND(tecantrop!F7,"AAAAAF3Pv0s=")</f>
        <v>#VALUE!</v>
      </c>
      <c r="BY108" t="e">
        <f>AND(tecantrop!G7,"AAAAAF3Pv0w=")</f>
        <v>#VALUE!</v>
      </c>
      <c r="BZ108" t="e">
        <f>AND(tecantrop!H7,"AAAAAF3Pv00=")</f>
        <v>#VALUE!</v>
      </c>
      <c r="CA108" t="e">
        <f>AND(tecantrop!I7,"AAAAAF3Pv04=")</f>
        <v>#VALUE!</v>
      </c>
      <c r="CB108" t="e">
        <f>AND(tecantrop!J7,"AAAAAF3Pv08=")</f>
        <v>#VALUE!</v>
      </c>
      <c r="CC108" t="e">
        <f>AND(tecantrop!K7,"AAAAAF3Pv1A=")</f>
        <v>#VALUE!</v>
      </c>
      <c r="CD108" t="e">
        <f>AND(tecantrop!L7,"AAAAAF3Pv1E=")</f>
        <v>#VALUE!</v>
      </c>
      <c r="CE108" t="e">
        <f>AND(tecantrop!M7,"AAAAAF3Pv1I=")</f>
        <v>#VALUE!</v>
      </c>
      <c r="CF108" t="e">
        <f>AND(tecantrop!N7,"AAAAAF3Pv1M=")</f>
        <v>#VALUE!</v>
      </c>
      <c r="CG108" t="e">
        <f>AND(tecantrop!O7,"AAAAAF3Pv1Q=")</f>
        <v>#VALUE!</v>
      </c>
      <c r="CH108" t="e">
        <f>AND(tecantrop!P7,"AAAAAF3Pv1U=")</f>
        <v>#VALUE!</v>
      </c>
      <c r="CI108" t="e">
        <f>AND(tecantrop!Q7,"AAAAAF3Pv1Y=")</f>
        <v>#VALUE!</v>
      </c>
      <c r="CJ108" t="e">
        <f>AND(tecantrop!R7,"AAAAAF3Pv1c=")</f>
        <v>#VALUE!</v>
      </c>
      <c r="CK108" t="e">
        <f>AND(tecantrop!S7,"AAAAAF3Pv1g=")</f>
        <v>#VALUE!</v>
      </c>
      <c r="CL108" t="e">
        <f>AND(tecantrop!T7,"AAAAAF3Pv1k=")</f>
        <v>#VALUE!</v>
      </c>
      <c r="CM108" t="e">
        <f>AND(tecantrop!U7,"AAAAAF3Pv1o=")</f>
        <v>#VALUE!</v>
      </c>
      <c r="CN108" t="e">
        <f>AND(tecantrop!V7,"AAAAAF3Pv1s=")</f>
        <v>#VALUE!</v>
      </c>
      <c r="CO108" t="e">
        <f>AND(tecantrop!W7,"AAAAAF3Pv1w=")</f>
        <v>#VALUE!</v>
      </c>
      <c r="CP108" t="e">
        <f>AND(tecantrop!X7,"AAAAAF3Pv10=")</f>
        <v>#VALUE!</v>
      </c>
      <c r="CQ108">
        <f>IF(tecantrop!8:8,"AAAAAF3Pv14=",0)</f>
        <v>0</v>
      </c>
      <c r="CR108" t="e">
        <f>AND(tecantrop!A8,"AAAAAF3Pv18=")</f>
        <v>#VALUE!</v>
      </c>
      <c r="CS108" t="e">
        <f>AND(tecantrop!B8,"AAAAAF3Pv2A=")</f>
        <v>#VALUE!</v>
      </c>
      <c r="CT108" t="e">
        <f>AND(tecantrop!C8,"AAAAAF3Pv2E=")</f>
        <v>#VALUE!</v>
      </c>
      <c r="CU108" t="e">
        <f>AND(tecantrop!D8,"AAAAAF3Pv2I=")</f>
        <v>#VALUE!</v>
      </c>
      <c r="CV108" t="e">
        <f>AND(tecantrop!E8,"AAAAAF3Pv2M=")</f>
        <v>#VALUE!</v>
      </c>
      <c r="CW108" t="e">
        <f>AND(tecantrop!F8,"AAAAAF3Pv2Q=")</f>
        <v>#VALUE!</v>
      </c>
      <c r="CX108" t="e">
        <f>AND(tecantrop!G8,"AAAAAF3Pv2U=")</f>
        <v>#VALUE!</v>
      </c>
      <c r="CY108" t="e">
        <f>AND(tecantrop!H8,"AAAAAF3Pv2Y=")</f>
        <v>#VALUE!</v>
      </c>
      <c r="CZ108" t="e">
        <f>AND(tecantrop!I8,"AAAAAF3Pv2c=")</f>
        <v>#VALUE!</v>
      </c>
      <c r="DA108" t="e">
        <f>AND(tecantrop!J8,"AAAAAF3Pv2g=")</f>
        <v>#VALUE!</v>
      </c>
      <c r="DB108" t="e">
        <f>AND(tecantrop!K8,"AAAAAF3Pv2k=")</f>
        <v>#VALUE!</v>
      </c>
      <c r="DC108" t="e">
        <f>AND(tecantrop!L8,"AAAAAF3Pv2o=")</f>
        <v>#VALUE!</v>
      </c>
      <c r="DD108" t="e">
        <f>AND(tecantrop!M8,"AAAAAF3Pv2s=")</f>
        <v>#VALUE!</v>
      </c>
      <c r="DE108" t="e">
        <f>AND(tecantrop!N8,"AAAAAF3Pv2w=")</f>
        <v>#VALUE!</v>
      </c>
      <c r="DF108" t="e">
        <f>AND(tecantrop!O8,"AAAAAF3Pv20=")</f>
        <v>#VALUE!</v>
      </c>
      <c r="DG108" t="e">
        <f>AND(tecantrop!P8,"AAAAAF3Pv24=")</f>
        <v>#VALUE!</v>
      </c>
      <c r="DH108" t="e">
        <f>AND(tecantrop!Q8,"AAAAAF3Pv28=")</f>
        <v>#VALUE!</v>
      </c>
      <c r="DI108" t="e">
        <f>AND(tecantrop!R8,"AAAAAF3Pv3A=")</f>
        <v>#VALUE!</v>
      </c>
      <c r="DJ108" t="e">
        <f>AND(tecantrop!S8,"AAAAAF3Pv3E=")</f>
        <v>#VALUE!</v>
      </c>
      <c r="DK108" t="e">
        <f>AND(tecantrop!T8,"AAAAAF3Pv3I=")</f>
        <v>#VALUE!</v>
      </c>
      <c r="DL108" t="e">
        <f>AND(tecantrop!U8,"AAAAAF3Pv3M=")</f>
        <v>#VALUE!</v>
      </c>
      <c r="DM108" t="e">
        <f>AND(tecantrop!V8,"AAAAAF3Pv3Q=")</f>
        <v>#VALUE!</v>
      </c>
      <c r="DN108" t="e">
        <f>AND(tecantrop!W8,"AAAAAF3Pv3U=")</f>
        <v>#VALUE!</v>
      </c>
      <c r="DO108" t="e">
        <f>AND(tecantrop!X8,"AAAAAF3Pv3Y=")</f>
        <v>#VALUE!</v>
      </c>
      <c r="DP108">
        <f>IF(tecantrop!9:9,"AAAAAF3Pv3c=",0)</f>
        <v>0</v>
      </c>
      <c r="DQ108" t="e">
        <f>AND(tecantrop!A9,"AAAAAF3Pv3g=")</f>
        <v>#VALUE!</v>
      </c>
      <c r="DR108" t="e">
        <f>AND(tecantrop!B9,"AAAAAF3Pv3k=")</f>
        <v>#VALUE!</v>
      </c>
      <c r="DS108" t="e">
        <f>AND(tecantrop!C9,"AAAAAF3Pv3o=")</f>
        <v>#VALUE!</v>
      </c>
      <c r="DT108" t="e">
        <f>AND(tecantrop!D9,"AAAAAF3Pv3s=")</f>
        <v>#VALUE!</v>
      </c>
      <c r="DU108" t="e">
        <f>AND(tecantrop!E9,"AAAAAF3Pv3w=")</f>
        <v>#VALUE!</v>
      </c>
      <c r="DV108" t="e">
        <f>AND(tecantrop!F9,"AAAAAF3Pv30=")</f>
        <v>#VALUE!</v>
      </c>
      <c r="DW108" t="e">
        <f>AND(tecantrop!G9,"AAAAAF3Pv34=")</f>
        <v>#VALUE!</v>
      </c>
      <c r="DX108" t="e">
        <f>AND(tecantrop!H9,"AAAAAF3Pv38=")</f>
        <v>#VALUE!</v>
      </c>
      <c r="DY108" t="e">
        <f>AND(tecantrop!I9,"AAAAAF3Pv4A=")</f>
        <v>#VALUE!</v>
      </c>
      <c r="DZ108" t="e">
        <f>AND(tecantrop!J9,"AAAAAF3Pv4E=")</f>
        <v>#VALUE!</v>
      </c>
      <c r="EA108" t="e">
        <f>AND(tecantrop!K9,"AAAAAF3Pv4I=")</f>
        <v>#VALUE!</v>
      </c>
      <c r="EB108" t="e">
        <f>AND(tecantrop!L9,"AAAAAF3Pv4M=")</f>
        <v>#VALUE!</v>
      </c>
      <c r="EC108" t="e">
        <f>AND(tecantrop!M9,"AAAAAF3Pv4Q=")</f>
        <v>#VALUE!</v>
      </c>
      <c r="ED108" t="e">
        <f>AND(tecantrop!N9,"AAAAAF3Pv4U=")</f>
        <v>#VALUE!</v>
      </c>
      <c r="EE108" t="e">
        <f>AND(tecantrop!O9,"AAAAAF3Pv4Y=")</f>
        <v>#VALUE!</v>
      </c>
      <c r="EF108" t="e">
        <f>AND(tecantrop!P9,"AAAAAF3Pv4c=")</f>
        <v>#VALUE!</v>
      </c>
      <c r="EG108" t="e">
        <f>AND(tecantrop!Q9,"AAAAAF3Pv4g=")</f>
        <v>#VALUE!</v>
      </c>
      <c r="EH108" t="e">
        <f>AND(tecantrop!R9,"AAAAAF3Pv4k=")</f>
        <v>#VALUE!</v>
      </c>
      <c r="EI108" t="e">
        <f>AND(tecantrop!S9,"AAAAAF3Pv4o=")</f>
        <v>#VALUE!</v>
      </c>
      <c r="EJ108" t="e">
        <f>AND(tecantrop!T9,"AAAAAF3Pv4s=")</f>
        <v>#VALUE!</v>
      </c>
      <c r="EK108" t="e">
        <f>AND(tecantrop!U9,"AAAAAF3Pv4w=")</f>
        <v>#VALUE!</v>
      </c>
      <c r="EL108" t="e">
        <f>AND(tecantrop!V9,"AAAAAF3Pv40=")</f>
        <v>#VALUE!</v>
      </c>
      <c r="EM108" t="e">
        <f>AND(tecantrop!W9,"AAAAAF3Pv44=")</f>
        <v>#VALUE!</v>
      </c>
      <c r="EN108" t="e">
        <f>AND(tecantrop!X9,"AAAAAF3Pv48=")</f>
        <v>#VALUE!</v>
      </c>
      <c r="EO108">
        <f>IF(tecantrop!10:10,"AAAAAF3Pv5A=",0)</f>
        <v>0</v>
      </c>
      <c r="EP108" t="e">
        <f>AND(tecantrop!A10,"AAAAAF3Pv5E=")</f>
        <v>#VALUE!</v>
      </c>
      <c r="EQ108" t="e">
        <f>AND(tecantrop!B10,"AAAAAF3Pv5I=")</f>
        <v>#VALUE!</v>
      </c>
      <c r="ER108" t="e">
        <f>AND(tecantrop!C10,"AAAAAF3Pv5M=")</f>
        <v>#VALUE!</v>
      </c>
      <c r="ES108" t="e">
        <f>AND(tecantrop!D10,"AAAAAF3Pv5Q=")</f>
        <v>#VALUE!</v>
      </c>
      <c r="ET108" t="e">
        <f>AND(tecantrop!E10,"AAAAAF3Pv5U=")</f>
        <v>#VALUE!</v>
      </c>
      <c r="EU108" t="e">
        <f>AND(tecantrop!F10,"AAAAAF3Pv5Y=")</f>
        <v>#VALUE!</v>
      </c>
      <c r="EV108" t="e">
        <f>AND(tecantrop!G10,"AAAAAF3Pv5c=")</f>
        <v>#VALUE!</v>
      </c>
      <c r="EW108" t="e">
        <f>AND(tecantrop!H10,"AAAAAF3Pv5g=")</f>
        <v>#VALUE!</v>
      </c>
      <c r="EX108" t="e">
        <f>AND(tecantrop!I10,"AAAAAF3Pv5k=")</f>
        <v>#VALUE!</v>
      </c>
      <c r="EY108" t="e">
        <f>AND(tecantrop!J10,"AAAAAF3Pv5o=")</f>
        <v>#VALUE!</v>
      </c>
      <c r="EZ108" t="e">
        <f>AND(tecantrop!K10,"AAAAAF3Pv5s=")</f>
        <v>#VALUE!</v>
      </c>
      <c r="FA108" t="e">
        <f>AND(tecantrop!L10,"AAAAAF3Pv5w=")</f>
        <v>#VALUE!</v>
      </c>
      <c r="FB108" t="e">
        <f>AND(tecantrop!M10,"AAAAAF3Pv50=")</f>
        <v>#VALUE!</v>
      </c>
      <c r="FC108" t="e">
        <f>AND(tecantrop!N10,"AAAAAF3Pv54=")</f>
        <v>#VALUE!</v>
      </c>
      <c r="FD108" t="e">
        <f>AND(tecantrop!O10,"AAAAAF3Pv58=")</f>
        <v>#VALUE!</v>
      </c>
      <c r="FE108" t="e">
        <f>AND(tecantrop!P10,"AAAAAF3Pv6A=")</f>
        <v>#VALUE!</v>
      </c>
      <c r="FF108" t="e">
        <f>AND(tecantrop!Q10,"AAAAAF3Pv6E=")</f>
        <v>#VALUE!</v>
      </c>
      <c r="FG108" t="e">
        <f>AND(tecantrop!R10,"AAAAAF3Pv6I=")</f>
        <v>#VALUE!</v>
      </c>
      <c r="FH108" t="e">
        <f>AND(tecantrop!S10,"AAAAAF3Pv6M=")</f>
        <v>#VALUE!</v>
      </c>
      <c r="FI108" t="e">
        <f>AND(tecantrop!T10,"AAAAAF3Pv6Q=")</f>
        <v>#VALUE!</v>
      </c>
      <c r="FJ108" t="e">
        <f>AND(tecantrop!U10,"AAAAAF3Pv6U=")</f>
        <v>#VALUE!</v>
      </c>
      <c r="FK108" t="e">
        <f>AND(tecantrop!V10,"AAAAAF3Pv6Y=")</f>
        <v>#VALUE!</v>
      </c>
      <c r="FL108" t="e">
        <f>AND(tecantrop!W10,"AAAAAF3Pv6c=")</f>
        <v>#VALUE!</v>
      </c>
      <c r="FM108" t="e">
        <f>AND(tecantrop!X10,"AAAAAF3Pv6g=")</f>
        <v>#VALUE!</v>
      </c>
      <c r="FN108">
        <f>IF(tecantrop!11:11,"AAAAAF3Pv6k=",0)</f>
        <v>0</v>
      </c>
      <c r="FO108" t="e">
        <f>AND(tecantrop!A11,"AAAAAF3Pv6o=")</f>
        <v>#VALUE!</v>
      </c>
      <c r="FP108" t="e">
        <f>AND(tecantrop!B11,"AAAAAF3Pv6s=")</f>
        <v>#VALUE!</v>
      </c>
      <c r="FQ108" t="e">
        <f>AND(tecantrop!C11,"AAAAAF3Pv6w=")</f>
        <v>#VALUE!</v>
      </c>
      <c r="FR108" t="e">
        <f>AND(tecantrop!D11,"AAAAAF3Pv60=")</f>
        <v>#VALUE!</v>
      </c>
      <c r="FS108" t="e">
        <f>AND(tecantrop!E11,"AAAAAF3Pv64=")</f>
        <v>#VALUE!</v>
      </c>
      <c r="FT108" t="e">
        <f>AND(tecantrop!F11,"AAAAAF3Pv68=")</f>
        <v>#VALUE!</v>
      </c>
      <c r="FU108" t="e">
        <f>AND(tecantrop!G11,"AAAAAF3Pv7A=")</f>
        <v>#VALUE!</v>
      </c>
      <c r="FV108" t="e">
        <f>AND(tecantrop!H11,"AAAAAF3Pv7E=")</f>
        <v>#VALUE!</v>
      </c>
      <c r="FW108" t="e">
        <f>AND(tecantrop!I11,"AAAAAF3Pv7I=")</f>
        <v>#VALUE!</v>
      </c>
      <c r="FX108" t="e">
        <f>AND(tecantrop!J11,"AAAAAF3Pv7M=")</f>
        <v>#VALUE!</v>
      </c>
      <c r="FY108" t="e">
        <f>AND(tecantrop!K11,"AAAAAF3Pv7Q=")</f>
        <v>#VALUE!</v>
      </c>
      <c r="FZ108" t="e">
        <f>AND(tecantrop!L11,"AAAAAF3Pv7U=")</f>
        <v>#VALUE!</v>
      </c>
      <c r="GA108" t="e">
        <f>AND(tecantrop!M11,"AAAAAF3Pv7Y=")</f>
        <v>#VALUE!</v>
      </c>
      <c r="GB108" t="e">
        <f>AND(tecantrop!N11,"AAAAAF3Pv7c=")</f>
        <v>#VALUE!</v>
      </c>
      <c r="GC108" t="e">
        <f>AND(tecantrop!O11,"AAAAAF3Pv7g=")</f>
        <v>#VALUE!</v>
      </c>
      <c r="GD108" t="e">
        <f>AND(tecantrop!P11,"AAAAAF3Pv7k=")</f>
        <v>#VALUE!</v>
      </c>
      <c r="GE108" t="e">
        <f>AND(tecantrop!Q11,"AAAAAF3Pv7o=")</f>
        <v>#VALUE!</v>
      </c>
      <c r="GF108" t="e">
        <f>AND(tecantrop!R11,"AAAAAF3Pv7s=")</f>
        <v>#VALUE!</v>
      </c>
      <c r="GG108" t="e">
        <f>AND(tecantrop!S11,"AAAAAF3Pv7w=")</f>
        <v>#VALUE!</v>
      </c>
      <c r="GH108" t="e">
        <f>AND(tecantrop!T11,"AAAAAF3Pv70=")</f>
        <v>#VALUE!</v>
      </c>
      <c r="GI108" t="e">
        <f>AND(tecantrop!U11,"AAAAAF3Pv74=")</f>
        <v>#VALUE!</v>
      </c>
      <c r="GJ108" t="e">
        <f>AND(tecantrop!V11,"AAAAAF3Pv78=")</f>
        <v>#VALUE!</v>
      </c>
      <c r="GK108" t="e">
        <f>AND(tecantrop!W11,"AAAAAF3Pv8A=")</f>
        <v>#VALUE!</v>
      </c>
      <c r="GL108" t="e">
        <f>AND(tecantrop!X11,"AAAAAF3Pv8E=")</f>
        <v>#VALUE!</v>
      </c>
      <c r="GM108">
        <f>IF(tecantrop!12:12,"AAAAAF3Pv8I=",0)</f>
        <v>0</v>
      </c>
      <c r="GN108" t="e">
        <f>AND(tecantrop!A12,"AAAAAF3Pv8M=")</f>
        <v>#VALUE!</v>
      </c>
      <c r="GO108" t="e">
        <f>AND(tecantrop!B12,"AAAAAF3Pv8Q=")</f>
        <v>#VALUE!</v>
      </c>
      <c r="GP108" t="e">
        <f>AND(tecantrop!C12,"AAAAAF3Pv8U=")</f>
        <v>#VALUE!</v>
      </c>
      <c r="GQ108" t="e">
        <f>AND(tecantrop!D12,"AAAAAF3Pv8Y=")</f>
        <v>#VALUE!</v>
      </c>
      <c r="GR108" t="e">
        <f>AND(tecantrop!E12,"AAAAAF3Pv8c=")</f>
        <v>#VALUE!</v>
      </c>
      <c r="GS108" t="e">
        <f>AND(tecantrop!F12,"AAAAAF3Pv8g=")</f>
        <v>#VALUE!</v>
      </c>
      <c r="GT108" t="e">
        <f>AND(tecantrop!G12,"AAAAAF3Pv8k=")</f>
        <v>#VALUE!</v>
      </c>
      <c r="GU108" t="e">
        <f>AND(tecantrop!H12,"AAAAAF3Pv8o=")</f>
        <v>#VALUE!</v>
      </c>
      <c r="GV108" t="e">
        <f>AND(tecantrop!I12,"AAAAAF3Pv8s=")</f>
        <v>#VALUE!</v>
      </c>
      <c r="GW108" t="e">
        <f>AND(tecantrop!J12,"AAAAAF3Pv8w=")</f>
        <v>#VALUE!</v>
      </c>
      <c r="GX108" t="e">
        <f>AND(tecantrop!K12,"AAAAAF3Pv80=")</f>
        <v>#VALUE!</v>
      </c>
      <c r="GY108" t="e">
        <f>AND(tecantrop!L12,"AAAAAF3Pv84=")</f>
        <v>#VALUE!</v>
      </c>
      <c r="GZ108" t="e">
        <f>AND(tecantrop!M12,"AAAAAF3Pv88=")</f>
        <v>#VALUE!</v>
      </c>
      <c r="HA108" t="e">
        <f>AND(tecantrop!N12,"AAAAAF3Pv9A=")</f>
        <v>#VALUE!</v>
      </c>
      <c r="HB108" t="e">
        <f>AND(tecantrop!O12,"AAAAAF3Pv9E=")</f>
        <v>#VALUE!</v>
      </c>
      <c r="HC108" t="e">
        <f>AND(tecantrop!P12,"AAAAAF3Pv9I=")</f>
        <v>#VALUE!</v>
      </c>
      <c r="HD108" t="e">
        <f>AND(tecantrop!Q12,"AAAAAF3Pv9M=")</f>
        <v>#VALUE!</v>
      </c>
      <c r="HE108" t="e">
        <f>AND(tecantrop!R12,"AAAAAF3Pv9Q=")</f>
        <v>#VALUE!</v>
      </c>
      <c r="HF108" t="e">
        <f>AND(tecantrop!S12,"AAAAAF3Pv9U=")</f>
        <v>#VALUE!</v>
      </c>
      <c r="HG108" t="e">
        <f>AND(tecantrop!T12,"AAAAAF3Pv9Y=")</f>
        <v>#VALUE!</v>
      </c>
      <c r="HH108" t="e">
        <f>AND(tecantrop!U12,"AAAAAF3Pv9c=")</f>
        <v>#VALUE!</v>
      </c>
      <c r="HI108" t="e">
        <f>AND(tecantrop!V12,"AAAAAF3Pv9g=")</f>
        <v>#VALUE!</v>
      </c>
      <c r="HJ108" t="e">
        <f>AND(tecantrop!W12,"AAAAAF3Pv9k=")</f>
        <v>#VALUE!</v>
      </c>
      <c r="HK108" t="e">
        <f>AND(tecantrop!X12,"AAAAAF3Pv9o=")</f>
        <v>#VALUE!</v>
      </c>
      <c r="HL108">
        <f>IF(tecantrop!13:13,"AAAAAF3Pv9s=",0)</f>
        <v>0</v>
      </c>
      <c r="HM108" t="e">
        <f>AND(tecantrop!A13,"AAAAAF3Pv9w=")</f>
        <v>#VALUE!</v>
      </c>
      <c r="HN108" t="e">
        <f>AND(tecantrop!B13,"AAAAAF3Pv90=")</f>
        <v>#VALUE!</v>
      </c>
      <c r="HO108" t="e">
        <f>AND(tecantrop!C13,"AAAAAF3Pv94=")</f>
        <v>#VALUE!</v>
      </c>
      <c r="HP108" t="e">
        <f>AND(tecantrop!D13,"AAAAAF3Pv98=")</f>
        <v>#VALUE!</v>
      </c>
      <c r="HQ108" t="e">
        <f>AND(tecantrop!E13,"AAAAAF3Pv+A=")</f>
        <v>#VALUE!</v>
      </c>
      <c r="HR108" t="e">
        <f>AND(tecantrop!F13,"AAAAAF3Pv+E=")</f>
        <v>#VALUE!</v>
      </c>
      <c r="HS108" t="e">
        <f>AND(tecantrop!G13,"AAAAAF3Pv+I=")</f>
        <v>#VALUE!</v>
      </c>
      <c r="HT108" t="e">
        <f>AND(tecantrop!H13,"AAAAAF3Pv+M=")</f>
        <v>#VALUE!</v>
      </c>
      <c r="HU108" t="e">
        <f>AND(tecantrop!I13,"AAAAAF3Pv+Q=")</f>
        <v>#VALUE!</v>
      </c>
      <c r="HV108" t="e">
        <f>AND(tecantrop!J13,"AAAAAF3Pv+U=")</f>
        <v>#VALUE!</v>
      </c>
      <c r="HW108" t="e">
        <f>AND(tecantrop!K13,"AAAAAF3Pv+Y=")</f>
        <v>#VALUE!</v>
      </c>
      <c r="HX108" t="e">
        <f>AND(tecantrop!L13,"AAAAAF3Pv+c=")</f>
        <v>#VALUE!</v>
      </c>
      <c r="HY108" t="e">
        <f>AND(tecantrop!M13,"AAAAAF3Pv+g=")</f>
        <v>#VALUE!</v>
      </c>
      <c r="HZ108" t="e">
        <f>AND(tecantrop!N13,"AAAAAF3Pv+k=")</f>
        <v>#VALUE!</v>
      </c>
      <c r="IA108" t="e">
        <f>AND(tecantrop!O13,"AAAAAF3Pv+o=")</f>
        <v>#VALUE!</v>
      </c>
      <c r="IB108" t="e">
        <f>AND(tecantrop!P13,"AAAAAF3Pv+s=")</f>
        <v>#VALUE!</v>
      </c>
      <c r="IC108" t="e">
        <f>AND(tecantrop!Q13,"AAAAAF3Pv+w=")</f>
        <v>#VALUE!</v>
      </c>
      <c r="ID108" t="e">
        <f>AND(tecantrop!R13,"AAAAAF3Pv+0=")</f>
        <v>#VALUE!</v>
      </c>
      <c r="IE108" t="e">
        <f>AND(tecantrop!S13,"AAAAAF3Pv+4=")</f>
        <v>#VALUE!</v>
      </c>
      <c r="IF108" t="e">
        <f>AND(tecantrop!T13,"AAAAAF3Pv+8=")</f>
        <v>#VALUE!</v>
      </c>
      <c r="IG108" t="e">
        <f>AND(tecantrop!U13,"AAAAAF3Pv/A=")</f>
        <v>#VALUE!</v>
      </c>
      <c r="IH108" t="e">
        <f>AND(tecantrop!V13,"AAAAAF3Pv/E=")</f>
        <v>#VALUE!</v>
      </c>
      <c r="II108" t="e">
        <f>AND(tecantrop!W13,"AAAAAF3Pv/I=")</f>
        <v>#VALUE!</v>
      </c>
      <c r="IJ108" t="e">
        <f>AND(tecantrop!X13,"AAAAAF3Pv/M=")</f>
        <v>#VALUE!</v>
      </c>
      <c r="IK108">
        <f>IF(tecantrop!14:14,"AAAAAF3Pv/Q=",0)</f>
        <v>0</v>
      </c>
      <c r="IL108" t="e">
        <f>AND(tecantrop!A14,"AAAAAF3Pv/U=")</f>
        <v>#VALUE!</v>
      </c>
      <c r="IM108" t="e">
        <f>AND(tecantrop!B14,"AAAAAF3Pv/Y=")</f>
        <v>#VALUE!</v>
      </c>
      <c r="IN108" t="e">
        <f>AND(tecantrop!C14,"AAAAAF3Pv/c=")</f>
        <v>#VALUE!</v>
      </c>
      <c r="IO108" t="e">
        <f>AND(tecantrop!D14,"AAAAAF3Pv/g=")</f>
        <v>#VALUE!</v>
      </c>
      <c r="IP108" t="e">
        <f>AND(tecantrop!E14,"AAAAAF3Pv/k=")</f>
        <v>#VALUE!</v>
      </c>
      <c r="IQ108" t="e">
        <f>AND(tecantrop!F14,"AAAAAF3Pv/o=")</f>
        <v>#VALUE!</v>
      </c>
      <c r="IR108" t="e">
        <f>AND(tecantrop!G14,"AAAAAF3Pv/s=")</f>
        <v>#VALUE!</v>
      </c>
      <c r="IS108" t="e">
        <f>AND(tecantrop!H14,"AAAAAF3Pv/w=")</f>
        <v>#VALUE!</v>
      </c>
      <c r="IT108" t="e">
        <f>AND(tecantrop!I14,"AAAAAF3Pv/0=")</f>
        <v>#VALUE!</v>
      </c>
      <c r="IU108" t="e">
        <f>AND(tecantrop!J14,"AAAAAF3Pv/4=")</f>
        <v>#VALUE!</v>
      </c>
      <c r="IV108" t="e">
        <f>AND(tecantrop!K14,"AAAAAF3Pv/8=")</f>
        <v>#VALUE!</v>
      </c>
    </row>
    <row r="109" spans="1:256" x14ac:dyDescent="0.2">
      <c r="A109" t="e">
        <f>AND(tecantrop!L14,"AAAAAEp17QA=")</f>
        <v>#VALUE!</v>
      </c>
      <c r="B109" t="e">
        <f>AND(tecantrop!M14,"AAAAAEp17QE=")</f>
        <v>#VALUE!</v>
      </c>
      <c r="C109" t="e">
        <f>AND(tecantrop!N14,"AAAAAEp17QI=")</f>
        <v>#VALUE!</v>
      </c>
      <c r="D109" t="e">
        <f>AND(tecantrop!O14,"AAAAAEp17QM=")</f>
        <v>#VALUE!</v>
      </c>
      <c r="E109" t="e">
        <f>AND(tecantrop!P14,"AAAAAEp17QQ=")</f>
        <v>#VALUE!</v>
      </c>
      <c r="F109" t="e">
        <f>AND(tecantrop!Q14,"AAAAAEp17QU=")</f>
        <v>#VALUE!</v>
      </c>
      <c r="G109" t="e">
        <f>AND(tecantrop!R14,"AAAAAEp17QY=")</f>
        <v>#VALUE!</v>
      </c>
      <c r="H109" t="e">
        <f>AND(tecantrop!S14,"AAAAAEp17Qc=")</f>
        <v>#VALUE!</v>
      </c>
      <c r="I109" t="e">
        <f>AND(tecantrop!T14,"AAAAAEp17Qg=")</f>
        <v>#VALUE!</v>
      </c>
      <c r="J109" t="e">
        <f>AND(tecantrop!U14,"AAAAAEp17Qk=")</f>
        <v>#VALUE!</v>
      </c>
      <c r="K109" t="e">
        <f>AND(tecantrop!V14,"AAAAAEp17Qo=")</f>
        <v>#VALUE!</v>
      </c>
      <c r="L109" t="e">
        <f>AND(tecantrop!W14,"AAAAAEp17Qs=")</f>
        <v>#VALUE!</v>
      </c>
      <c r="M109" t="e">
        <f>AND(tecantrop!X14,"AAAAAEp17Qw=")</f>
        <v>#VALUE!</v>
      </c>
      <c r="N109">
        <f>IF(tecantrop!15:15,"AAAAAEp17Q0=",0)</f>
        <v>0</v>
      </c>
      <c r="O109" t="e">
        <f>AND(tecantrop!A15,"AAAAAEp17Q4=")</f>
        <v>#VALUE!</v>
      </c>
      <c r="P109" t="e">
        <f>AND(tecantrop!B15,"AAAAAEp17Q8=")</f>
        <v>#VALUE!</v>
      </c>
      <c r="Q109" t="e">
        <f>AND(tecantrop!C15,"AAAAAEp17RA=")</f>
        <v>#VALUE!</v>
      </c>
      <c r="R109" t="e">
        <f>AND(tecantrop!D15,"AAAAAEp17RE=")</f>
        <v>#VALUE!</v>
      </c>
      <c r="S109" t="e">
        <f>AND(tecantrop!E15,"AAAAAEp17RI=")</f>
        <v>#VALUE!</v>
      </c>
      <c r="T109" t="e">
        <f>AND(tecantrop!F15,"AAAAAEp17RM=")</f>
        <v>#VALUE!</v>
      </c>
      <c r="U109" t="e">
        <f>AND(tecantrop!G15,"AAAAAEp17RQ=")</f>
        <v>#VALUE!</v>
      </c>
      <c r="V109" t="e">
        <f>AND(tecantrop!H15,"AAAAAEp17RU=")</f>
        <v>#VALUE!</v>
      </c>
      <c r="W109" t="e">
        <f>AND(tecantrop!I15,"AAAAAEp17RY=")</f>
        <v>#VALUE!</v>
      </c>
      <c r="X109" t="e">
        <f>AND(tecantrop!J15,"AAAAAEp17Rc=")</f>
        <v>#VALUE!</v>
      </c>
      <c r="Y109" t="e">
        <f>AND(tecantrop!K15,"AAAAAEp17Rg=")</f>
        <v>#VALUE!</v>
      </c>
      <c r="Z109" t="e">
        <f>AND(tecantrop!L15,"AAAAAEp17Rk=")</f>
        <v>#VALUE!</v>
      </c>
      <c r="AA109" t="e">
        <f>AND(tecantrop!M15,"AAAAAEp17Ro=")</f>
        <v>#VALUE!</v>
      </c>
      <c r="AB109" t="e">
        <f>AND(tecantrop!N15,"AAAAAEp17Rs=")</f>
        <v>#VALUE!</v>
      </c>
      <c r="AC109" t="e">
        <f>AND(tecantrop!O15,"AAAAAEp17Rw=")</f>
        <v>#VALUE!</v>
      </c>
      <c r="AD109" t="e">
        <f>AND(tecantrop!P15,"AAAAAEp17R0=")</f>
        <v>#VALUE!</v>
      </c>
      <c r="AE109" t="e">
        <f>AND(tecantrop!Q15,"AAAAAEp17R4=")</f>
        <v>#VALUE!</v>
      </c>
      <c r="AF109" t="e">
        <f>AND(tecantrop!R15,"AAAAAEp17R8=")</f>
        <v>#VALUE!</v>
      </c>
      <c r="AG109" t="e">
        <f>AND(tecantrop!S15,"AAAAAEp17SA=")</f>
        <v>#VALUE!</v>
      </c>
      <c r="AH109" t="e">
        <f>AND(tecantrop!T15,"AAAAAEp17SE=")</f>
        <v>#VALUE!</v>
      </c>
      <c r="AI109" t="e">
        <f>AND(tecantrop!U15,"AAAAAEp17SI=")</f>
        <v>#VALUE!</v>
      </c>
      <c r="AJ109" t="e">
        <f>AND(tecantrop!V15,"AAAAAEp17SM=")</f>
        <v>#VALUE!</v>
      </c>
      <c r="AK109" t="e">
        <f>AND(tecantrop!W15,"AAAAAEp17SQ=")</f>
        <v>#VALUE!</v>
      </c>
      <c r="AL109" t="e">
        <f>AND(tecantrop!X15,"AAAAAEp17SU=")</f>
        <v>#VALUE!</v>
      </c>
      <c r="AM109">
        <f>IF(tecantrop!16:16,"AAAAAEp17SY=",0)</f>
        <v>0</v>
      </c>
      <c r="AN109" t="e">
        <f>AND(tecantrop!A16,"AAAAAEp17Sc=")</f>
        <v>#VALUE!</v>
      </c>
      <c r="AO109" t="e">
        <f>AND(tecantrop!B16,"AAAAAEp17Sg=")</f>
        <v>#VALUE!</v>
      </c>
      <c r="AP109" t="e">
        <f>AND(tecantrop!C16,"AAAAAEp17Sk=")</f>
        <v>#VALUE!</v>
      </c>
      <c r="AQ109" t="e">
        <f>AND(tecantrop!D16,"AAAAAEp17So=")</f>
        <v>#VALUE!</v>
      </c>
      <c r="AR109" t="e">
        <f>AND(tecantrop!E16,"AAAAAEp17Ss=")</f>
        <v>#VALUE!</v>
      </c>
      <c r="AS109" t="e">
        <f>AND(tecantrop!F16,"AAAAAEp17Sw=")</f>
        <v>#VALUE!</v>
      </c>
      <c r="AT109" t="e">
        <f>AND(tecantrop!G16,"AAAAAEp17S0=")</f>
        <v>#VALUE!</v>
      </c>
      <c r="AU109" t="e">
        <f>AND(tecantrop!H16,"AAAAAEp17S4=")</f>
        <v>#VALUE!</v>
      </c>
      <c r="AV109" t="e">
        <f>AND(tecantrop!I16,"AAAAAEp17S8=")</f>
        <v>#VALUE!</v>
      </c>
      <c r="AW109" t="e">
        <f>AND(tecantrop!J16,"AAAAAEp17TA=")</f>
        <v>#VALUE!</v>
      </c>
      <c r="AX109" t="e">
        <f>AND(tecantrop!K16,"AAAAAEp17TE=")</f>
        <v>#VALUE!</v>
      </c>
      <c r="AY109" t="e">
        <f>AND(tecantrop!L16,"AAAAAEp17TI=")</f>
        <v>#VALUE!</v>
      </c>
      <c r="AZ109" t="e">
        <f>AND(tecantrop!M16,"AAAAAEp17TM=")</f>
        <v>#VALUE!</v>
      </c>
      <c r="BA109" t="e">
        <f>AND(tecantrop!N16,"AAAAAEp17TQ=")</f>
        <v>#VALUE!</v>
      </c>
      <c r="BB109" t="e">
        <f>AND(tecantrop!O16,"AAAAAEp17TU=")</f>
        <v>#VALUE!</v>
      </c>
      <c r="BC109" t="e">
        <f>AND(tecantrop!P16,"AAAAAEp17TY=")</f>
        <v>#VALUE!</v>
      </c>
      <c r="BD109" t="e">
        <f>AND(tecantrop!Q16,"AAAAAEp17Tc=")</f>
        <v>#VALUE!</v>
      </c>
      <c r="BE109" t="e">
        <f>AND(tecantrop!R16,"AAAAAEp17Tg=")</f>
        <v>#VALUE!</v>
      </c>
      <c r="BF109" t="e">
        <f>AND(tecantrop!S16,"AAAAAEp17Tk=")</f>
        <v>#VALUE!</v>
      </c>
      <c r="BG109" t="e">
        <f>AND(tecantrop!T16,"AAAAAEp17To=")</f>
        <v>#VALUE!</v>
      </c>
      <c r="BH109" t="e">
        <f>AND(tecantrop!U16,"AAAAAEp17Ts=")</f>
        <v>#VALUE!</v>
      </c>
      <c r="BI109" t="e">
        <f>AND(tecantrop!V16,"AAAAAEp17Tw=")</f>
        <v>#VALUE!</v>
      </c>
      <c r="BJ109" t="e">
        <f>AND(tecantrop!W16,"AAAAAEp17T0=")</f>
        <v>#VALUE!</v>
      </c>
      <c r="BK109" t="e">
        <f>AND(tecantrop!X16,"AAAAAEp17T4=")</f>
        <v>#VALUE!</v>
      </c>
      <c r="BL109">
        <f>IF(tecantrop!17:17,"AAAAAEp17T8=",0)</f>
        <v>0</v>
      </c>
      <c r="BM109" t="e">
        <f>AND(tecantrop!A17,"AAAAAEp17UA=")</f>
        <v>#VALUE!</v>
      </c>
      <c r="BN109" t="e">
        <f>AND(tecantrop!B17,"AAAAAEp17UE=")</f>
        <v>#VALUE!</v>
      </c>
      <c r="BO109" t="e">
        <f>AND(tecantrop!C17,"AAAAAEp17UI=")</f>
        <v>#VALUE!</v>
      </c>
      <c r="BP109" t="e">
        <f>AND(tecantrop!D17,"AAAAAEp17UM=")</f>
        <v>#VALUE!</v>
      </c>
      <c r="BQ109" t="e">
        <f>AND(tecantrop!E17,"AAAAAEp17UQ=")</f>
        <v>#VALUE!</v>
      </c>
      <c r="BR109" t="e">
        <f>AND(tecantrop!F17,"AAAAAEp17UU=")</f>
        <v>#VALUE!</v>
      </c>
      <c r="BS109" t="e">
        <f>AND(tecantrop!G17,"AAAAAEp17UY=")</f>
        <v>#VALUE!</v>
      </c>
      <c r="BT109" t="e">
        <f>AND(tecantrop!H17,"AAAAAEp17Uc=")</f>
        <v>#VALUE!</v>
      </c>
      <c r="BU109" t="e">
        <f>AND(tecantrop!I17,"AAAAAEp17Ug=")</f>
        <v>#VALUE!</v>
      </c>
      <c r="BV109" t="e">
        <f>AND(tecantrop!J17,"AAAAAEp17Uk=")</f>
        <v>#VALUE!</v>
      </c>
      <c r="BW109" t="e">
        <f>AND(tecantrop!K17,"AAAAAEp17Uo=")</f>
        <v>#VALUE!</v>
      </c>
      <c r="BX109" t="e">
        <f>AND(tecantrop!L17,"AAAAAEp17Us=")</f>
        <v>#VALUE!</v>
      </c>
      <c r="BY109" t="e">
        <f>AND(tecantrop!M17,"AAAAAEp17Uw=")</f>
        <v>#VALUE!</v>
      </c>
      <c r="BZ109" t="e">
        <f>AND(tecantrop!N17,"AAAAAEp17U0=")</f>
        <v>#VALUE!</v>
      </c>
      <c r="CA109" t="e">
        <f>AND(tecantrop!O17,"AAAAAEp17U4=")</f>
        <v>#VALUE!</v>
      </c>
      <c r="CB109" t="e">
        <f>AND(tecantrop!P17,"AAAAAEp17U8=")</f>
        <v>#VALUE!</v>
      </c>
      <c r="CC109" t="e">
        <f>AND(tecantrop!Q17,"AAAAAEp17VA=")</f>
        <v>#VALUE!</v>
      </c>
      <c r="CD109" t="e">
        <f>AND(tecantrop!R17,"AAAAAEp17VE=")</f>
        <v>#VALUE!</v>
      </c>
      <c r="CE109" t="e">
        <f>AND(tecantrop!S17,"AAAAAEp17VI=")</f>
        <v>#VALUE!</v>
      </c>
      <c r="CF109" t="e">
        <f>AND(tecantrop!T17,"AAAAAEp17VM=")</f>
        <v>#VALUE!</v>
      </c>
      <c r="CG109" t="e">
        <f>AND(tecantrop!U17,"AAAAAEp17VQ=")</f>
        <v>#VALUE!</v>
      </c>
      <c r="CH109" t="e">
        <f>AND(tecantrop!V17,"AAAAAEp17VU=")</f>
        <v>#VALUE!</v>
      </c>
      <c r="CI109" t="e">
        <f>AND(tecantrop!W17,"AAAAAEp17VY=")</f>
        <v>#VALUE!</v>
      </c>
      <c r="CJ109" t="e">
        <f>AND(tecantrop!X17,"AAAAAEp17Vc=")</f>
        <v>#VALUE!</v>
      </c>
      <c r="CK109">
        <f>IF(tecantrop!18:18,"AAAAAEp17Vg=",0)</f>
        <v>0</v>
      </c>
      <c r="CL109" t="e">
        <f>AND(tecantrop!A18,"AAAAAEp17Vk=")</f>
        <v>#VALUE!</v>
      </c>
      <c r="CM109" t="e">
        <f>AND(tecantrop!B18,"AAAAAEp17Vo=")</f>
        <v>#VALUE!</v>
      </c>
      <c r="CN109" t="e">
        <f>AND(tecantrop!C18,"AAAAAEp17Vs=")</f>
        <v>#VALUE!</v>
      </c>
      <c r="CO109" t="e">
        <f>AND(tecantrop!D18,"AAAAAEp17Vw=")</f>
        <v>#VALUE!</v>
      </c>
      <c r="CP109" t="e">
        <f>AND(tecantrop!E18,"AAAAAEp17V0=")</f>
        <v>#VALUE!</v>
      </c>
      <c r="CQ109" t="e">
        <f>AND(tecantrop!F18,"AAAAAEp17V4=")</f>
        <v>#VALUE!</v>
      </c>
      <c r="CR109" t="e">
        <f>AND(tecantrop!G18,"AAAAAEp17V8=")</f>
        <v>#VALUE!</v>
      </c>
      <c r="CS109" t="e">
        <f>AND(tecantrop!H18,"AAAAAEp17WA=")</f>
        <v>#VALUE!</v>
      </c>
      <c r="CT109" t="e">
        <f>AND(tecantrop!I18,"AAAAAEp17WE=")</f>
        <v>#VALUE!</v>
      </c>
      <c r="CU109" t="e">
        <f>AND(tecantrop!J18,"AAAAAEp17WI=")</f>
        <v>#VALUE!</v>
      </c>
      <c r="CV109" t="e">
        <f>AND(tecantrop!K18,"AAAAAEp17WM=")</f>
        <v>#VALUE!</v>
      </c>
      <c r="CW109" t="e">
        <f>AND(tecantrop!L18,"AAAAAEp17WQ=")</f>
        <v>#VALUE!</v>
      </c>
      <c r="CX109" t="e">
        <f>AND(tecantrop!M18,"AAAAAEp17WU=")</f>
        <v>#VALUE!</v>
      </c>
      <c r="CY109" t="e">
        <f>AND(tecantrop!N18,"AAAAAEp17WY=")</f>
        <v>#VALUE!</v>
      </c>
      <c r="CZ109" t="e">
        <f>AND(tecantrop!O18,"AAAAAEp17Wc=")</f>
        <v>#VALUE!</v>
      </c>
      <c r="DA109" t="e">
        <f>AND(tecantrop!P18,"AAAAAEp17Wg=")</f>
        <v>#VALUE!</v>
      </c>
      <c r="DB109" t="e">
        <f>AND(tecantrop!Q18,"AAAAAEp17Wk=")</f>
        <v>#VALUE!</v>
      </c>
      <c r="DC109" t="e">
        <f>AND(tecantrop!R18,"AAAAAEp17Wo=")</f>
        <v>#VALUE!</v>
      </c>
      <c r="DD109" t="e">
        <f>AND(tecantrop!S18,"AAAAAEp17Ws=")</f>
        <v>#VALUE!</v>
      </c>
      <c r="DE109" t="e">
        <f>AND(tecantrop!T18,"AAAAAEp17Ww=")</f>
        <v>#VALUE!</v>
      </c>
      <c r="DF109" t="e">
        <f>AND(tecantrop!U18,"AAAAAEp17W0=")</f>
        <v>#VALUE!</v>
      </c>
      <c r="DG109" t="e">
        <f>AND(tecantrop!V18,"AAAAAEp17W4=")</f>
        <v>#VALUE!</v>
      </c>
      <c r="DH109" t="e">
        <f>AND(tecantrop!W18,"AAAAAEp17W8=")</f>
        <v>#VALUE!</v>
      </c>
      <c r="DI109" t="e">
        <f>AND(tecantrop!X18,"AAAAAEp17XA=")</f>
        <v>#VALUE!</v>
      </c>
      <c r="DJ109">
        <f>IF(tecantrop!19:19,"AAAAAEp17XE=",0)</f>
        <v>0</v>
      </c>
      <c r="DK109" t="e">
        <f>AND(tecantrop!A19,"AAAAAEp17XI=")</f>
        <v>#VALUE!</v>
      </c>
      <c r="DL109" t="e">
        <f>AND(tecantrop!B19,"AAAAAEp17XM=")</f>
        <v>#VALUE!</v>
      </c>
      <c r="DM109" t="e">
        <f>AND(tecantrop!C19,"AAAAAEp17XQ=")</f>
        <v>#VALUE!</v>
      </c>
      <c r="DN109" t="e">
        <f>AND(tecantrop!D19,"AAAAAEp17XU=")</f>
        <v>#VALUE!</v>
      </c>
      <c r="DO109" t="e">
        <f>AND(tecantrop!E19,"AAAAAEp17XY=")</f>
        <v>#VALUE!</v>
      </c>
      <c r="DP109" t="e">
        <f>AND(tecantrop!F19,"AAAAAEp17Xc=")</f>
        <v>#VALUE!</v>
      </c>
      <c r="DQ109" t="e">
        <f>AND(tecantrop!G19,"AAAAAEp17Xg=")</f>
        <v>#VALUE!</v>
      </c>
      <c r="DR109" t="e">
        <f>AND(tecantrop!H19,"AAAAAEp17Xk=")</f>
        <v>#VALUE!</v>
      </c>
      <c r="DS109" t="e">
        <f>AND(tecantrop!I19,"AAAAAEp17Xo=")</f>
        <v>#VALUE!</v>
      </c>
      <c r="DT109" t="e">
        <f>AND(tecantrop!J19,"AAAAAEp17Xs=")</f>
        <v>#VALUE!</v>
      </c>
      <c r="DU109" t="e">
        <f>AND(tecantrop!K19,"AAAAAEp17Xw=")</f>
        <v>#VALUE!</v>
      </c>
      <c r="DV109" t="e">
        <f>AND(tecantrop!L19,"AAAAAEp17X0=")</f>
        <v>#VALUE!</v>
      </c>
      <c r="DW109" t="e">
        <f>AND(tecantrop!M19,"AAAAAEp17X4=")</f>
        <v>#VALUE!</v>
      </c>
      <c r="DX109" t="e">
        <f>AND(tecantrop!N19,"AAAAAEp17X8=")</f>
        <v>#VALUE!</v>
      </c>
      <c r="DY109" t="e">
        <f>AND(tecantrop!O19,"AAAAAEp17YA=")</f>
        <v>#VALUE!</v>
      </c>
      <c r="DZ109" t="e">
        <f>AND(tecantrop!P19,"AAAAAEp17YE=")</f>
        <v>#VALUE!</v>
      </c>
      <c r="EA109" t="e">
        <f>AND(tecantrop!Q19,"AAAAAEp17YI=")</f>
        <v>#VALUE!</v>
      </c>
      <c r="EB109" t="e">
        <f>AND(tecantrop!R19,"AAAAAEp17YM=")</f>
        <v>#VALUE!</v>
      </c>
      <c r="EC109" t="e">
        <f>AND(tecantrop!S19,"AAAAAEp17YQ=")</f>
        <v>#VALUE!</v>
      </c>
      <c r="ED109" t="e">
        <f>AND(tecantrop!T19,"AAAAAEp17YU=")</f>
        <v>#VALUE!</v>
      </c>
      <c r="EE109" t="e">
        <f>AND(tecantrop!U19,"AAAAAEp17YY=")</f>
        <v>#VALUE!</v>
      </c>
      <c r="EF109" t="e">
        <f>AND(tecantrop!V19,"AAAAAEp17Yc=")</f>
        <v>#VALUE!</v>
      </c>
      <c r="EG109" t="e">
        <f>AND(tecantrop!W19,"AAAAAEp17Yg=")</f>
        <v>#VALUE!</v>
      </c>
      <c r="EH109" t="e">
        <f>AND(tecantrop!X19,"AAAAAEp17Yk=")</f>
        <v>#VALUE!</v>
      </c>
      <c r="EI109">
        <f>IF(tecantrop!20:20,"AAAAAEp17Yo=",0)</f>
        <v>0</v>
      </c>
      <c r="EJ109" t="e">
        <f>AND(tecantrop!A20,"AAAAAEp17Ys=")</f>
        <v>#VALUE!</v>
      </c>
      <c r="EK109" t="e">
        <f>AND(tecantrop!B20,"AAAAAEp17Yw=")</f>
        <v>#VALUE!</v>
      </c>
      <c r="EL109" t="e">
        <f>AND(tecantrop!C20,"AAAAAEp17Y0=")</f>
        <v>#VALUE!</v>
      </c>
      <c r="EM109" t="e">
        <f>AND(tecantrop!D20,"AAAAAEp17Y4=")</f>
        <v>#VALUE!</v>
      </c>
      <c r="EN109" t="e">
        <f>AND(tecantrop!E20,"AAAAAEp17Y8=")</f>
        <v>#VALUE!</v>
      </c>
      <c r="EO109" t="e">
        <f>AND(tecantrop!F20,"AAAAAEp17ZA=")</f>
        <v>#VALUE!</v>
      </c>
      <c r="EP109" t="e">
        <f>AND(tecantrop!G20,"AAAAAEp17ZE=")</f>
        <v>#VALUE!</v>
      </c>
      <c r="EQ109" t="e">
        <f>AND(tecantrop!H20,"AAAAAEp17ZI=")</f>
        <v>#VALUE!</v>
      </c>
      <c r="ER109" t="e">
        <f>AND(tecantrop!I20,"AAAAAEp17ZM=")</f>
        <v>#VALUE!</v>
      </c>
      <c r="ES109" t="e">
        <f>AND(tecantrop!J20,"AAAAAEp17ZQ=")</f>
        <v>#VALUE!</v>
      </c>
      <c r="ET109" t="e">
        <f>AND(tecantrop!K20,"AAAAAEp17ZU=")</f>
        <v>#VALUE!</v>
      </c>
      <c r="EU109" t="e">
        <f>AND(tecantrop!L20,"AAAAAEp17ZY=")</f>
        <v>#VALUE!</v>
      </c>
      <c r="EV109" t="e">
        <f>AND(tecantrop!M20,"AAAAAEp17Zc=")</f>
        <v>#VALUE!</v>
      </c>
      <c r="EW109" t="e">
        <f>AND(tecantrop!N20,"AAAAAEp17Zg=")</f>
        <v>#VALUE!</v>
      </c>
      <c r="EX109" t="e">
        <f>AND(tecantrop!O20,"AAAAAEp17Zk=")</f>
        <v>#VALUE!</v>
      </c>
      <c r="EY109" t="e">
        <f>AND(tecantrop!P20,"AAAAAEp17Zo=")</f>
        <v>#VALUE!</v>
      </c>
      <c r="EZ109" t="e">
        <f>AND(tecantrop!Q20,"AAAAAEp17Zs=")</f>
        <v>#VALUE!</v>
      </c>
      <c r="FA109" t="e">
        <f>AND(tecantrop!R20,"AAAAAEp17Zw=")</f>
        <v>#VALUE!</v>
      </c>
      <c r="FB109" t="e">
        <f>AND(tecantrop!S20,"AAAAAEp17Z0=")</f>
        <v>#VALUE!</v>
      </c>
      <c r="FC109" t="e">
        <f>AND(tecantrop!T20,"AAAAAEp17Z4=")</f>
        <v>#VALUE!</v>
      </c>
      <c r="FD109" t="e">
        <f>AND(tecantrop!U20,"AAAAAEp17Z8=")</f>
        <v>#VALUE!</v>
      </c>
      <c r="FE109" t="e">
        <f>AND(tecantrop!V20,"AAAAAEp17aA=")</f>
        <v>#VALUE!</v>
      </c>
      <c r="FF109" t="e">
        <f>AND(tecantrop!W20,"AAAAAEp17aE=")</f>
        <v>#VALUE!</v>
      </c>
      <c r="FG109" t="e">
        <f>AND(tecantrop!X20,"AAAAAEp17aI=")</f>
        <v>#VALUE!</v>
      </c>
      <c r="FH109">
        <f>IF(tecantrop!21:21,"AAAAAEp17aM=",0)</f>
        <v>0</v>
      </c>
      <c r="FI109" t="e">
        <f>AND(tecantrop!A21,"AAAAAEp17aQ=")</f>
        <v>#VALUE!</v>
      </c>
      <c r="FJ109" t="e">
        <f>AND(tecantrop!B21,"AAAAAEp17aU=")</f>
        <v>#VALUE!</v>
      </c>
      <c r="FK109" t="e">
        <f>AND(tecantrop!C21,"AAAAAEp17aY=")</f>
        <v>#VALUE!</v>
      </c>
      <c r="FL109" t="e">
        <f>AND(tecantrop!D21,"AAAAAEp17ac=")</f>
        <v>#VALUE!</v>
      </c>
      <c r="FM109" t="e">
        <f>AND(tecantrop!E21,"AAAAAEp17ag=")</f>
        <v>#VALUE!</v>
      </c>
      <c r="FN109" t="e">
        <f>AND(tecantrop!F21,"AAAAAEp17ak=")</f>
        <v>#VALUE!</v>
      </c>
      <c r="FO109" t="e">
        <f>AND(tecantrop!G21,"AAAAAEp17ao=")</f>
        <v>#VALUE!</v>
      </c>
      <c r="FP109" t="e">
        <f>AND(tecantrop!H21,"AAAAAEp17as=")</f>
        <v>#VALUE!</v>
      </c>
      <c r="FQ109" t="e">
        <f>AND(tecantrop!I21,"AAAAAEp17aw=")</f>
        <v>#VALUE!</v>
      </c>
      <c r="FR109" t="e">
        <f>AND(tecantrop!J21,"AAAAAEp17a0=")</f>
        <v>#VALUE!</v>
      </c>
      <c r="FS109" t="e">
        <f>AND(tecantrop!K21,"AAAAAEp17a4=")</f>
        <v>#VALUE!</v>
      </c>
      <c r="FT109" t="e">
        <f>AND(tecantrop!L21,"AAAAAEp17a8=")</f>
        <v>#VALUE!</v>
      </c>
      <c r="FU109" t="e">
        <f>AND(tecantrop!M21,"AAAAAEp17bA=")</f>
        <v>#VALUE!</v>
      </c>
      <c r="FV109" t="e">
        <f>AND(tecantrop!N21,"AAAAAEp17bE=")</f>
        <v>#VALUE!</v>
      </c>
      <c r="FW109" t="e">
        <f>AND(tecantrop!O21,"AAAAAEp17bI=")</f>
        <v>#VALUE!</v>
      </c>
      <c r="FX109" t="e">
        <f>AND(tecantrop!P21,"AAAAAEp17bM=")</f>
        <v>#VALUE!</v>
      </c>
      <c r="FY109" t="e">
        <f>AND(tecantrop!Q21,"AAAAAEp17bQ=")</f>
        <v>#VALUE!</v>
      </c>
      <c r="FZ109" t="e">
        <f>AND(tecantrop!R21,"AAAAAEp17bU=")</f>
        <v>#VALUE!</v>
      </c>
      <c r="GA109" t="e">
        <f>AND(tecantrop!S21,"AAAAAEp17bY=")</f>
        <v>#VALUE!</v>
      </c>
      <c r="GB109" t="e">
        <f>AND(tecantrop!T21,"AAAAAEp17bc=")</f>
        <v>#VALUE!</v>
      </c>
      <c r="GC109" t="e">
        <f>AND(tecantrop!U21,"AAAAAEp17bg=")</f>
        <v>#VALUE!</v>
      </c>
      <c r="GD109" t="e">
        <f>AND(tecantrop!V21,"AAAAAEp17bk=")</f>
        <v>#VALUE!</v>
      </c>
      <c r="GE109" t="e">
        <f>AND(tecantrop!W21,"AAAAAEp17bo=")</f>
        <v>#VALUE!</v>
      </c>
      <c r="GF109" t="e">
        <f>AND(tecantrop!X21,"AAAAAEp17bs=")</f>
        <v>#VALUE!</v>
      </c>
      <c r="GG109">
        <f>IF(tecantrop!22:22,"AAAAAEp17bw=",0)</f>
        <v>0</v>
      </c>
      <c r="GH109" t="e">
        <f>AND(tecantrop!A22,"AAAAAEp17b0=")</f>
        <v>#VALUE!</v>
      </c>
      <c r="GI109" t="e">
        <f>AND(tecantrop!B22,"AAAAAEp17b4=")</f>
        <v>#VALUE!</v>
      </c>
      <c r="GJ109" t="e">
        <f>AND(tecantrop!C22,"AAAAAEp17b8=")</f>
        <v>#VALUE!</v>
      </c>
      <c r="GK109" t="e">
        <f>AND(tecantrop!D22,"AAAAAEp17cA=")</f>
        <v>#VALUE!</v>
      </c>
      <c r="GL109" t="e">
        <f>AND(tecantrop!E22,"AAAAAEp17cE=")</f>
        <v>#VALUE!</v>
      </c>
      <c r="GM109" t="e">
        <f>AND(tecantrop!F22,"AAAAAEp17cI=")</f>
        <v>#VALUE!</v>
      </c>
      <c r="GN109" t="e">
        <f>AND(tecantrop!G22,"AAAAAEp17cM=")</f>
        <v>#VALUE!</v>
      </c>
      <c r="GO109" t="e">
        <f>AND(tecantrop!H22,"AAAAAEp17cQ=")</f>
        <v>#VALUE!</v>
      </c>
      <c r="GP109" t="e">
        <f>AND(tecantrop!I22,"AAAAAEp17cU=")</f>
        <v>#VALUE!</v>
      </c>
      <c r="GQ109" t="e">
        <f>AND(tecantrop!J22,"AAAAAEp17cY=")</f>
        <v>#VALUE!</v>
      </c>
      <c r="GR109" t="e">
        <f>AND(tecantrop!K22,"AAAAAEp17cc=")</f>
        <v>#VALUE!</v>
      </c>
      <c r="GS109" t="e">
        <f>AND(tecantrop!L22,"AAAAAEp17cg=")</f>
        <v>#VALUE!</v>
      </c>
      <c r="GT109" t="e">
        <f>AND(tecantrop!M22,"AAAAAEp17ck=")</f>
        <v>#VALUE!</v>
      </c>
      <c r="GU109" t="e">
        <f>AND(tecantrop!N22,"AAAAAEp17co=")</f>
        <v>#VALUE!</v>
      </c>
      <c r="GV109" t="e">
        <f>AND(tecantrop!O22,"AAAAAEp17cs=")</f>
        <v>#VALUE!</v>
      </c>
      <c r="GW109" t="e">
        <f>AND(tecantrop!P22,"AAAAAEp17cw=")</f>
        <v>#VALUE!</v>
      </c>
      <c r="GX109" t="e">
        <f>AND(tecantrop!Q22,"AAAAAEp17c0=")</f>
        <v>#VALUE!</v>
      </c>
      <c r="GY109" t="e">
        <f>AND(tecantrop!R22,"AAAAAEp17c4=")</f>
        <v>#VALUE!</v>
      </c>
      <c r="GZ109" t="e">
        <f>AND(tecantrop!S22,"AAAAAEp17c8=")</f>
        <v>#VALUE!</v>
      </c>
      <c r="HA109" t="e">
        <f>AND(tecantrop!T22,"AAAAAEp17dA=")</f>
        <v>#VALUE!</v>
      </c>
      <c r="HB109" t="e">
        <f>AND(tecantrop!U22,"AAAAAEp17dE=")</f>
        <v>#VALUE!</v>
      </c>
      <c r="HC109" t="e">
        <f>AND(tecantrop!V22,"AAAAAEp17dI=")</f>
        <v>#VALUE!</v>
      </c>
      <c r="HD109" t="e">
        <f>AND(tecantrop!W22,"AAAAAEp17dM=")</f>
        <v>#VALUE!</v>
      </c>
      <c r="HE109" t="e">
        <f>AND(tecantrop!X22,"AAAAAEp17dQ=")</f>
        <v>#VALUE!</v>
      </c>
      <c r="HF109">
        <f>IF(tecantrop!23:23,"AAAAAEp17dU=",0)</f>
        <v>0</v>
      </c>
      <c r="HG109" t="e">
        <f>AND(tecantrop!A23,"AAAAAEp17dY=")</f>
        <v>#VALUE!</v>
      </c>
      <c r="HH109" t="e">
        <f>AND(tecantrop!B23,"AAAAAEp17dc=")</f>
        <v>#VALUE!</v>
      </c>
      <c r="HI109" t="e">
        <f>AND(tecantrop!C23,"AAAAAEp17dg=")</f>
        <v>#VALUE!</v>
      </c>
      <c r="HJ109" t="e">
        <f>AND(tecantrop!D23,"AAAAAEp17dk=")</f>
        <v>#VALUE!</v>
      </c>
      <c r="HK109" t="e">
        <f>AND(tecantrop!E23,"AAAAAEp17do=")</f>
        <v>#VALUE!</v>
      </c>
      <c r="HL109" t="e">
        <f>AND(tecantrop!F23,"AAAAAEp17ds=")</f>
        <v>#VALUE!</v>
      </c>
      <c r="HM109" t="e">
        <f>AND(tecantrop!G23,"AAAAAEp17dw=")</f>
        <v>#VALUE!</v>
      </c>
      <c r="HN109" t="e">
        <f>AND(tecantrop!H23,"AAAAAEp17d0=")</f>
        <v>#VALUE!</v>
      </c>
      <c r="HO109" t="e">
        <f>AND(tecantrop!I23,"AAAAAEp17d4=")</f>
        <v>#VALUE!</v>
      </c>
      <c r="HP109" t="e">
        <f>AND(tecantrop!J23,"AAAAAEp17d8=")</f>
        <v>#VALUE!</v>
      </c>
      <c r="HQ109" t="e">
        <f>AND(tecantrop!K23,"AAAAAEp17eA=")</f>
        <v>#VALUE!</v>
      </c>
      <c r="HR109" t="e">
        <f>AND(tecantrop!L23,"AAAAAEp17eE=")</f>
        <v>#VALUE!</v>
      </c>
      <c r="HS109" t="e">
        <f>AND(tecantrop!M23,"AAAAAEp17eI=")</f>
        <v>#VALUE!</v>
      </c>
      <c r="HT109" t="e">
        <f>AND(tecantrop!N23,"AAAAAEp17eM=")</f>
        <v>#VALUE!</v>
      </c>
      <c r="HU109" t="e">
        <f>AND(tecantrop!O23,"AAAAAEp17eQ=")</f>
        <v>#VALUE!</v>
      </c>
      <c r="HV109" t="e">
        <f>AND(tecantrop!P23,"AAAAAEp17eU=")</f>
        <v>#VALUE!</v>
      </c>
      <c r="HW109" t="e">
        <f>AND(tecantrop!Q23,"AAAAAEp17eY=")</f>
        <v>#VALUE!</v>
      </c>
      <c r="HX109" t="e">
        <f>AND(tecantrop!R23,"AAAAAEp17ec=")</f>
        <v>#VALUE!</v>
      </c>
      <c r="HY109" t="e">
        <f>AND(tecantrop!S23,"AAAAAEp17eg=")</f>
        <v>#VALUE!</v>
      </c>
      <c r="HZ109" t="e">
        <f>AND(tecantrop!T23,"AAAAAEp17ek=")</f>
        <v>#VALUE!</v>
      </c>
      <c r="IA109" t="e">
        <f>AND(tecantrop!U23,"AAAAAEp17eo=")</f>
        <v>#VALUE!</v>
      </c>
      <c r="IB109" t="e">
        <f>AND(tecantrop!V23,"AAAAAEp17es=")</f>
        <v>#VALUE!</v>
      </c>
      <c r="IC109" t="e">
        <f>AND(tecantrop!W23,"AAAAAEp17ew=")</f>
        <v>#VALUE!</v>
      </c>
      <c r="ID109" t="e">
        <f>AND(tecantrop!X23,"AAAAAEp17e0=")</f>
        <v>#VALUE!</v>
      </c>
      <c r="IE109">
        <f>IF(tecantrop!24:24,"AAAAAEp17e4=",0)</f>
        <v>0</v>
      </c>
      <c r="IF109" t="e">
        <f>AND(tecantrop!A24,"AAAAAEp17e8=")</f>
        <v>#VALUE!</v>
      </c>
      <c r="IG109" t="e">
        <f>AND(tecantrop!B24,"AAAAAEp17fA=")</f>
        <v>#VALUE!</v>
      </c>
      <c r="IH109" t="e">
        <f>AND(tecantrop!C24,"AAAAAEp17fE=")</f>
        <v>#VALUE!</v>
      </c>
      <c r="II109" t="e">
        <f>AND(tecantrop!D24,"AAAAAEp17fI=")</f>
        <v>#VALUE!</v>
      </c>
      <c r="IJ109" t="e">
        <f>AND(tecantrop!E24,"AAAAAEp17fM=")</f>
        <v>#VALUE!</v>
      </c>
      <c r="IK109" t="e">
        <f>AND(tecantrop!F24,"AAAAAEp17fQ=")</f>
        <v>#VALUE!</v>
      </c>
      <c r="IL109" t="e">
        <f>AND(tecantrop!G24,"AAAAAEp17fU=")</f>
        <v>#VALUE!</v>
      </c>
      <c r="IM109" t="e">
        <f>AND(tecantrop!H24,"AAAAAEp17fY=")</f>
        <v>#VALUE!</v>
      </c>
      <c r="IN109" t="e">
        <f>AND(tecantrop!I24,"AAAAAEp17fc=")</f>
        <v>#VALUE!</v>
      </c>
      <c r="IO109" t="e">
        <f>AND(tecantrop!J24,"AAAAAEp17fg=")</f>
        <v>#VALUE!</v>
      </c>
      <c r="IP109" t="e">
        <f>AND(tecantrop!K24,"AAAAAEp17fk=")</f>
        <v>#VALUE!</v>
      </c>
      <c r="IQ109" t="e">
        <f>AND(tecantrop!L24,"AAAAAEp17fo=")</f>
        <v>#VALUE!</v>
      </c>
      <c r="IR109" t="e">
        <f>AND(tecantrop!M24,"AAAAAEp17fs=")</f>
        <v>#VALUE!</v>
      </c>
      <c r="IS109" t="e">
        <f>AND(tecantrop!N24,"AAAAAEp17fw=")</f>
        <v>#VALUE!</v>
      </c>
      <c r="IT109" t="e">
        <f>AND(tecantrop!O24,"AAAAAEp17f0=")</f>
        <v>#VALUE!</v>
      </c>
      <c r="IU109" t="e">
        <f>AND(tecantrop!P24,"AAAAAEp17f4=")</f>
        <v>#VALUE!</v>
      </c>
      <c r="IV109" t="e">
        <f>AND(tecantrop!Q24,"AAAAAEp17f8=")</f>
        <v>#VALUE!</v>
      </c>
    </row>
    <row r="110" spans="1:256" x14ac:dyDescent="0.2">
      <c r="A110" t="e">
        <f>AND(tecantrop!R24,"AAAAAAu+1wA=")</f>
        <v>#VALUE!</v>
      </c>
      <c r="B110" t="e">
        <f>AND(tecantrop!S24,"AAAAAAu+1wE=")</f>
        <v>#VALUE!</v>
      </c>
      <c r="C110" t="e">
        <f>AND(tecantrop!T24,"AAAAAAu+1wI=")</f>
        <v>#VALUE!</v>
      </c>
      <c r="D110" t="e">
        <f>AND(tecantrop!U24,"AAAAAAu+1wM=")</f>
        <v>#VALUE!</v>
      </c>
      <c r="E110" t="e">
        <f>AND(tecantrop!V24,"AAAAAAu+1wQ=")</f>
        <v>#VALUE!</v>
      </c>
      <c r="F110" t="e">
        <f>AND(tecantrop!W24,"AAAAAAu+1wU=")</f>
        <v>#VALUE!</v>
      </c>
      <c r="G110" t="e">
        <f>AND(tecantrop!X24,"AAAAAAu+1wY=")</f>
        <v>#VALUE!</v>
      </c>
      <c r="H110">
        <f>IF(tecantrop!25:25,"AAAAAAu+1wc=",0)</f>
        <v>0</v>
      </c>
      <c r="I110" t="e">
        <f>AND(tecantrop!A25,"AAAAAAu+1wg=")</f>
        <v>#VALUE!</v>
      </c>
      <c r="J110" t="e">
        <f>AND(tecantrop!B25,"AAAAAAu+1wk=")</f>
        <v>#VALUE!</v>
      </c>
      <c r="K110" t="e">
        <f>AND(tecantrop!C25,"AAAAAAu+1wo=")</f>
        <v>#VALUE!</v>
      </c>
      <c r="L110" t="e">
        <f>AND(tecantrop!D25,"AAAAAAu+1ws=")</f>
        <v>#VALUE!</v>
      </c>
      <c r="M110" t="e">
        <f>AND(tecantrop!E25,"AAAAAAu+1ww=")</f>
        <v>#VALUE!</v>
      </c>
      <c r="N110" t="e">
        <f>AND(tecantrop!F25,"AAAAAAu+1w0=")</f>
        <v>#VALUE!</v>
      </c>
      <c r="O110" t="e">
        <f>AND(tecantrop!G25,"AAAAAAu+1w4=")</f>
        <v>#VALUE!</v>
      </c>
      <c r="P110" t="e">
        <f>AND(tecantrop!H25,"AAAAAAu+1w8=")</f>
        <v>#VALUE!</v>
      </c>
      <c r="Q110" t="e">
        <f>AND(tecantrop!I25,"AAAAAAu+1xA=")</f>
        <v>#VALUE!</v>
      </c>
      <c r="R110" t="e">
        <f>AND(tecantrop!J25,"AAAAAAu+1xE=")</f>
        <v>#VALUE!</v>
      </c>
      <c r="S110" t="e">
        <f>AND(tecantrop!K25,"AAAAAAu+1xI=")</f>
        <v>#VALUE!</v>
      </c>
      <c r="T110" t="e">
        <f>AND(tecantrop!L25,"AAAAAAu+1xM=")</f>
        <v>#VALUE!</v>
      </c>
      <c r="U110" t="e">
        <f>AND(tecantrop!M25,"AAAAAAu+1xQ=")</f>
        <v>#VALUE!</v>
      </c>
      <c r="V110" t="e">
        <f>AND(tecantrop!N25,"AAAAAAu+1xU=")</f>
        <v>#VALUE!</v>
      </c>
      <c r="W110" t="e">
        <f>AND(tecantrop!O25,"AAAAAAu+1xY=")</f>
        <v>#VALUE!</v>
      </c>
      <c r="X110" t="e">
        <f>AND(tecantrop!P25,"AAAAAAu+1xc=")</f>
        <v>#VALUE!</v>
      </c>
      <c r="Y110" t="e">
        <f>AND(tecantrop!Q25,"AAAAAAu+1xg=")</f>
        <v>#VALUE!</v>
      </c>
      <c r="Z110" t="e">
        <f>AND(tecantrop!R25,"AAAAAAu+1xk=")</f>
        <v>#VALUE!</v>
      </c>
      <c r="AA110" t="e">
        <f>AND(tecantrop!S25,"AAAAAAu+1xo=")</f>
        <v>#VALUE!</v>
      </c>
      <c r="AB110" t="e">
        <f>AND(tecantrop!T25,"AAAAAAu+1xs=")</f>
        <v>#VALUE!</v>
      </c>
      <c r="AC110" t="e">
        <f>AND(tecantrop!U25,"AAAAAAu+1xw=")</f>
        <v>#VALUE!</v>
      </c>
      <c r="AD110" t="e">
        <f>AND(tecantrop!V25,"AAAAAAu+1x0=")</f>
        <v>#VALUE!</v>
      </c>
      <c r="AE110" t="e">
        <f>AND(tecantrop!W25,"AAAAAAu+1x4=")</f>
        <v>#VALUE!</v>
      </c>
      <c r="AF110" t="e">
        <f>AND(tecantrop!X25,"AAAAAAu+1x8=")</f>
        <v>#VALUE!</v>
      </c>
      <c r="AG110">
        <f>IF(tecantrop!26:26,"AAAAAAu+1yA=",0)</f>
        <v>0</v>
      </c>
      <c r="AH110" t="e">
        <f>AND(tecantrop!A26,"AAAAAAu+1yE=")</f>
        <v>#VALUE!</v>
      </c>
      <c r="AI110" t="e">
        <f>AND(tecantrop!B26,"AAAAAAu+1yI=")</f>
        <v>#VALUE!</v>
      </c>
      <c r="AJ110" t="e">
        <f>AND(tecantrop!C26,"AAAAAAu+1yM=")</f>
        <v>#VALUE!</v>
      </c>
      <c r="AK110" t="e">
        <f>AND(tecantrop!D26,"AAAAAAu+1yQ=")</f>
        <v>#VALUE!</v>
      </c>
      <c r="AL110" t="e">
        <f>AND(tecantrop!E26,"AAAAAAu+1yU=")</f>
        <v>#VALUE!</v>
      </c>
      <c r="AM110" t="e">
        <f>AND(tecantrop!F26,"AAAAAAu+1yY=")</f>
        <v>#VALUE!</v>
      </c>
      <c r="AN110" t="e">
        <f>AND(tecantrop!G26,"AAAAAAu+1yc=")</f>
        <v>#VALUE!</v>
      </c>
      <c r="AO110" t="e">
        <f>AND(tecantrop!H26,"AAAAAAu+1yg=")</f>
        <v>#VALUE!</v>
      </c>
      <c r="AP110" t="e">
        <f>AND(tecantrop!I26,"AAAAAAu+1yk=")</f>
        <v>#VALUE!</v>
      </c>
      <c r="AQ110" t="e">
        <f>AND(tecantrop!J26,"AAAAAAu+1yo=")</f>
        <v>#VALUE!</v>
      </c>
      <c r="AR110" t="e">
        <f>AND(tecantrop!K26,"AAAAAAu+1ys=")</f>
        <v>#VALUE!</v>
      </c>
      <c r="AS110" t="e">
        <f>AND(tecantrop!L26,"AAAAAAu+1yw=")</f>
        <v>#VALUE!</v>
      </c>
      <c r="AT110" t="e">
        <f>AND(tecantrop!M26,"AAAAAAu+1y0=")</f>
        <v>#VALUE!</v>
      </c>
      <c r="AU110" t="e">
        <f>AND(tecantrop!N26,"AAAAAAu+1y4=")</f>
        <v>#VALUE!</v>
      </c>
      <c r="AV110" t="e">
        <f>AND(tecantrop!O26,"AAAAAAu+1y8=")</f>
        <v>#VALUE!</v>
      </c>
      <c r="AW110" t="e">
        <f>AND(tecantrop!P26,"AAAAAAu+1zA=")</f>
        <v>#VALUE!</v>
      </c>
      <c r="AX110" t="e">
        <f>AND(tecantrop!Q26,"AAAAAAu+1zE=")</f>
        <v>#VALUE!</v>
      </c>
      <c r="AY110" t="e">
        <f>AND(tecantrop!R26,"AAAAAAu+1zI=")</f>
        <v>#VALUE!</v>
      </c>
      <c r="AZ110" t="e">
        <f>AND(tecantrop!S26,"AAAAAAu+1zM=")</f>
        <v>#VALUE!</v>
      </c>
      <c r="BA110" t="e">
        <f>AND(tecantrop!T26,"AAAAAAu+1zQ=")</f>
        <v>#VALUE!</v>
      </c>
      <c r="BB110" t="e">
        <f>AND(tecantrop!U26,"AAAAAAu+1zU=")</f>
        <v>#VALUE!</v>
      </c>
      <c r="BC110" t="e">
        <f>AND(tecantrop!V26,"AAAAAAu+1zY=")</f>
        <v>#VALUE!</v>
      </c>
      <c r="BD110" t="e">
        <f>AND(tecantrop!W26,"AAAAAAu+1zc=")</f>
        <v>#VALUE!</v>
      </c>
      <c r="BE110" t="e">
        <f>AND(tecantrop!X26,"AAAAAAu+1zg=")</f>
        <v>#VALUE!</v>
      </c>
      <c r="BF110">
        <f>IF(tecantrop!27:27,"AAAAAAu+1zk=",0)</f>
        <v>0</v>
      </c>
      <c r="BG110" t="e">
        <f>AND(tecantrop!A27,"AAAAAAu+1zo=")</f>
        <v>#VALUE!</v>
      </c>
      <c r="BH110" t="e">
        <f>AND(tecantrop!B27,"AAAAAAu+1zs=")</f>
        <v>#VALUE!</v>
      </c>
      <c r="BI110" t="e">
        <f>AND(tecantrop!C27,"AAAAAAu+1zw=")</f>
        <v>#VALUE!</v>
      </c>
      <c r="BJ110" t="e">
        <f>AND(tecantrop!D27,"AAAAAAu+1z0=")</f>
        <v>#VALUE!</v>
      </c>
      <c r="BK110" t="e">
        <f>AND(tecantrop!E27,"AAAAAAu+1z4=")</f>
        <v>#VALUE!</v>
      </c>
      <c r="BL110" t="e">
        <f>AND(tecantrop!F27,"AAAAAAu+1z8=")</f>
        <v>#VALUE!</v>
      </c>
      <c r="BM110" t="e">
        <f>AND(tecantrop!G27,"AAAAAAu+10A=")</f>
        <v>#VALUE!</v>
      </c>
      <c r="BN110" t="e">
        <f>AND(tecantrop!H27,"AAAAAAu+10E=")</f>
        <v>#VALUE!</v>
      </c>
      <c r="BO110" t="e">
        <f>AND(tecantrop!I27,"AAAAAAu+10I=")</f>
        <v>#VALUE!</v>
      </c>
      <c r="BP110" t="e">
        <f>AND(tecantrop!J27,"AAAAAAu+10M=")</f>
        <v>#VALUE!</v>
      </c>
      <c r="BQ110" t="e">
        <f>AND(tecantrop!K27,"AAAAAAu+10Q=")</f>
        <v>#VALUE!</v>
      </c>
      <c r="BR110" t="e">
        <f>AND(tecantrop!L27,"AAAAAAu+10U=")</f>
        <v>#VALUE!</v>
      </c>
      <c r="BS110" t="e">
        <f>AND(tecantrop!M27,"AAAAAAu+10Y=")</f>
        <v>#VALUE!</v>
      </c>
      <c r="BT110" t="e">
        <f>AND(tecantrop!N27,"AAAAAAu+10c=")</f>
        <v>#VALUE!</v>
      </c>
      <c r="BU110" t="e">
        <f>AND(tecantrop!O27,"AAAAAAu+10g=")</f>
        <v>#VALUE!</v>
      </c>
      <c r="BV110" t="e">
        <f>AND(tecantrop!P27,"AAAAAAu+10k=")</f>
        <v>#VALUE!</v>
      </c>
      <c r="BW110" t="e">
        <f>AND(tecantrop!Q27,"AAAAAAu+10o=")</f>
        <v>#VALUE!</v>
      </c>
      <c r="BX110" t="e">
        <f>AND(tecantrop!R27,"AAAAAAu+10s=")</f>
        <v>#VALUE!</v>
      </c>
      <c r="BY110" t="e">
        <f>AND(tecantrop!S27,"AAAAAAu+10w=")</f>
        <v>#VALUE!</v>
      </c>
      <c r="BZ110" t="e">
        <f>AND(tecantrop!T27,"AAAAAAu+100=")</f>
        <v>#VALUE!</v>
      </c>
      <c r="CA110" t="e">
        <f>AND(tecantrop!U27,"AAAAAAu+104=")</f>
        <v>#VALUE!</v>
      </c>
      <c r="CB110" t="e">
        <f>AND(tecantrop!V27,"AAAAAAu+108=")</f>
        <v>#VALUE!</v>
      </c>
      <c r="CC110" t="e">
        <f>AND(tecantrop!W27,"AAAAAAu+11A=")</f>
        <v>#VALUE!</v>
      </c>
      <c r="CD110" t="e">
        <f>AND(tecantrop!X27,"AAAAAAu+11E=")</f>
        <v>#VALUE!</v>
      </c>
      <c r="CE110">
        <f>IF(tecantrop!28:28,"AAAAAAu+11I=",0)</f>
        <v>0</v>
      </c>
      <c r="CF110" t="e">
        <f>AND(tecantrop!A28,"AAAAAAu+11M=")</f>
        <v>#VALUE!</v>
      </c>
      <c r="CG110" t="e">
        <f>AND(tecantrop!B28,"AAAAAAu+11Q=")</f>
        <v>#VALUE!</v>
      </c>
      <c r="CH110" t="e">
        <f>AND(tecantrop!C28,"AAAAAAu+11U=")</f>
        <v>#VALUE!</v>
      </c>
      <c r="CI110" t="e">
        <f>AND(tecantrop!D28,"AAAAAAu+11Y=")</f>
        <v>#VALUE!</v>
      </c>
      <c r="CJ110" t="e">
        <f>AND(tecantrop!E28,"AAAAAAu+11c=")</f>
        <v>#VALUE!</v>
      </c>
      <c r="CK110" t="e">
        <f>AND(tecantrop!F28,"AAAAAAu+11g=")</f>
        <v>#VALUE!</v>
      </c>
      <c r="CL110" t="e">
        <f>AND(tecantrop!G28,"AAAAAAu+11k=")</f>
        <v>#VALUE!</v>
      </c>
      <c r="CM110" t="e">
        <f>AND(tecantrop!H28,"AAAAAAu+11o=")</f>
        <v>#VALUE!</v>
      </c>
      <c r="CN110" t="e">
        <f>AND(tecantrop!I28,"AAAAAAu+11s=")</f>
        <v>#VALUE!</v>
      </c>
      <c r="CO110" t="e">
        <f>AND(tecantrop!J28,"AAAAAAu+11w=")</f>
        <v>#VALUE!</v>
      </c>
      <c r="CP110" t="e">
        <f>AND(tecantrop!K28,"AAAAAAu+110=")</f>
        <v>#VALUE!</v>
      </c>
      <c r="CQ110" t="e">
        <f>AND(tecantrop!L28,"AAAAAAu+114=")</f>
        <v>#VALUE!</v>
      </c>
      <c r="CR110" t="e">
        <f>AND(tecantrop!M28,"AAAAAAu+118=")</f>
        <v>#VALUE!</v>
      </c>
      <c r="CS110" t="e">
        <f>AND(tecantrop!N28,"AAAAAAu+12A=")</f>
        <v>#VALUE!</v>
      </c>
      <c r="CT110" t="e">
        <f>AND(tecantrop!O28,"AAAAAAu+12E=")</f>
        <v>#VALUE!</v>
      </c>
      <c r="CU110" t="e">
        <f>AND(tecantrop!P28,"AAAAAAu+12I=")</f>
        <v>#VALUE!</v>
      </c>
      <c r="CV110" t="e">
        <f>AND(tecantrop!Q28,"AAAAAAu+12M=")</f>
        <v>#VALUE!</v>
      </c>
      <c r="CW110" t="e">
        <f>AND(tecantrop!R28,"AAAAAAu+12Q=")</f>
        <v>#VALUE!</v>
      </c>
      <c r="CX110" t="e">
        <f>AND(tecantrop!S28,"AAAAAAu+12U=")</f>
        <v>#VALUE!</v>
      </c>
      <c r="CY110" t="e">
        <f>AND(tecantrop!T28,"AAAAAAu+12Y=")</f>
        <v>#VALUE!</v>
      </c>
      <c r="CZ110" t="e">
        <f>AND(tecantrop!U28,"AAAAAAu+12c=")</f>
        <v>#VALUE!</v>
      </c>
      <c r="DA110" t="e">
        <f>AND(tecantrop!V28,"AAAAAAu+12g=")</f>
        <v>#VALUE!</v>
      </c>
      <c r="DB110" t="e">
        <f>AND(tecantrop!W28,"AAAAAAu+12k=")</f>
        <v>#VALUE!</v>
      </c>
      <c r="DC110" t="e">
        <f>AND(tecantrop!X28,"AAAAAAu+12o=")</f>
        <v>#VALUE!</v>
      </c>
      <c r="DD110">
        <f>IF(tecantrop!29:29,"AAAAAAu+12s=",0)</f>
        <v>0</v>
      </c>
      <c r="DE110" t="e">
        <f>AND(tecantrop!A29,"AAAAAAu+12w=")</f>
        <v>#VALUE!</v>
      </c>
      <c r="DF110" t="e">
        <f>AND(tecantrop!B29,"AAAAAAu+120=")</f>
        <v>#VALUE!</v>
      </c>
      <c r="DG110" t="e">
        <f>AND(tecantrop!C29,"AAAAAAu+124=")</f>
        <v>#VALUE!</v>
      </c>
      <c r="DH110" t="e">
        <f>AND(tecantrop!D29,"AAAAAAu+128=")</f>
        <v>#VALUE!</v>
      </c>
      <c r="DI110" t="e">
        <f>AND(tecantrop!E29,"AAAAAAu+13A=")</f>
        <v>#VALUE!</v>
      </c>
      <c r="DJ110" t="e">
        <f>AND(tecantrop!F29,"AAAAAAu+13E=")</f>
        <v>#VALUE!</v>
      </c>
      <c r="DK110" t="e">
        <f>AND(tecantrop!G29,"AAAAAAu+13I=")</f>
        <v>#VALUE!</v>
      </c>
      <c r="DL110" t="e">
        <f>AND(tecantrop!H29,"AAAAAAu+13M=")</f>
        <v>#VALUE!</v>
      </c>
      <c r="DM110" t="e">
        <f>AND(tecantrop!I29,"AAAAAAu+13Q=")</f>
        <v>#VALUE!</v>
      </c>
      <c r="DN110" t="e">
        <f>AND(tecantrop!J29,"AAAAAAu+13U=")</f>
        <v>#VALUE!</v>
      </c>
      <c r="DO110" t="e">
        <f>AND(tecantrop!K29,"AAAAAAu+13Y=")</f>
        <v>#VALUE!</v>
      </c>
      <c r="DP110" t="e">
        <f>AND(tecantrop!L29,"AAAAAAu+13c=")</f>
        <v>#VALUE!</v>
      </c>
      <c r="DQ110" t="e">
        <f>AND(tecantrop!M29,"AAAAAAu+13g=")</f>
        <v>#VALUE!</v>
      </c>
      <c r="DR110" t="e">
        <f>AND(tecantrop!N29,"AAAAAAu+13k=")</f>
        <v>#VALUE!</v>
      </c>
      <c r="DS110" t="e">
        <f>AND(tecantrop!O29,"AAAAAAu+13o=")</f>
        <v>#VALUE!</v>
      </c>
      <c r="DT110" t="e">
        <f>AND(tecantrop!P29,"AAAAAAu+13s=")</f>
        <v>#VALUE!</v>
      </c>
      <c r="DU110" t="e">
        <f>AND(tecantrop!Q29,"AAAAAAu+13w=")</f>
        <v>#VALUE!</v>
      </c>
      <c r="DV110" t="e">
        <f>AND(tecantrop!R29,"AAAAAAu+130=")</f>
        <v>#VALUE!</v>
      </c>
      <c r="DW110" t="e">
        <f>AND(tecantrop!S29,"AAAAAAu+134=")</f>
        <v>#VALUE!</v>
      </c>
      <c r="DX110" t="e">
        <f>AND(tecantrop!T29,"AAAAAAu+138=")</f>
        <v>#VALUE!</v>
      </c>
      <c r="DY110" t="e">
        <f>AND(tecantrop!U29,"AAAAAAu+14A=")</f>
        <v>#VALUE!</v>
      </c>
      <c r="DZ110" t="e">
        <f>AND(tecantrop!V29,"AAAAAAu+14E=")</f>
        <v>#VALUE!</v>
      </c>
      <c r="EA110" t="e">
        <f>AND(tecantrop!W29,"AAAAAAu+14I=")</f>
        <v>#VALUE!</v>
      </c>
      <c r="EB110" t="e">
        <f>AND(tecantrop!X29,"AAAAAAu+14M=")</f>
        <v>#VALUE!</v>
      </c>
      <c r="EC110">
        <f>IF(tecantrop!30:30,"AAAAAAu+14Q=",0)</f>
        <v>0</v>
      </c>
      <c r="ED110" t="e">
        <f>AND(tecantrop!A30,"AAAAAAu+14U=")</f>
        <v>#VALUE!</v>
      </c>
      <c r="EE110" t="e">
        <f>AND(tecantrop!B30,"AAAAAAu+14Y=")</f>
        <v>#VALUE!</v>
      </c>
      <c r="EF110" t="e">
        <f>AND(tecantrop!C30,"AAAAAAu+14c=")</f>
        <v>#VALUE!</v>
      </c>
      <c r="EG110" t="e">
        <f>AND(tecantrop!D30,"AAAAAAu+14g=")</f>
        <v>#VALUE!</v>
      </c>
      <c r="EH110" t="e">
        <f>AND(tecantrop!E30,"AAAAAAu+14k=")</f>
        <v>#VALUE!</v>
      </c>
      <c r="EI110" t="e">
        <f>AND(tecantrop!F30,"AAAAAAu+14o=")</f>
        <v>#VALUE!</v>
      </c>
      <c r="EJ110" t="e">
        <f>AND(tecantrop!G30,"AAAAAAu+14s=")</f>
        <v>#VALUE!</v>
      </c>
      <c r="EK110" t="e">
        <f>AND(tecantrop!H30,"AAAAAAu+14w=")</f>
        <v>#VALUE!</v>
      </c>
      <c r="EL110" t="e">
        <f>AND(tecantrop!I30,"AAAAAAu+140=")</f>
        <v>#VALUE!</v>
      </c>
      <c r="EM110" t="e">
        <f>AND(tecantrop!J30,"AAAAAAu+144=")</f>
        <v>#VALUE!</v>
      </c>
      <c r="EN110" t="e">
        <f>AND(tecantrop!K30,"AAAAAAu+148=")</f>
        <v>#VALUE!</v>
      </c>
      <c r="EO110" t="e">
        <f>AND(tecantrop!L30,"AAAAAAu+15A=")</f>
        <v>#VALUE!</v>
      </c>
      <c r="EP110" t="e">
        <f>AND(tecantrop!M30,"AAAAAAu+15E=")</f>
        <v>#VALUE!</v>
      </c>
      <c r="EQ110" t="e">
        <f>AND(tecantrop!N30,"AAAAAAu+15I=")</f>
        <v>#VALUE!</v>
      </c>
      <c r="ER110" t="e">
        <f>AND(tecantrop!O30,"AAAAAAu+15M=")</f>
        <v>#VALUE!</v>
      </c>
      <c r="ES110" t="e">
        <f>AND(tecantrop!P30,"AAAAAAu+15Q=")</f>
        <v>#VALUE!</v>
      </c>
      <c r="ET110" t="e">
        <f>AND(tecantrop!Q30,"AAAAAAu+15U=")</f>
        <v>#VALUE!</v>
      </c>
      <c r="EU110" t="e">
        <f>AND(tecantrop!R30,"AAAAAAu+15Y=")</f>
        <v>#VALUE!</v>
      </c>
      <c r="EV110" t="e">
        <f>AND(tecantrop!S30,"AAAAAAu+15c=")</f>
        <v>#VALUE!</v>
      </c>
      <c r="EW110" t="e">
        <f>AND(tecantrop!T30,"AAAAAAu+15g=")</f>
        <v>#VALUE!</v>
      </c>
      <c r="EX110" t="e">
        <f>AND(tecantrop!U30,"AAAAAAu+15k=")</f>
        <v>#VALUE!</v>
      </c>
      <c r="EY110" t="e">
        <f>AND(tecantrop!V30,"AAAAAAu+15o=")</f>
        <v>#VALUE!</v>
      </c>
      <c r="EZ110" t="e">
        <f>AND(tecantrop!W30,"AAAAAAu+15s=")</f>
        <v>#VALUE!</v>
      </c>
      <c r="FA110" t="e">
        <f>AND(tecantrop!X30,"AAAAAAu+15w=")</f>
        <v>#VALUE!</v>
      </c>
      <c r="FB110">
        <f>IF(tecantrop!31:31,"AAAAAAu+150=",0)</f>
        <v>0</v>
      </c>
      <c r="FC110" t="e">
        <f>AND(tecantrop!A31,"AAAAAAu+154=")</f>
        <v>#VALUE!</v>
      </c>
      <c r="FD110" t="e">
        <f>AND(tecantrop!B31,"AAAAAAu+158=")</f>
        <v>#VALUE!</v>
      </c>
      <c r="FE110" t="e">
        <f>AND(tecantrop!C31,"AAAAAAu+16A=")</f>
        <v>#VALUE!</v>
      </c>
      <c r="FF110" t="e">
        <f>AND(tecantrop!D31,"AAAAAAu+16E=")</f>
        <v>#VALUE!</v>
      </c>
      <c r="FG110" t="e">
        <f>AND(tecantrop!E31,"AAAAAAu+16I=")</f>
        <v>#VALUE!</v>
      </c>
      <c r="FH110" t="e">
        <f>AND(tecantrop!F31,"AAAAAAu+16M=")</f>
        <v>#VALUE!</v>
      </c>
      <c r="FI110" t="e">
        <f>AND(tecantrop!G31,"AAAAAAu+16Q=")</f>
        <v>#VALUE!</v>
      </c>
      <c r="FJ110" t="e">
        <f>AND(tecantrop!H31,"AAAAAAu+16U=")</f>
        <v>#VALUE!</v>
      </c>
      <c r="FK110" t="e">
        <f>AND(tecantrop!I31,"AAAAAAu+16Y=")</f>
        <v>#VALUE!</v>
      </c>
      <c r="FL110" t="e">
        <f>AND(tecantrop!J31,"AAAAAAu+16c=")</f>
        <v>#VALUE!</v>
      </c>
      <c r="FM110" t="e">
        <f>AND(tecantrop!K31,"AAAAAAu+16g=")</f>
        <v>#VALUE!</v>
      </c>
      <c r="FN110" t="e">
        <f>AND(tecantrop!L31,"AAAAAAu+16k=")</f>
        <v>#VALUE!</v>
      </c>
      <c r="FO110" t="e">
        <f>AND(tecantrop!M31,"AAAAAAu+16o=")</f>
        <v>#VALUE!</v>
      </c>
      <c r="FP110" t="e">
        <f>AND(tecantrop!N31,"AAAAAAu+16s=")</f>
        <v>#VALUE!</v>
      </c>
      <c r="FQ110" t="e">
        <f>AND(tecantrop!O31,"AAAAAAu+16w=")</f>
        <v>#VALUE!</v>
      </c>
      <c r="FR110" t="e">
        <f>AND(tecantrop!P31,"AAAAAAu+160=")</f>
        <v>#VALUE!</v>
      </c>
      <c r="FS110" t="e">
        <f>AND(tecantrop!Q31,"AAAAAAu+164=")</f>
        <v>#VALUE!</v>
      </c>
      <c r="FT110" t="e">
        <f>AND(tecantrop!R31,"AAAAAAu+168=")</f>
        <v>#VALUE!</v>
      </c>
      <c r="FU110" t="e">
        <f>AND(tecantrop!S31,"AAAAAAu+17A=")</f>
        <v>#VALUE!</v>
      </c>
      <c r="FV110" t="e">
        <f>AND(tecantrop!T31,"AAAAAAu+17E=")</f>
        <v>#VALUE!</v>
      </c>
      <c r="FW110" t="e">
        <f>AND(tecantrop!U31,"AAAAAAu+17I=")</f>
        <v>#VALUE!</v>
      </c>
      <c r="FX110" t="e">
        <f>AND(tecantrop!V31,"AAAAAAu+17M=")</f>
        <v>#VALUE!</v>
      </c>
      <c r="FY110" t="e">
        <f>AND(tecantrop!W31,"AAAAAAu+17Q=")</f>
        <v>#VALUE!</v>
      </c>
      <c r="FZ110" t="e">
        <f>AND(tecantrop!X31,"AAAAAAu+17U=")</f>
        <v>#VALUE!</v>
      </c>
      <c r="GA110">
        <f>IF(tecantrop!32:32,"AAAAAAu+17Y=",0)</f>
        <v>0</v>
      </c>
      <c r="GB110" t="e">
        <f>AND(tecantrop!A32,"AAAAAAu+17c=")</f>
        <v>#VALUE!</v>
      </c>
      <c r="GC110" t="e">
        <f>AND(tecantrop!B32,"AAAAAAu+17g=")</f>
        <v>#VALUE!</v>
      </c>
      <c r="GD110" t="e">
        <f>AND(tecantrop!C32,"AAAAAAu+17k=")</f>
        <v>#VALUE!</v>
      </c>
      <c r="GE110" t="e">
        <f>AND(tecantrop!D32,"AAAAAAu+17o=")</f>
        <v>#VALUE!</v>
      </c>
      <c r="GF110" t="e">
        <f>AND(tecantrop!E32,"AAAAAAu+17s=")</f>
        <v>#VALUE!</v>
      </c>
      <c r="GG110" t="e">
        <f>AND(tecantrop!F32,"AAAAAAu+17w=")</f>
        <v>#VALUE!</v>
      </c>
      <c r="GH110" t="e">
        <f>AND(tecantrop!G32,"AAAAAAu+170=")</f>
        <v>#VALUE!</v>
      </c>
      <c r="GI110" t="e">
        <f>AND(tecantrop!H32,"AAAAAAu+174=")</f>
        <v>#VALUE!</v>
      </c>
      <c r="GJ110" t="e">
        <f>AND(tecantrop!I32,"AAAAAAu+178=")</f>
        <v>#VALUE!</v>
      </c>
      <c r="GK110" t="e">
        <f>AND(tecantrop!J32,"AAAAAAu+18A=")</f>
        <v>#VALUE!</v>
      </c>
      <c r="GL110" t="e">
        <f>AND(tecantrop!K32,"AAAAAAu+18E=")</f>
        <v>#VALUE!</v>
      </c>
      <c r="GM110" t="e">
        <f>AND(tecantrop!L32,"AAAAAAu+18I=")</f>
        <v>#VALUE!</v>
      </c>
      <c r="GN110" t="e">
        <f>AND(tecantrop!M32,"AAAAAAu+18M=")</f>
        <v>#VALUE!</v>
      </c>
      <c r="GO110" t="e">
        <f>AND(tecantrop!N32,"AAAAAAu+18Q=")</f>
        <v>#VALUE!</v>
      </c>
      <c r="GP110" t="e">
        <f>AND(tecantrop!O32,"AAAAAAu+18U=")</f>
        <v>#VALUE!</v>
      </c>
      <c r="GQ110" t="e">
        <f>AND(tecantrop!P32,"AAAAAAu+18Y=")</f>
        <v>#VALUE!</v>
      </c>
      <c r="GR110" t="e">
        <f>AND(tecantrop!Q32,"AAAAAAu+18c=")</f>
        <v>#VALUE!</v>
      </c>
      <c r="GS110" t="e">
        <f>AND(tecantrop!R32,"AAAAAAu+18g=")</f>
        <v>#VALUE!</v>
      </c>
      <c r="GT110" t="e">
        <f>AND(tecantrop!S32,"AAAAAAu+18k=")</f>
        <v>#VALUE!</v>
      </c>
      <c r="GU110" t="e">
        <f>AND(tecantrop!T32,"AAAAAAu+18o=")</f>
        <v>#VALUE!</v>
      </c>
      <c r="GV110" t="e">
        <f>AND(tecantrop!U32,"AAAAAAu+18s=")</f>
        <v>#VALUE!</v>
      </c>
      <c r="GW110" t="e">
        <f>AND(tecantrop!V32,"AAAAAAu+18w=")</f>
        <v>#VALUE!</v>
      </c>
      <c r="GX110" t="e">
        <f>AND(tecantrop!W32,"AAAAAAu+180=")</f>
        <v>#VALUE!</v>
      </c>
      <c r="GY110" t="e">
        <f>AND(tecantrop!X32,"AAAAAAu+184=")</f>
        <v>#VALUE!</v>
      </c>
      <c r="GZ110">
        <f>IF(tecantrop!33:33,"AAAAAAu+188=",0)</f>
        <v>0</v>
      </c>
      <c r="HA110" t="e">
        <f>AND(tecantrop!A33,"AAAAAAu+19A=")</f>
        <v>#VALUE!</v>
      </c>
      <c r="HB110" t="e">
        <f>AND(tecantrop!B33,"AAAAAAu+19E=")</f>
        <v>#VALUE!</v>
      </c>
      <c r="HC110" t="e">
        <f>AND(tecantrop!C33,"AAAAAAu+19I=")</f>
        <v>#VALUE!</v>
      </c>
      <c r="HD110" t="e">
        <f>AND(tecantrop!D33,"AAAAAAu+19M=")</f>
        <v>#VALUE!</v>
      </c>
      <c r="HE110" t="e">
        <f>AND(tecantrop!E33,"AAAAAAu+19Q=")</f>
        <v>#VALUE!</v>
      </c>
      <c r="HF110" t="e">
        <f>AND(tecantrop!F33,"AAAAAAu+19U=")</f>
        <v>#VALUE!</v>
      </c>
      <c r="HG110" t="e">
        <f>AND(tecantrop!G33,"AAAAAAu+19Y=")</f>
        <v>#VALUE!</v>
      </c>
      <c r="HH110" t="e">
        <f>AND(tecantrop!H33,"AAAAAAu+19c=")</f>
        <v>#VALUE!</v>
      </c>
      <c r="HI110" t="e">
        <f>AND(tecantrop!I33,"AAAAAAu+19g=")</f>
        <v>#VALUE!</v>
      </c>
      <c r="HJ110" t="e">
        <f>AND(tecantrop!J33,"AAAAAAu+19k=")</f>
        <v>#VALUE!</v>
      </c>
      <c r="HK110" t="e">
        <f>AND(tecantrop!K33,"AAAAAAu+19o=")</f>
        <v>#VALUE!</v>
      </c>
      <c r="HL110" t="e">
        <f>AND(tecantrop!L33,"AAAAAAu+19s=")</f>
        <v>#VALUE!</v>
      </c>
      <c r="HM110" t="e">
        <f>AND(tecantrop!M33,"AAAAAAu+19w=")</f>
        <v>#VALUE!</v>
      </c>
      <c r="HN110" t="e">
        <f>AND(tecantrop!N33,"AAAAAAu+190=")</f>
        <v>#VALUE!</v>
      </c>
      <c r="HO110" t="e">
        <f>AND(tecantrop!O33,"AAAAAAu+194=")</f>
        <v>#VALUE!</v>
      </c>
      <c r="HP110" t="e">
        <f>AND(tecantrop!P33,"AAAAAAu+198=")</f>
        <v>#VALUE!</v>
      </c>
      <c r="HQ110" t="e">
        <f>AND(tecantrop!Q33,"AAAAAAu+1+A=")</f>
        <v>#VALUE!</v>
      </c>
      <c r="HR110" t="e">
        <f>AND(tecantrop!R33,"AAAAAAu+1+E=")</f>
        <v>#VALUE!</v>
      </c>
      <c r="HS110" t="e">
        <f>AND(tecantrop!S33,"AAAAAAu+1+I=")</f>
        <v>#VALUE!</v>
      </c>
      <c r="HT110" t="e">
        <f>AND(tecantrop!T33,"AAAAAAu+1+M=")</f>
        <v>#VALUE!</v>
      </c>
      <c r="HU110" t="e">
        <f>AND(tecantrop!U33,"AAAAAAu+1+Q=")</f>
        <v>#VALUE!</v>
      </c>
      <c r="HV110" t="e">
        <f>AND(tecantrop!V33,"AAAAAAu+1+U=")</f>
        <v>#VALUE!</v>
      </c>
      <c r="HW110" t="e">
        <f>AND(tecantrop!W33,"AAAAAAu+1+Y=")</f>
        <v>#VALUE!</v>
      </c>
      <c r="HX110" t="e">
        <f>AND(tecantrop!X33,"AAAAAAu+1+c=")</f>
        <v>#VALUE!</v>
      </c>
      <c r="HY110">
        <f>IF(tecantrop!34:34,"AAAAAAu+1+g=",0)</f>
        <v>0</v>
      </c>
      <c r="HZ110" t="e">
        <f>AND(tecantrop!A34,"AAAAAAu+1+k=")</f>
        <v>#VALUE!</v>
      </c>
      <c r="IA110" t="e">
        <f>AND(tecantrop!B34,"AAAAAAu+1+o=")</f>
        <v>#VALUE!</v>
      </c>
      <c r="IB110" t="e">
        <f>AND(tecantrop!C34,"AAAAAAu+1+s=")</f>
        <v>#VALUE!</v>
      </c>
      <c r="IC110" t="e">
        <f>AND(tecantrop!D34,"AAAAAAu+1+w=")</f>
        <v>#VALUE!</v>
      </c>
      <c r="ID110" t="e">
        <f>AND(tecantrop!E34,"AAAAAAu+1+0=")</f>
        <v>#VALUE!</v>
      </c>
      <c r="IE110" t="e">
        <f>AND(tecantrop!F34,"AAAAAAu+1+4=")</f>
        <v>#VALUE!</v>
      </c>
      <c r="IF110" t="e">
        <f>AND(tecantrop!G34,"AAAAAAu+1+8=")</f>
        <v>#VALUE!</v>
      </c>
      <c r="IG110" t="e">
        <f>AND(tecantrop!H34,"AAAAAAu+1/A=")</f>
        <v>#VALUE!</v>
      </c>
      <c r="IH110" t="e">
        <f>AND(tecantrop!I34,"AAAAAAu+1/E=")</f>
        <v>#VALUE!</v>
      </c>
      <c r="II110" t="e">
        <f>AND(tecantrop!J34,"AAAAAAu+1/I=")</f>
        <v>#VALUE!</v>
      </c>
      <c r="IJ110" t="e">
        <f>AND(tecantrop!K34,"AAAAAAu+1/M=")</f>
        <v>#VALUE!</v>
      </c>
      <c r="IK110" t="e">
        <f>AND(tecantrop!L34,"AAAAAAu+1/Q=")</f>
        <v>#VALUE!</v>
      </c>
      <c r="IL110" t="e">
        <f>AND(tecantrop!M34,"AAAAAAu+1/U=")</f>
        <v>#VALUE!</v>
      </c>
      <c r="IM110" t="e">
        <f>AND(tecantrop!N34,"AAAAAAu+1/Y=")</f>
        <v>#VALUE!</v>
      </c>
      <c r="IN110" t="e">
        <f>AND(tecantrop!O34,"AAAAAAu+1/c=")</f>
        <v>#VALUE!</v>
      </c>
      <c r="IO110" t="e">
        <f>AND(tecantrop!P34,"AAAAAAu+1/g=")</f>
        <v>#VALUE!</v>
      </c>
      <c r="IP110" t="e">
        <f>AND(tecantrop!Q34,"AAAAAAu+1/k=")</f>
        <v>#VALUE!</v>
      </c>
      <c r="IQ110" t="e">
        <f>AND(tecantrop!R34,"AAAAAAu+1/o=")</f>
        <v>#VALUE!</v>
      </c>
      <c r="IR110" t="e">
        <f>AND(tecantrop!S34,"AAAAAAu+1/s=")</f>
        <v>#VALUE!</v>
      </c>
      <c r="IS110" t="e">
        <f>AND(tecantrop!T34,"AAAAAAu+1/w=")</f>
        <v>#VALUE!</v>
      </c>
      <c r="IT110" t="e">
        <f>AND(tecantrop!U34,"AAAAAAu+1/0=")</f>
        <v>#VALUE!</v>
      </c>
      <c r="IU110" t="e">
        <f>AND(tecantrop!V34,"AAAAAAu+1/4=")</f>
        <v>#VALUE!</v>
      </c>
      <c r="IV110" t="e">
        <f>AND(tecantrop!W34,"AAAAAAu+1/8=")</f>
        <v>#VALUE!</v>
      </c>
    </row>
    <row r="111" spans="1:256" x14ac:dyDescent="0.2">
      <c r="A111" t="e">
        <f>AND(tecantrop!X34,"AAAAAHbfvgA=")</f>
        <v>#VALUE!</v>
      </c>
      <c r="B111">
        <f>IF(tecantrop!35:35,"AAAAAHbfvgE=",0)</f>
        <v>0</v>
      </c>
      <c r="C111" t="e">
        <f>AND(tecantrop!A35,"AAAAAHbfvgI=")</f>
        <v>#VALUE!</v>
      </c>
      <c r="D111" t="e">
        <f>AND(tecantrop!B35,"AAAAAHbfvgM=")</f>
        <v>#VALUE!</v>
      </c>
      <c r="E111" t="e">
        <f>AND(tecantrop!C35,"AAAAAHbfvgQ=")</f>
        <v>#VALUE!</v>
      </c>
      <c r="F111" t="e">
        <f>AND(tecantrop!D35,"AAAAAHbfvgU=")</f>
        <v>#VALUE!</v>
      </c>
      <c r="G111" t="e">
        <f>AND(tecantrop!E35,"AAAAAHbfvgY=")</f>
        <v>#VALUE!</v>
      </c>
      <c r="H111" t="e">
        <f>AND(tecantrop!F35,"AAAAAHbfvgc=")</f>
        <v>#VALUE!</v>
      </c>
      <c r="I111" t="e">
        <f>AND(tecantrop!G35,"AAAAAHbfvgg=")</f>
        <v>#VALUE!</v>
      </c>
      <c r="J111" t="e">
        <f>AND(tecantrop!H35,"AAAAAHbfvgk=")</f>
        <v>#VALUE!</v>
      </c>
      <c r="K111" t="e">
        <f>AND(tecantrop!I35,"AAAAAHbfvgo=")</f>
        <v>#VALUE!</v>
      </c>
      <c r="L111" t="e">
        <f>AND(tecantrop!J35,"AAAAAHbfvgs=")</f>
        <v>#VALUE!</v>
      </c>
      <c r="M111" t="e">
        <f>AND(tecantrop!K35,"AAAAAHbfvgw=")</f>
        <v>#VALUE!</v>
      </c>
      <c r="N111" t="e">
        <f>AND(tecantrop!L35,"AAAAAHbfvg0=")</f>
        <v>#VALUE!</v>
      </c>
      <c r="O111" t="e">
        <f>AND(tecantrop!M35,"AAAAAHbfvg4=")</f>
        <v>#VALUE!</v>
      </c>
      <c r="P111" t="e">
        <f>AND(tecantrop!N35,"AAAAAHbfvg8=")</f>
        <v>#VALUE!</v>
      </c>
      <c r="Q111" t="e">
        <f>AND(tecantrop!O35,"AAAAAHbfvhA=")</f>
        <v>#VALUE!</v>
      </c>
      <c r="R111" t="e">
        <f>AND(tecantrop!P35,"AAAAAHbfvhE=")</f>
        <v>#VALUE!</v>
      </c>
      <c r="S111" t="e">
        <f>AND(tecantrop!Q35,"AAAAAHbfvhI=")</f>
        <v>#VALUE!</v>
      </c>
      <c r="T111" t="e">
        <f>AND(tecantrop!R35,"AAAAAHbfvhM=")</f>
        <v>#VALUE!</v>
      </c>
      <c r="U111" t="e">
        <f>AND(tecantrop!S35,"AAAAAHbfvhQ=")</f>
        <v>#VALUE!</v>
      </c>
      <c r="V111" t="e">
        <f>AND(tecantrop!T35,"AAAAAHbfvhU=")</f>
        <v>#VALUE!</v>
      </c>
      <c r="W111" t="e">
        <f>AND(tecantrop!U35,"AAAAAHbfvhY=")</f>
        <v>#VALUE!</v>
      </c>
      <c r="X111" t="e">
        <f>AND(tecantrop!V35,"AAAAAHbfvhc=")</f>
        <v>#VALUE!</v>
      </c>
      <c r="Y111" t="e">
        <f>AND(tecantrop!W35,"AAAAAHbfvhg=")</f>
        <v>#VALUE!</v>
      </c>
      <c r="Z111" t="e">
        <f>AND(tecantrop!X35,"AAAAAHbfvhk=")</f>
        <v>#VALUE!</v>
      </c>
      <c r="AA111">
        <f>IF(tecantrop!36:36,"AAAAAHbfvho=",0)</f>
        <v>0</v>
      </c>
      <c r="AB111" t="e">
        <f>AND(tecantrop!A36,"AAAAAHbfvhs=")</f>
        <v>#VALUE!</v>
      </c>
      <c r="AC111" t="e">
        <f>AND(tecantrop!B36,"AAAAAHbfvhw=")</f>
        <v>#VALUE!</v>
      </c>
      <c r="AD111" t="e">
        <f>AND(tecantrop!C36,"AAAAAHbfvh0=")</f>
        <v>#VALUE!</v>
      </c>
      <c r="AE111" t="e">
        <f>AND(tecantrop!D36,"AAAAAHbfvh4=")</f>
        <v>#VALUE!</v>
      </c>
      <c r="AF111" t="e">
        <f>AND(tecantrop!E36,"AAAAAHbfvh8=")</f>
        <v>#VALUE!</v>
      </c>
      <c r="AG111" t="e">
        <f>AND(tecantrop!F36,"AAAAAHbfviA=")</f>
        <v>#VALUE!</v>
      </c>
      <c r="AH111" t="e">
        <f>AND(tecantrop!G36,"AAAAAHbfviE=")</f>
        <v>#VALUE!</v>
      </c>
      <c r="AI111" t="e">
        <f>AND(tecantrop!H36,"AAAAAHbfviI=")</f>
        <v>#VALUE!</v>
      </c>
      <c r="AJ111" t="e">
        <f>AND(tecantrop!I36,"AAAAAHbfviM=")</f>
        <v>#VALUE!</v>
      </c>
      <c r="AK111" t="e">
        <f>AND(tecantrop!J36,"AAAAAHbfviQ=")</f>
        <v>#VALUE!</v>
      </c>
      <c r="AL111" t="e">
        <f>AND(tecantrop!K36,"AAAAAHbfviU=")</f>
        <v>#VALUE!</v>
      </c>
      <c r="AM111" t="e">
        <f>AND(tecantrop!L36,"AAAAAHbfviY=")</f>
        <v>#VALUE!</v>
      </c>
      <c r="AN111" t="e">
        <f>AND(tecantrop!M36,"AAAAAHbfvic=")</f>
        <v>#VALUE!</v>
      </c>
      <c r="AO111" t="e">
        <f>AND(tecantrop!N36,"AAAAAHbfvig=")</f>
        <v>#VALUE!</v>
      </c>
      <c r="AP111" t="e">
        <f>AND(tecantrop!O36,"AAAAAHbfvik=")</f>
        <v>#VALUE!</v>
      </c>
      <c r="AQ111" t="e">
        <f>AND(tecantrop!P36,"AAAAAHbfvio=")</f>
        <v>#VALUE!</v>
      </c>
      <c r="AR111" t="e">
        <f>AND(tecantrop!Q36,"AAAAAHbfvis=")</f>
        <v>#VALUE!</v>
      </c>
      <c r="AS111" t="e">
        <f>AND(tecantrop!R36,"AAAAAHbfviw=")</f>
        <v>#VALUE!</v>
      </c>
      <c r="AT111" t="e">
        <f>AND(tecantrop!S36,"AAAAAHbfvi0=")</f>
        <v>#VALUE!</v>
      </c>
      <c r="AU111" t="e">
        <f>AND(tecantrop!T36,"AAAAAHbfvi4=")</f>
        <v>#VALUE!</v>
      </c>
      <c r="AV111" t="e">
        <f>AND(tecantrop!U36,"AAAAAHbfvi8=")</f>
        <v>#VALUE!</v>
      </c>
      <c r="AW111" t="e">
        <f>AND(tecantrop!V36,"AAAAAHbfvjA=")</f>
        <v>#VALUE!</v>
      </c>
      <c r="AX111" t="e">
        <f>AND(tecantrop!W36,"AAAAAHbfvjE=")</f>
        <v>#VALUE!</v>
      </c>
      <c r="AY111" t="e">
        <f>AND(tecantrop!X36,"AAAAAHbfvjI=")</f>
        <v>#VALUE!</v>
      </c>
      <c r="AZ111">
        <f>IF(tecantrop!37:37,"AAAAAHbfvjM=",0)</f>
        <v>0</v>
      </c>
      <c r="BA111" t="e">
        <f>AND(tecantrop!A37,"AAAAAHbfvjQ=")</f>
        <v>#VALUE!</v>
      </c>
      <c r="BB111" t="e">
        <f>AND(tecantrop!B37,"AAAAAHbfvjU=")</f>
        <v>#VALUE!</v>
      </c>
      <c r="BC111" t="e">
        <f>AND(tecantrop!C37,"AAAAAHbfvjY=")</f>
        <v>#VALUE!</v>
      </c>
      <c r="BD111" t="e">
        <f>AND(tecantrop!D37,"AAAAAHbfvjc=")</f>
        <v>#VALUE!</v>
      </c>
      <c r="BE111" t="e">
        <f>AND(tecantrop!E37,"AAAAAHbfvjg=")</f>
        <v>#VALUE!</v>
      </c>
      <c r="BF111" t="e">
        <f>AND(tecantrop!F37,"AAAAAHbfvjk=")</f>
        <v>#VALUE!</v>
      </c>
      <c r="BG111" t="e">
        <f>AND(tecantrop!G37,"AAAAAHbfvjo=")</f>
        <v>#VALUE!</v>
      </c>
      <c r="BH111" t="e">
        <f>AND(tecantrop!H37,"AAAAAHbfvjs=")</f>
        <v>#VALUE!</v>
      </c>
      <c r="BI111" t="e">
        <f>AND(tecantrop!I37,"AAAAAHbfvjw=")</f>
        <v>#VALUE!</v>
      </c>
      <c r="BJ111" t="e">
        <f>AND(tecantrop!J37,"AAAAAHbfvj0=")</f>
        <v>#VALUE!</v>
      </c>
      <c r="BK111" t="e">
        <f>AND(tecantrop!K37,"AAAAAHbfvj4=")</f>
        <v>#VALUE!</v>
      </c>
      <c r="BL111" t="e">
        <f>AND(tecantrop!L37,"AAAAAHbfvj8=")</f>
        <v>#VALUE!</v>
      </c>
      <c r="BM111" t="e">
        <f>AND(tecantrop!M37,"AAAAAHbfvkA=")</f>
        <v>#VALUE!</v>
      </c>
      <c r="BN111" t="e">
        <f>AND(tecantrop!N37,"AAAAAHbfvkE=")</f>
        <v>#VALUE!</v>
      </c>
      <c r="BO111" t="e">
        <f>AND(tecantrop!O37,"AAAAAHbfvkI=")</f>
        <v>#VALUE!</v>
      </c>
      <c r="BP111" t="e">
        <f>AND(tecantrop!P37,"AAAAAHbfvkM=")</f>
        <v>#VALUE!</v>
      </c>
      <c r="BQ111" t="e">
        <f>AND(tecantrop!Q37,"AAAAAHbfvkQ=")</f>
        <v>#VALUE!</v>
      </c>
      <c r="BR111" t="e">
        <f>AND(tecantrop!R37,"AAAAAHbfvkU=")</f>
        <v>#VALUE!</v>
      </c>
      <c r="BS111" t="e">
        <f>AND(tecantrop!S37,"AAAAAHbfvkY=")</f>
        <v>#VALUE!</v>
      </c>
      <c r="BT111" t="e">
        <f>AND(tecantrop!T37,"AAAAAHbfvkc=")</f>
        <v>#VALUE!</v>
      </c>
      <c r="BU111" t="e">
        <f>AND(tecantrop!U37,"AAAAAHbfvkg=")</f>
        <v>#VALUE!</v>
      </c>
      <c r="BV111" t="e">
        <f>AND(tecantrop!V37,"AAAAAHbfvkk=")</f>
        <v>#VALUE!</v>
      </c>
      <c r="BW111" t="e">
        <f>AND(tecantrop!W37,"AAAAAHbfvko=")</f>
        <v>#VALUE!</v>
      </c>
      <c r="BX111" t="e">
        <f>AND(tecantrop!X37,"AAAAAHbfvks=")</f>
        <v>#VALUE!</v>
      </c>
      <c r="BY111">
        <f>IF(tecantrop!38:38,"AAAAAHbfvkw=",0)</f>
        <v>0</v>
      </c>
      <c r="BZ111" t="e">
        <f>AND(tecantrop!A38,"AAAAAHbfvk0=")</f>
        <v>#VALUE!</v>
      </c>
      <c r="CA111" t="e">
        <f>AND(tecantrop!B38,"AAAAAHbfvk4=")</f>
        <v>#VALUE!</v>
      </c>
      <c r="CB111" t="e">
        <f>AND(tecantrop!C38,"AAAAAHbfvk8=")</f>
        <v>#VALUE!</v>
      </c>
      <c r="CC111" t="e">
        <f>AND(tecantrop!D38,"AAAAAHbfvlA=")</f>
        <v>#VALUE!</v>
      </c>
      <c r="CD111" t="e">
        <f>AND(tecantrop!E38,"AAAAAHbfvlE=")</f>
        <v>#VALUE!</v>
      </c>
      <c r="CE111" t="e">
        <f>AND(tecantrop!F38,"AAAAAHbfvlI=")</f>
        <v>#VALUE!</v>
      </c>
      <c r="CF111" t="e">
        <f>AND(tecantrop!G38,"AAAAAHbfvlM=")</f>
        <v>#VALUE!</v>
      </c>
      <c r="CG111" t="e">
        <f>AND(tecantrop!H38,"AAAAAHbfvlQ=")</f>
        <v>#VALUE!</v>
      </c>
      <c r="CH111" t="e">
        <f>AND(tecantrop!I38,"AAAAAHbfvlU=")</f>
        <v>#VALUE!</v>
      </c>
      <c r="CI111" t="e">
        <f>AND(tecantrop!J38,"AAAAAHbfvlY=")</f>
        <v>#VALUE!</v>
      </c>
      <c r="CJ111" t="e">
        <f>AND(tecantrop!K38,"AAAAAHbfvlc=")</f>
        <v>#VALUE!</v>
      </c>
      <c r="CK111" t="e">
        <f>AND(tecantrop!L38,"AAAAAHbfvlg=")</f>
        <v>#VALUE!</v>
      </c>
      <c r="CL111" t="e">
        <f>AND(tecantrop!M38,"AAAAAHbfvlk=")</f>
        <v>#VALUE!</v>
      </c>
      <c r="CM111" t="e">
        <f>AND(tecantrop!N38,"AAAAAHbfvlo=")</f>
        <v>#VALUE!</v>
      </c>
      <c r="CN111" t="e">
        <f>AND(tecantrop!O38,"AAAAAHbfvls=")</f>
        <v>#VALUE!</v>
      </c>
      <c r="CO111" t="e">
        <f>AND(tecantrop!P38,"AAAAAHbfvlw=")</f>
        <v>#VALUE!</v>
      </c>
      <c r="CP111" t="e">
        <f>AND(tecantrop!Q38,"AAAAAHbfvl0=")</f>
        <v>#VALUE!</v>
      </c>
      <c r="CQ111" t="e">
        <f>AND(tecantrop!R38,"AAAAAHbfvl4=")</f>
        <v>#VALUE!</v>
      </c>
      <c r="CR111" t="e">
        <f>AND(tecantrop!S38,"AAAAAHbfvl8=")</f>
        <v>#VALUE!</v>
      </c>
      <c r="CS111" t="e">
        <f>AND(tecantrop!T38,"AAAAAHbfvmA=")</f>
        <v>#VALUE!</v>
      </c>
      <c r="CT111" t="e">
        <f>AND(tecantrop!U38,"AAAAAHbfvmE=")</f>
        <v>#VALUE!</v>
      </c>
      <c r="CU111" t="e">
        <f>AND(tecantrop!V38,"AAAAAHbfvmI=")</f>
        <v>#VALUE!</v>
      </c>
      <c r="CV111" t="e">
        <f>AND(tecantrop!W38,"AAAAAHbfvmM=")</f>
        <v>#VALUE!</v>
      </c>
      <c r="CW111" t="e">
        <f>AND(tecantrop!X38,"AAAAAHbfvmQ=")</f>
        <v>#VALUE!</v>
      </c>
      <c r="CX111">
        <f>IF(tecantrop!39:39,"AAAAAHbfvmU=",0)</f>
        <v>0</v>
      </c>
      <c r="CY111" t="e">
        <f>AND(tecantrop!A39,"AAAAAHbfvmY=")</f>
        <v>#VALUE!</v>
      </c>
      <c r="CZ111" t="e">
        <f>AND(tecantrop!B39,"AAAAAHbfvmc=")</f>
        <v>#VALUE!</v>
      </c>
      <c r="DA111" t="e">
        <f>AND(tecantrop!C39,"AAAAAHbfvmg=")</f>
        <v>#VALUE!</v>
      </c>
      <c r="DB111" t="e">
        <f>AND(tecantrop!D39,"AAAAAHbfvmk=")</f>
        <v>#VALUE!</v>
      </c>
      <c r="DC111" t="e">
        <f>AND(tecantrop!E39,"AAAAAHbfvmo=")</f>
        <v>#VALUE!</v>
      </c>
      <c r="DD111" t="e">
        <f>AND(tecantrop!F39,"AAAAAHbfvms=")</f>
        <v>#VALUE!</v>
      </c>
      <c r="DE111" t="e">
        <f>AND(tecantrop!G39,"AAAAAHbfvmw=")</f>
        <v>#VALUE!</v>
      </c>
      <c r="DF111" t="e">
        <f>AND(tecantrop!H39,"AAAAAHbfvm0=")</f>
        <v>#VALUE!</v>
      </c>
      <c r="DG111" t="e">
        <f>AND(tecantrop!I39,"AAAAAHbfvm4=")</f>
        <v>#VALUE!</v>
      </c>
      <c r="DH111" t="e">
        <f>AND(tecantrop!J39,"AAAAAHbfvm8=")</f>
        <v>#VALUE!</v>
      </c>
      <c r="DI111" t="e">
        <f>AND(tecantrop!K39,"AAAAAHbfvnA=")</f>
        <v>#VALUE!</v>
      </c>
      <c r="DJ111" t="e">
        <f>AND(tecantrop!L39,"AAAAAHbfvnE=")</f>
        <v>#VALUE!</v>
      </c>
      <c r="DK111" t="e">
        <f>AND(tecantrop!M39,"AAAAAHbfvnI=")</f>
        <v>#VALUE!</v>
      </c>
      <c r="DL111" t="e">
        <f>AND(tecantrop!N39,"AAAAAHbfvnM=")</f>
        <v>#VALUE!</v>
      </c>
      <c r="DM111" t="e">
        <f>AND(tecantrop!O39,"AAAAAHbfvnQ=")</f>
        <v>#VALUE!</v>
      </c>
      <c r="DN111" t="e">
        <f>AND(tecantrop!P39,"AAAAAHbfvnU=")</f>
        <v>#VALUE!</v>
      </c>
      <c r="DO111" t="e">
        <f>AND(tecantrop!Q39,"AAAAAHbfvnY=")</f>
        <v>#VALUE!</v>
      </c>
      <c r="DP111" t="e">
        <f>AND(tecantrop!R39,"AAAAAHbfvnc=")</f>
        <v>#VALUE!</v>
      </c>
      <c r="DQ111" t="e">
        <f>AND(tecantrop!S39,"AAAAAHbfvng=")</f>
        <v>#VALUE!</v>
      </c>
      <c r="DR111" t="e">
        <f>AND(tecantrop!T39,"AAAAAHbfvnk=")</f>
        <v>#VALUE!</v>
      </c>
      <c r="DS111" t="e">
        <f>AND(tecantrop!U39,"AAAAAHbfvno=")</f>
        <v>#VALUE!</v>
      </c>
      <c r="DT111" t="e">
        <f>AND(tecantrop!V39,"AAAAAHbfvns=")</f>
        <v>#VALUE!</v>
      </c>
      <c r="DU111" t="e">
        <f>AND(tecantrop!W39,"AAAAAHbfvnw=")</f>
        <v>#VALUE!</v>
      </c>
      <c r="DV111" t="e">
        <f>AND(tecantrop!X39,"AAAAAHbfvn0=")</f>
        <v>#VALUE!</v>
      </c>
      <c r="DW111">
        <f>IF(tecantrop!40:40,"AAAAAHbfvn4=",0)</f>
        <v>0</v>
      </c>
      <c r="DX111" t="e">
        <f>AND(tecantrop!A40,"AAAAAHbfvn8=")</f>
        <v>#VALUE!</v>
      </c>
      <c r="DY111" t="e">
        <f>AND(tecantrop!B40,"AAAAAHbfvoA=")</f>
        <v>#VALUE!</v>
      </c>
      <c r="DZ111" t="e">
        <f>AND(tecantrop!C40,"AAAAAHbfvoE=")</f>
        <v>#VALUE!</v>
      </c>
      <c r="EA111" t="e">
        <f>AND(tecantrop!D40,"AAAAAHbfvoI=")</f>
        <v>#VALUE!</v>
      </c>
      <c r="EB111" t="e">
        <f>AND(tecantrop!E40,"AAAAAHbfvoM=")</f>
        <v>#VALUE!</v>
      </c>
      <c r="EC111" t="e">
        <f>AND(tecantrop!F40,"AAAAAHbfvoQ=")</f>
        <v>#VALUE!</v>
      </c>
      <c r="ED111" t="e">
        <f>AND(tecantrop!G40,"AAAAAHbfvoU=")</f>
        <v>#VALUE!</v>
      </c>
      <c r="EE111" t="e">
        <f>AND(tecantrop!H40,"AAAAAHbfvoY=")</f>
        <v>#VALUE!</v>
      </c>
      <c r="EF111" t="e">
        <f>AND(tecantrop!I40,"AAAAAHbfvoc=")</f>
        <v>#VALUE!</v>
      </c>
      <c r="EG111" t="e">
        <f>AND(tecantrop!J40,"AAAAAHbfvog=")</f>
        <v>#VALUE!</v>
      </c>
      <c r="EH111" t="e">
        <f>AND(tecantrop!K40,"AAAAAHbfvok=")</f>
        <v>#VALUE!</v>
      </c>
      <c r="EI111" t="e">
        <f>AND(tecantrop!L40,"AAAAAHbfvoo=")</f>
        <v>#VALUE!</v>
      </c>
      <c r="EJ111" t="e">
        <f>AND(tecantrop!M40,"AAAAAHbfvos=")</f>
        <v>#VALUE!</v>
      </c>
      <c r="EK111" t="e">
        <f>AND(tecantrop!N40,"AAAAAHbfvow=")</f>
        <v>#VALUE!</v>
      </c>
      <c r="EL111" t="e">
        <f>AND(tecantrop!O40,"AAAAAHbfvo0=")</f>
        <v>#VALUE!</v>
      </c>
      <c r="EM111" t="e">
        <f>AND(tecantrop!P40,"AAAAAHbfvo4=")</f>
        <v>#VALUE!</v>
      </c>
      <c r="EN111" t="e">
        <f>AND(tecantrop!Q40,"AAAAAHbfvo8=")</f>
        <v>#VALUE!</v>
      </c>
      <c r="EO111" t="e">
        <f>AND(tecantrop!R40,"AAAAAHbfvpA=")</f>
        <v>#VALUE!</v>
      </c>
      <c r="EP111" t="e">
        <f>AND(tecantrop!S40,"AAAAAHbfvpE=")</f>
        <v>#VALUE!</v>
      </c>
      <c r="EQ111" t="e">
        <f>AND(tecantrop!T40,"AAAAAHbfvpI=")</f>
        <v>#VALUE!</v>
      </c>
      <c r="ER111" t="e">
        <f>AND(tecantrop!U40,"AAAAAHbfvpM=")</f>
        <v>#VALUE!</v>
      </c>
      <c r="ES111" t="e">
        <f>AND(tecantrop!V40,"AAAAAHbfvpQ=")</f>
        <v>#VALUE!</v>
      </c>
      <c r="ET111" t="e">
        <f>AND(tecantrop!W40,"AAAAAHbfvpU=")</f>
        <v>#VALUE!</v>
      </c>
      <c r="EU111" t="e">
        <f>AND(tecantrop!X40,"AAAAAHbfvpY=")</f>
        <v>#VALUE!</v>
      </c>
      <c r="EV111">
        <f>IF(tecantrop!41:41,"AAAAAHbfvpc=",0)</f>
        <v>0</v>
      </c>
      <c r="EW111" t="e">
        <f>AND(tecantrop!A41,"AAAAAHbfvpg=")</f>
        <v>#VALUE!</v>
      </c>
      <c r="EX111" t="e">
        <f>AND(tecantrop!B41,"AAAAAHbfvpk=")</f>
        <v>#VALUE!</v>
      </c>
      <c r="EY111" t="e">
        <f>AND(tecantrop!C41,"AAAAAHbfvpo=")</f>
        <v>#VALUE!</v>
      </c>
      <c r="EZ111" t="e">
        <f>AND(tecantrop!D41,"AAAAAHbfvps=")</f>
        <v>#VALUE!</v>
      </c>
      <c r="FA111" t="e">
        <f>AND(tecantrop!E41,"AAAAAHbfvpw=")</f>
        <v>#VALUE!</v>
      </c>
      <c r="FB111" t="e">
        <f>AND(tecantrop!F41,"AAAAAHbfvp0=")</f>
        <v>#VALUE!</v>
      </c>
      <c r="FC111" t="e">
        <f>AND(tecantrop!G41,"AAAAAHbfvp4=")</f>
        <v>#VALUE!</v>
      </c>
      <c r="FD111" t="e">
        <f>AND(tecantrop!H41,"AAAAAHbfvp8=")</f>
        <v>#VALUE!</v>
      </c>
      <c r="FE111" t="e">
        <f>AND(tecantrop!I41,"AAAAAHbfvqA=")</f>
        <v>#VALUE!</v>
      </c>
      <c r="FF111" t="e">
        <f>AND(tecantrop!J41,"AAAAAHbfvqE=")</f>
        <v>#VALUE!</v>
      </c>
      <c r="FG111" t="e">
        <f>AND(tecantrop!K41,"AAAAAHbfvqI=")</f>
        <v>#VALUE!</v>
      </c>
      <c r="FH111" t="e">
        <f>AND(tecantrop!L41,"AAAAAHbfvqM=")</f>
        <v>#VALUE!</v>
      </c>
      <c r="FI111" t="e">
        <f>AND(tecantrop!M41,"AAAAAHbfvqQ=")</f>
        <v>#VALUE!</v>
      </c>
      <c r="FJ111" t="e">
        <f>AND(tecantrop!N41,"AAAAAHbfvqU=")</f>
        <v>#VALUE!</v>
      </c>
      <c r="FK111" t="e">
        <f>AND(tecantrop!O41,"AAAAAHbfvqY=")</f>
        <v>#VALUE!</v>
      </c>
      <c r="FL111" t="e">
        <f>AND(tecantrop!P41,"AAAAAHbfvqc=")</f>
        <v>#VALUE!</v>
      </c>
      <c r="FM111" t="e">
        <f>AND(tecantrop!Q41,"AAAAAHbfvqg=")</f>
        <v>#VALUE!</v>
      </c>
      <c r="FN111" t="e">
        <f>AND(tecantrop!R41,"AAAAAHbfvqk=")</f>
        <v>#VALUE!</v>
      </c>
      <c r="FO111" t="e">
        <f>AND(tecantrop!S41,"AAAAAHbfvqo=")</f>
        <v>#VALUE!</v>
      </c>
      <c r="FP111" t="e">
        <f>AND(tecantrop!T41,"AAAAAHbfvqs=")</f>
        <v>#VALUE!</v>
      </c>
      <c r="FQ111" t="e">
        <f>AND(tecantrop!U41,"AAAAAHbfvqw=")</f>
        <v>#VALUE!</v>
      </c>
      <c r="FR111" t="e">
        <f>AND(tecantrop!V41,"AAAAAHbfvq0=")</f>
        <v>#VALUE!</v>
      </c>
      <c r="FS111" t="e">
        <f>AND(tecantrop!W41,"AAAAAHbfvq4=")</f>
        <v>#VALUE!</v>
      </c>
      <c r="FT111" t="e">
        <f>AND(tecantrop!X41,"AAAAAHbfvq8=")</f>
        <v>#VALUE!</v>
      </c>
      <c r="FU111">
        <f>IF(tecantrop!42:42,"AAAAAHbfvrA=",0)</f>
        <v>0</v>
      </c>
      <c r="FV111" t="e">
        <f>AND(tecantrop!A42,"AAAAAHbfvrE=")</f>
        <v>#VALUE!</v>
      </c>
      <c r="FW111" t="e">
        <f>AND(tecantrop!B42,"AAAAAHbfvrI=")</f>
        <v>#VALUE!</v>
      </c>
      <c r="FX111" t="e">
        <f>AND(tecantrop!C42,"AAAAAHbfvrM=")</f>
        <v>#VALUE!</v>
      </c>
      <c r="FY111" t="e">
        <f>AND(tecantrop!D42,"AAAAAHbfvrQ=")</f>
        <v>#VALUE!</v>
      </c>
      <c r="FZ111" t="e">
        <f>AND(tecantrop!E42,"AAAAAHbfvrU=")</f>
        <v>#VALUE!</v>
      </c>
      <c r="GA111" t="e">
        <f>AND(tecantrop!F42,"AAAAAHbfvrY=")</f>
        <v>#VALUE!</v>
      </c>
      <c r="GB111" t="e">
        <f>AND(tecantrop!G42,"AAAAAHbfvrc=")</f>
        <v>#VALUE!</v>
      </c>
      <c r="GC111" t="e">
        <f>AND(tecantrop!H42,"AAAAAHbfvrg=")</f>
        <v>#VALUE!</v>
      </c>
      <c r="GD111" t="e">
        <f>AND(tecantrop!I42,"AAAAAHbfvrk=")</f>
        <v>#VALUE!</v>
      </c>
      <c r="GE111" t="e">
        <f>AND(tecantrop!J42,"AAAAAHbfvro=")</f>
        <v>#VALUE!</v>
      </c>
      <c r="GF111" t="e">
        <f>AND(tecantrop!K42,"AAAAAHbfvrs=")</f>
        <v>#VALUE!</v>
      </c>
      <c r="GG111" t="e">
        <f>AND(tecantrop!L42,"AAAAAHbfvrw=")</f>
        <v>#VALUE!</v>
      </c>
      <c r="GH111" t="e">
        <f>AND(tecantrop!M42,"AAAAAHbfvr0=")</f>
        <v>#VALUE!</v>
      </c>
      <c r="GI111" t="e">
        <f>AND(tecantrop!N42,"AAAAAHbfvr4=")</f>
        <v>#VALUE!</v>
      </c>
      <c r="GJ111" t="e">
        <f>AND(tecantrop!O42,"AAAAAHbfvr8=")</f>
        <v>#VALUE!</v>
      </c>
      <c r="GK111" t="e">
        <f>AND(tecantrop!P42,"AAAAAHbfvsA=")</f>
        <v>#VALUE!</v>
      </c>
      <c r="GL111" t="e">
        <f>AND(tecantrop!Q42,"AAAAAHbfvsE=")</f>
        <v>#VALUE!</v>
      </c>
      <c r="GM111" t="e">
        <f>AND(tecantrop!R42,"AAAAAHbfvsI=")</f>
        <v>#VALUE!</v>
      </c>
      <c r="GN111" t="e">
        <f>AND(tecantrop!S42,"AAAAAHbfvsM=")</f>
        <v>#VALUE!</v>
      </c>
      <c r="GO111" t="e">
        <f>AND(tecantrop!T42,"AAAAAHbfvsQ=")</f>
        <v>#VALUE!</v>
      </c>
      <c r="GP111" t="e">
        <f>AND(tecantrop!U42,"AAAAAHbfvsU=")</f>
        <v>#VALUE!</v>
      </c>
      <c r="GQ111" t="e">
        <f>AND(tecantrop!V42,"AAAAAHbfvsY=")</f>
        <v>#VALUE!</v>
      </c>
      <c r="GR111" t="e">
        <f>AND(tecantrop!W42,"AAAAAHbfvsc=")</f>
        <v>#VALUE!</v>
      </c>
      <c r="GS111" t="e">
        <f>AND(tecantrop!X42,"AAAAAHbfvsg=")</f>
        <v>#VALUE!</v>
      </c>
      <c r="GT111">
        <f>IF(tecantrop!43:43,"AAAAAHbfvsk=",0)</f>
        <v>0</v>
      </c>
      <c r="GU111" t="e">
        <f>AND(tecantrop!A43,"AAAAAHbfvso=")</f>
        <v>#VALUE!</v>
      </c>
      <c r="GV111" t="e">
        <f>AND(tecantrop!B43,"AAAAAHbfvss=")</f>
        <v>#VALUE!</v>
      </c>
      <c r="GW111" t="e">
        <f>AND(tecantrop!C43,"AAAAAHbfvsw=")</f>
        <v>#VALUE!</v>
      </c>
      <c r="GX111" t="e">
        <f>AND(tecantrop!D43,"AAAAAHbfvs0=")</f>
        <v>#VALUE!</v>
      </c>
      <c r="GY111" t="e">
        <f>AND(tecantrop!E43,"AAAAAHbfvs4=")</f>
        <v>#VALUE!</v>
      </c>
      <c r="GZ111" t="e">
        <f>AND(tecantrop!F43,"AAAAAHbfvs8=")</f>
        <v>#VALUE!</v>
      </c>
      <c r="HA111" t="e">
        <f>AND(tecantrop!G43,"AAAAAHbfvtA=")</f>
        <v>#VALUE!</v>
      </c>
      <c r="HB111" t="e">
        <f>AND(tecantrop!H43,"AAAAAHbfvtE=")</f>
        <v>#VALUE!</v>
      </c>
      <c r="HC111" t="e">
        <f>AND(tecantrop!I43,"AAAAAHbfvtI=")</f>
        <v>#VALUE!</v>
      </c>
      <c r="HD111" t="e">
        <f>AND(tecantrop!J43,"AAAAAHbfvtM=")</f>
        <v>#VALUE!</v>
      </c>
      <c r="HE111" t="e">
        <f>AND(tecantrop!K43,"AAAAAHbfvtQ=")</f>
        <v>#VALUE!</v>
      </c>
      <c r="HF111" t="e">
        <f>AND(tecantrop!L43,"AAAAAHbfvtU=")</f>
        <v>#VALUE!</v>
      </c>
      <c r="HG111" t="e">
        <f>AND(tecantrop!M43,"AAAAAHbfvtY=")</f>
        <v>#VALUE!</v>
      </c>
      <c r="HH111" t="e">
        <f>AND(tecantrop!N43,"AAAAAHbfvtc=")</f>
        <v>#VALUE!</v>
      </c>
      <c r="HI111" t="e">
        <f>AND(tecantrop!O43,"AAAAAHbfvtg=")</f>
        <v>#VALUE!</v>
      </c>
      <c r="HJ111" t="e">
        <f>AND(tecantrop!P43,"AAAAAHbfvtk=")</f>
        <v>#VALUE!</v>
      </c>
      <c r="HK111" t="e">
        <f>AND(tecantrop!Q43,"AAAAAHbfvto=")</f>
        <v>#VALUE!</v>
      </c>
      <c r="HL111" t="e">
        <f>AND(tecantrop!R43,"AAAAAHbfvts=")</f>
        <v>#VALUE!</v>
      </c>
      <c r="HM111" t="e">
        <f>AND(tecantrop!S43,"AAAAAHbfvtw=")</f>
        <v>#VALUE!</v>
      </c>
      <c r="HN111" t="e">
        <f>AND(tecantrop!T43,"AAAAAHbfvt0=")</f>
        <v>#VALUE!</v>
      </c>
      <c r="HO111" t="e">
        <f>AND(tecantrop!U43,"AAAAAHbfvt4=")</f>
        <v>#VALUE!</v>
      </c>
      <c r="HP111" t="e">
        <f>AND(tecantrop!V43,"AAAAAHbfvt8=")</f>
        <v>#VALUE!</v>
      </c>
      <c r="HQ111" t="e">
        <f>AND(tecantrop!W43,"AAAAAHbfvuA=")</f>
        <v>#VALUE!</v>
      </c>
      <c r="HR111" t="e">
        <f>AND(tecantrop!X43,"AAAAAHbfvuE=")</f>
        <v>#VALUE!</v>
      </c>
      <c r="HS111">
        <f>IF(tecantrop!44:44,"AAAAAHbfvuI=",0)</f>
        <v>0</v>
      </c>
      <c r="HT111" t="e">
        <f>AND(tecantrop!A44,"AAAAAHbfvuM=")</f>
        <v>#VALUE!</v>
      </c>
      <c r="HU111" t="e">
        <f>AND(tecantrop!B44,"AAAAAHbfvuQ=")</f>
        <v>#VALUE!</v>
      </c>
      <c r="HV111" t="e">
        <f>AND(tecantrop!C44,"AAAAAHbfvuU=")</f>
        <v>#VALUE!</v>
      </c>
      <c r="HW111" t="e">
        <f>AND(tecantrop!D44,"AAAAAHbfvuY=")</f>
        <v>#VALUE!</v>
      </c>
      <c r="HX111" t="e">
        <f>AND(tecantrop!E44,"AAAAAHbfvuc=")</f>
        <v>#VALUE!</v>
      </c>
      <c r="HY111" t="e">
        <f>AND(tecantrop!F44,"AAAAAHbfvug=")</f>
        <v>#VALUE!</v>
      </c>
      <c r="HZ111" t="e">
        <f>AND(tecantrop!G44,"AAAAAHbfvuk=")</f>
        <v>#VALUE!</v>
      </c>
      <c r="IA111" t="e">
        <f>AND(tecantrop!H44,"AAAAAHbfvuo=")</f>
        <v>#VALUE!</v>
      </c>
      <c r="IB111" t="e">
        <f>AND(tecantrop!I44,"AAAAAHbfvus=")</f>
        <v>#VALUE!</v>
      </c>
      <c r="IC111" t="e">
        <f>AND(tecantrop!J44,"AAAAAHbfvuw=")</f>
        <v>#VALUE!</v>
      </c>
      <c r="ID111" t="e">
        <f>AND(tecantrop!K44,"AAAAAHbfvu0=")</f>
        <v>#VALUE!</v>
      </c>
      <c r="IE111" t="e">
        <f>AND(tecantrop!L44,"AAAAAHbfvu4=")</f>
        <v>#VALUE!</v>
      </c>
      <c r="IF111" t="e">
        <f>AND(tecantrop!M44,"AAAAAHbfvu8=")</f>
        <v>#VALUE!</v>
      </c>
      <c r="IG111" t="e">
        <f>AND(tecantrop!N44,"AAAAAHbfvvA=")</f>
        <v>#VALUE!</v>
      </c>
      <c r="IH111" t="e">
        <f>AND(tecantrop!O44,"AAAAAHbfvvE=")</f>
        <v>#VALUE!</v>
      </c>
      <c r="II111" t="e">
        <f>AND(tecantrop!P44,"AAAAAHbfvvI=")</f>
        <v>#VALUE!</v>
      </c>
      <c r="IJ111" t="e">
        <f>AND(tecantrop!Q44,"AAAAAHbfvvM=")</f>
        <v>#VALUE!</v>
      </c>
      <c r="IK111" t="e">
        <f>AND(tecantrop!R44,"AAAAAHbfvvQ=")</f>
        <v>#VALUE!</v>
      </c>
      <c r="IL111" t="e">
        <f>AND(tecantrop!S44,"AAAAAHbfvvU=")</f>
        <v>#VALUE!</v>
      </c>
      <c r="IM111" t="e">
        <f>AND(tecantrop!T44,"AAAAAHbfvvY=")</f>
        <v>#VALUE!</v>
      </c>
      <c r="IN111" t="e">
        <f>AND(tecantrop!U44,"AAAAAHbfvvc=")</f>
        <v>#VALUE!</v>
      </c>
      <c r="IO111" t="e">
        <f>AND(tecantrop!V44,"AAAAAHbfvvg=")</f>
        <v>#VALUE!</v>
      </c>
      <c r="IP111" t="e">
        <f>AND(tecantrop!W44,"AAAAAHbfvvk=")</f>
        <v>#VALUE!</v>
      </c>
      <c r="IQ111" t="e">
        <f>AND(tecantrop!X44,"AAAAAHbfvvo=")</f>
        <v>#VALUE!</v>
      </c>
      <c r="IR111">
        <f>IF(tecantrop!45:45,"AAAAAHbfvvs=",0)</f>
        <v>0</v>
      </c>
      <c r="IS111" t="e">
        <f>AND(tecantrop!A45,"AAAAAHbfvvw=")</f>
        <v>#VALUE!</v>
      </c>
      <c r="IT111" t="e">
        <f>AND(tecantrop!B45,"AAAAAHbfvv0=")</f>
        <v>#VALUE!</v>
      </c>
      <c r="IU111" t="e">
        <f>AND(tecantrop!C45,"AAAAAHbfvv4=")</f>
        <v>#VALUE!</v>
      </c>
      <c r="IV111" t="e">
        <f>AND(tecantrop!D45,"AAAAAHbfvv8=")</f>
        <v>#VALUE!</v>
      </c>
    </row>
    <row r="112" spans="1:256" x14ac:dyDescent="0.2">
      <c r="A112" t="e">
        <f>AND(tecantrop!E45,"AAAAAD7e6AA=")</f>
        <v>#VALUE!</v>
      </c>
      <c r="B112" t="e">
        <f>AND(tecantrop!F45,"AAAAAD7e6AE=")</f>
        <v>#VALUE!</v>
      </c>
      <c r="C112" t="e">
        <f>AND(tecantrop!G45,"AAAAAD7e6AI=")</f>
        <v>#VALUE!</v>
      </c>
      <c r="D112" t="e">
        <f>AND(tecantrop!H45,"AAAAAD7e6AM=")</f>
        <v>#VALUE!</v>
      </c>
      <c r="E112" t="e">
        <f>AND(tecantrop!I45,"AAAAAD7e6AQ=")</f>
        <v>#VALUE!</v>
      </c>
      <c r="F112" t="e">
        <f>AND(tecantrop!J45,"AAAAAD7e6AU=")</f>
        <v>#VALUE!</v>
      </c>
      <c r="G112" t="e">
        <f>AND(tecantrop!K45,"AAAAAD7e6AY=")</f>
        <v>#VALUE!</v>
      </c>
      <c r="H112" t="e">
        <f>AND(tecantrop!L45,"AAAAAD7e6Ac=")</f>
        <v>#VALUE!</v>
      </c>
      <c r="I112" t="e">
        <f>AND(tecantrop!M45,"AAAAAD7e6Ag=")</f>
        <v>#VALUE!</v>
      </c>
      <c r="J112" t="e">
        <f>AND(tecantrop!N45,"AAAAAD7e6Ak=")</f>
        <v>#VALUE!</v>
      </c>
      <c r="K112" t="e">
        <f>AND(tecantrop!O45,"AAAAAD7e6Ao=")</f>
        <v>#VALUE!</v>
      </c>
      <c r="L112" t="e">
        <f>AND(tecantrop!P45,"AAAAAD7e6As=")</f>
        <v>#VALUE!</v>
      </c>
      <c r="M112" t="e">
        <f>AND(tecantrop!Q45,"AAAAAD7e6Aw=")</f>
        <v>#VALUE!</v>
      </c>
      <c r="N112" t="e">
        <f>AND(tecantrop!R45,"AAAAAD7e6A0=")</f>
        <v>#VALUE!</v>
      </c>
      <c r="O112" t="e">
        <f>AND(tecantrop!S45,"AAAAAD7e6A4=")</f>
        <v>#VALUE!</v>
      </c>
      <c r="P112" t="e">
        <f>AND(tecantrop!T45,"AAAAAD7e6A8=")</f>
        <v>#VALUE!</v>
      </c>
      <c r="Q112" t="e">
        <f>AND(tecantrop!U45,"AAAAAD7e6BA=")</f>
        <v>#VALUE!</v>
      </c>
      <c r="R112" t="e">
        <f>AND(tecantrop!V45,"AAAAAD7e6BE=")</f>
        <v>#VALUE!</v>
      </c>
      <c r="S112" t="e">
        <f>AND(tecantrop!W45,"AAAAAD7e6BI=")</f>
        <v>#VALUE!</v>
      </c>
      <c r="T112" t="e">
        <f>AND(tecantrop!X45,"AAAAAD7e6BM=")</f>
        <v>#VALUE!</v>
      </c>
      <c r="U112">
        <f>IF(tecantrop!46:46,"AAAAAD7e6BQ=",0)</f>
        <v>0</v>
      </c>
      <c r="V112" t="e">
        <f>AND(tecantrop!A46,"AAAAAD7e6BU=")</f>
        <v>#VALUE!</v>
      </c>
      <c r="W112" t="e">
        <f>AND(tecantrop!B46,"AAAAAD7e6BY=")</f>
        <v>#VALUE!</v>
      </c>
      <c r="X112" t="e">
        <f>AND(tecantrop!C46,"AAAAAD7e6Bc=")</f>
        <v>#VALUE!</v>
      </c>
      <c r="Y112" t="e">
        <f>AND(tecantrop!D46,"AAAAAD7e6Bg=")</f>
        <v>#VALUE!</v>
      </c>
      <c r="Z112" t="e">
        <f>AND(tecantrop!E46,"AAAAAD7e6Bk=")</f>
        <v>#VALUE!</v>
      </c>
      <c r="AA112" t="e">
        <f>AND(tecantrop!F46,"AAAAAD7e6Bo=")</f>
        <v>#VALUE!</v>
      </c>
      <c r="AB112" t="e">
        <f>AND(tecantrop!G46,"AAAAAD7e6Bs=")</f>
        <v>#VALUE!</v>
      </c>
      <c r="AC112" t="e">
        <f>AND(tecantrop!H46,"AAAAAD7e6Bw=")</f>
        <v>#VALUE!</v>
      </c>
      <c r="AD112" t="e">
        <f>AND(tecantrop!I46,"AAAAAD7e6B0=")</f>
        <v>#VALUE!</v>
      </c>
      <c r="AE112" t="e">
        <f>AND(tecantrop!J46,"AAAAAD7e6B4=")</f>
        <v>#VALUE!</v>
      </c>
      <c r="AF112" t="e">
        <f>AND(tecantrop!K46,"AAAAAD7e6B8=")</f>
        <v>#VALUE!</v>
      </c>
      <c r="AG112" t="e">
        <f>AND(tecantrop!L46,"AAAAAD7e6CA=")</f>
        <v>#VALUE!</v>
      </c>
      <c r="AH112" t="e">
        <f>AND(tecantrop!M46,"AAAAAD7e6CE=")</f>
        <v>#VALUE!</v>
      </c>
      <c r="AI112" t="e">
        <f>AND(tecantrop!N46,"AAAAAD7e6CI=")</f>
        <v>#VALUE!</v>
      </c>
      <c r="AJ112" t="e">
        <f>AND(tecantrop!O46,"AAAAAD7e6CM=")</f>
        <v>#VALUE!</v>
      </c>
      <c r="AK112" t="e">
        <f>AND(tecantrop!P46,"AAAAAD7e6CQ=")</f>
        <v>#VALUE!</v>
      </c>
      <c r="AL112" t="e">
        <f>AND(tecantrop!Q46,"AAAAAD7e6CU=")</f>
        <v>#VALUE!</v>
      </c>
      <c r="AM112" t="e">
        <f>AND(tecantrop!R46,"AAAAAD7e6CY=")</f>
        <v>#VALUE!</v>
      </c>
      <c r="AN112" t="e">
        <f>AND(tecantrop!S46,"AAAAAD7e6Cc=")</f>
        <v>#VALUE!</v>
      </c>
      <c r="AO112" t="e">
        <f>AND(tecantrop!T46,"AAAAAD7e6Cg=")</f>
        <v>#VALUE!</v>
      </c>
      <c r="AP112" t="e">
        <f>AND(tecantrop!U46,"AAAAAD7e6Ck=")</f>
        <v>#VALUE!</v>
      </c>
      <c r="AQ112" t="e">
        <f>AND(tecantrop!V46,"AAAAAD7e6Co=")</f>
        <v>#VALUE!</v>
      </c>
      <c r="AR112" t="e">
        <f>AND(tecantrop!W46,"AAAAAD7e6Cs=")</f>
        <v>#VALUE!</v>
      </c>
      <c r="AS112" t="e">
        <f>AND(tecantrop!X46,"AAAAAD7e6Cw=")</f>
        <v>#VALUE!</v>
      </c>
      <c r="AT112">
        <f>IF(tecantrop!47:47,"AAAAAD7e6C0=",0)</f>
        <v>0</v>
      </c>
      <c r="AU112" t="e">
        <f>AND(tecantrop!A47,"AAAAAD7e6C4=")</f>
        <v>#VALUE!</v>
      </c>
      <c r="AV112" t="e">
        <f>AND(tecantrop!B47,"AAAAAD7e6C8=")</f>
        <v>#VALUE!</v>
      </c>
      <c r="AW112" t="e">
        <f>AND(tecantrop!C47,"AAAAAD7e6DA=")</f>
        <v>#VALUE!</v>
      </c>
      <c r="AX112" t="e">
        <f>AND(tecantrop!D47,"AAAAAD7e6DE=")</f>
        <v>#VALUE!</v>
      </c>
      <c r="AY112" t="e">
        <f>AND(tecantrop!E47,"AAAAAD7e6DI=")</f>
        <v>#VALUE!</v>
      </c>
      <c r="AZ112" t="e">
        <f>AND(tecantrop!F47,"AAAAAD7e6DM=")</f>
        <v>#VALUE!</v>
      </c>
      <c r="BA112" t="e">
        <f>AND(tecantrop!G47,"AAAAAD7e6DQ=")</f>
        <v>#VALUE!</v>
      </c>
      <c r="BB112" t="e">
        <f>AND(tecantrop!H47,"AAAAAD7e6DU=")</f>
        <v>#VALUE!</v>
      </c>
      <c r="BC112" t="e">
        <f>AND(tecantrop!I47,"AAAAAD7e6DY=")</f>
        <v>#VALUE!</v>
      </c>
      <c r="BD112" t="e">
        <f>AND(tecantrop!J47,"AAAAAD7e6Dc=")</f>
        <v>#VALUE!</v>
      </c>
      <c r="BE112" t="e">
        <f>AND(tecantrop!K47,"AAAAAD7e6Dg=")</f>
        <v>#VALUE!</v>
      </c>
      <c r="BF112" t="e">
        <f>AND(tecantrop!L47,"AAAAAD7e6Dk=")</f>
        <v>#VALUE!</v>
      </c>
      <c r="BG112" t="e">
        <f>AND(tecantrop!M47,"AAAAAD7e6Do=")</f>
        <v>#VALUE!</v>
      </c>
      <c r="BH112" t="e">
        <f>AND(tecantrop!N47,"AAAAAD7e6Ds=")</f>
        <v>#VALUE!</v>
      </c>
      <c r="BI112" t="e">
        <f>AND(tecantrop!O47,"AAAAAD7e6Dw=")</f>
        <v>#VALUE!</v>
      </c>
      <c r="BJ112" t="e">
        <f>AND(tecantrop!P47,"AAAAAD7e6D0=")</f>
        <v>#VALUE!</v>
      </c>
      <c r="BK112" t="e">
        <f>AND(tecantrop!Q47,"AAAAAD7e6D4=")</f>
        <v>#VALUE!</v>
      </c>
      <c r="BL112" t="e">
        <f>AND(tecantrop!R47,"AAAAAD7e6D8=")</f>
        <v>#VALUE!</v>
      </c>
      <c r="BM112" t="e">
        <f>AND(tecantrop!S47,"AAAAAD7e6EA=")</f>
        <v>#VALUE!</v>
      </c>
      <c r="BN112" t="e">
        <f>AND(tecantrop!T47,"AAAAAD7e6EE=")</f>
        <v>#VALUE!</v>
      </c>
      <c r="BO112" t="e">
        <f>AND(tecantrop!U47,"AAAAAD7e6EI=")</f>
        <v>#VALUE!</v>
      </c>
      <c r="BP112" t="e">
        <f>AND(tecantrop!V47,"AAAAAD7e6EM=")</f>
        <v>#VALUE!</v>
      </c>
      <c r="BQ112" t="e">
        <f>AND(tecantrop!W47,"AAAAAD7e6EQ=")</f>
        <v>#VALUE!</v>
      </c>
      <c r="BR112" t="e">
        <f>AND(tecantrop!X47,"AAAAAD7e6EU=")</f>
        <v>#VALUE!</v>
      </c>
      <c r="BS112">
        <f>IF(tecantrop!48:48,"AAAAAD7e6EY=",0)</f>
        <v>0</v>
      </c>
      <c r="BT112" t="e">
        <f>AND(tecantrop!A48,"AAAAAD7e6Ec=")</f>
        <v>#VALUE!</v>
      </c>
      <c r="BU112" t="e">
        <f>AND(tecantrop!B48,"AAAAAD7e6Eg=")</f>
        <v>#VALUE!</v>
      </c>
      <c r="BV112" t="e">
        <f>AND(tecantrop!C48,"AAAAAD7e6Ek=")</f>
        <v>#VALUE!</v>
      </c>
      <c r="BW112" t="e">
        <f>AND(tecantrop!D48,"AAAAAD7e6Eo=")</f>
        <v>#VALUE!</v>
      </c>
      <c r="BX112" t="e">
        <f>AND(tecantrop!E48,"AAAAAD7e6Es=")</f>
        <v>#VALUE!</v>
      </c>
      <c r="BY112" t="e">
        <f>AND(tecantrop!F48,"AAAAAD7e6Ew=")</f>
        <v>#VALUE!</v>
      </c>
      <c r="BZ112" t="e">
        <f>AND(tecantrop!G48,"AAAAAD7e6E0=")</f>
        <v>#VALUE!</v>
      </c>
      <c r="CA112" t="e">
        <f>AND(tecantrop!H48,"AAAAAD7e6E4=")</f>
        <v>#VALUE!</v>
      </c>
      <c r="CB112" t="e">
        <f>AND(tecantrop!I48,"AAAAAD7e6E8=")</f>
        <v>#VALUE!</v>
      </c>
      <c r="CC112" t="e">
        <f>AND(tecantrop!J48,"AAAAAD7e6FA=")</f>
        <v>#VALUE!</v>
      </c>
      <c r="CD112" t="e">
        <f>AND(tecantrop!K48,"AAAAAD7e6FE=")</f>
        <v>#VALUE!</v>
      </c>
      <c r="CE112" t="e">
        <f>AND(tecantrop!L48,"AAAAAD7e6FI=")</f>
        <v>#VALUE!</v>
      </c>
      <c r="CF112" t="e">
        <f>AND(tecantrop!M48,"AAAAAD7e6FM=")</f>
        <v>#VALUE!</v>
      </c>
      <c r="CG112" t="e">
        <f>AND(tecantrop!N48,"AAAAAD7e6FQ=")</f>
        <v>#VALUE!</v>
      </c>
      <c r="CH112" t="e">
        <f>AND(tecantrop!O48,"AAAAAD7e6FU=")</f>
        <v>#VALUE!</v>
      </c>
      <c r="CI112" t="e">
        <f>AND(tecantrop!P48,"AAAAAD7e6FY=")</f>
        <v>#VALUE!</v>
      </c>
      <c r="CJ112" t="e">
        <f>AND(tecantrop!Q48,"AAAAAD7e6Fc=")</f>
        <v>#VALUE!</v>
      </c>
      <c r="CK112" t="e">
        <f>AND(tecantrop!R48,"AAAAAD7e6Fg=")</f>
        <v>#VALUE!</v>
      </c>
      <c r="CL112" t="e">
        <f>AND(tecantrop!S48,"AAAAAD7e6Fk=")</f>
        <v>#VALUE!</v>
      </c>
      <c r="CM112" t="e">
        <f>AND(tecantrop!T48,"AAAAAD7e6Fo=")</f>
        <v>#VALUE!</v>
      </c>
      <c r="CN112" t="e">
        <f>AND(tecantrop!U48,"AAAAAD7e6Fs=")</f>
        <v>#VALUE!</v>
      </c>
      <c r="CO112" t="e">
        <f>AND(tecantrop!V48,"AAAAAD7e6Fw=")</f>
        <v>#VALUE!</v>
      </c>
      <c r="CP112" t="e">
        <f>AND(tecantrop!W48,"AAAAAD7e6F0=")</f>
        <v>#VALUE!</v>
      </c>
      <c r="CQ112" t="e">
        <f>AND(tecantrop!X48,"AAAAAD7e6F4=")</f>
        <v>#VALUE!</v>
      </c>
      <c r="CR112">
        <f>IF(tecantrop!49:49,"AAAAAD7e6F8=",0)</f>
        <v>0</v>
      </c>
      <c r="CS112" t="e">
        <f>AND(tecantrop!A49,"AAAAAD7e6GA=")</f>
        <v>#VALUE!</v>
      </c>
      <c r="CT112" t="e">
        <f>AND(tecantrop!B49,"AAAAAD7e6GE=")</f>
        <v>#VALUE!</v>
      </c>
      <c r="CU112" t="e">
        <f>AND(tecantrop!C49,"AAAAAD7e6GI=")</f>
        <v>#VALUE!</v>
      </c>
      <c r="CV112" t="e">
        <f>AND(tecantrop!D49,"AAAAAD7e6GM=")</f>
        <v>#VALUE!</v>
      </c>
      <c r="CW112" t="e">
        <f>AND(tecantrop!E49,"AAAAAD7e6GQ=")</f>
        <v>#VALUE!</v>
      </c>
      <c r="CX112" t="e">
        <f>AND(tecantrop!F49,"AAAAAD7e6GU=")</f>
        <v>#VALUE!</v>
      </c>
      <c r="CY112" t="e">
        <f>AND(tecantrop!G49,"AAAAAD7e6GY=")</f>
        <v>#VALUE!</v>
      </c>
      <c r="CZ112" t="e">
        <f>AND(tecantrop!H49,"AAAAAD7e6Gc=")</f>
        <v>#VALUE!</v>
      </c>
      <c r="DA112" t="e">
        <f>AND(tecantrop!I49,"AAAAAD7e6Gg=")</f>
        <v>#VALUE!</v>
      </c>
      <c r="DB112" t="e">
        <f>AND(tecantrop!J49,"AAAAAD7e6Gk=")</f>
        <v>#VALUE!</v>
      </c>
      <c r="DC112" t="e">
        <f>AND(tecantrop!K49,"AAAAAD7e6Go=")</f>
        <v>#VALUE!</v>
      </c>
      <c r="DD112" t="e">
        <f>AND(tecantrop!L49,"AAAAAD7e6Gs=")</f>
        <v>#VALUE!</v>
      </c>
      <c r="DE112" t="e">
        <f>AND(tecantrop!M49,"AAAAAD7e6Gw=")</f>
        <v>#VALUE!</v>
      </c>
      <c r="DF112" t="e">
        <f>AND(tecantrop!N49,"AAAAAD7e6G0=")</f>
        <v>#VALUE!</v>
      </c>
      <c r="DG112" t="e">
        <f>AND(tecantrop!O49,"AAAAAD7e6G4=")</f>
        <v>#VALUE!</v>
      </c>
      <c r="DH112" t="e">
        <f>AND(tecantrop!P49,"AAAAAD7e6G8=")</f>
        <v>#VALUE!</v>
      </c>
      <c r="DI112" t="e">
        <f>AND(tecantrop!Q49,"AAAAAD7e6HA=")</f>
        <v>#VALUE!</v>
      </c>
      <c r="DJ112" t="e">
        <f>AND(tecantrop!R49,"AAAAAD7e6HE=")</f>
        <v>#VALUE!</v>
      </c>
      <c r="DK112" t="e">
        <f>AND(tecantrop!S49,"AAAAAD7e6HI=")</f>
        <v>#VALUE!</v>
      </c>
      <c r="DL112" t="e">
        <f>AND(tecantrop!T49,"AAAAAD7e6HM=")</f>
        <v>#VALUE!</v>
      </c>
      <c r="DM112" t="e">
        <f>AND(tecantrop!U49,"AAAAAD7e6HQ=")</f>
        <v>#VALUE!</v>
      </c>
      <c r="DN112" t="e">
        <f>AND(tecantrop!V49,"AAAAAD7e6HU=")</f>
        <v>#VALUE!</v>
      </c>
      <c r="DO112" t="e">
        <f>AND(tecantrop!W49,"AAAAAD7e6HY=")</f>
        <v>#VALUE!</v>
      </c>
      <c r="DP112" t="e">
        <f>AND(tecantrop!X49,"AAAAAD7e6Hc=")</f>
        <v>#VALUE!</v>
      </c>
      <c r="DQ112">
        <f>IF(tecantrop!50:50,"AAAAAD7e6Hg=",0)</f>
        <v>0</v>
      </c>
      <c r="DR112" t="e">
        <f>AND(tecantrop!A50,"AAAAAD7e6Hk=")</f>
        <v>#VALUE!</v>
      </c>
      <c r="DS112" t="e">
        <f>AND(tecantrop!B50,"AAAAAD7e6Ho=")</f>
        <v>#VALUE!</v>
      </c>
      <c r="DT112" t="e">
        <f>AND(tecantrop!C50,"AAAAAD7e6Hs=")</f>
        <v>#VALUE!</v>
      </c>
      <c r="DU112" t="e">
        <f>AND(tecantrop!D50,"AAAAAD7e6Hw=")</f>
        <v>#VALUE!</v>
      </c>
      <c r="DV112" t="e">
        <f>AND(tecantrop!E50,"AAAAAD7e6H0=")</f>
        <v>#VALUE!</v>
      </c>
      <c r="DW112" t="e">
        <f>AND(tecantrop!F50,"AAAAAD7e6H4=")</f>
        <v>#VALUE!</v>
      </c>
      <c r="DX112" t="e">
        <f>AND(tecantrop!G50,"AAAAAD7e6H8=")</f>
        <v>#VALUE!</v>
      </c>
      <c r="DY112" t="e">
        <f>AND(tecantrop!H50,"AAAAAD7e6IA=")</f>
        <v>#VALUE!</v>
      </c>
      <c r="DZ112" t="e">
        <f>AND(tecantrop!I50,"AAAAAD7e6IE=")</f>
        <v>#VALUE!</v>
      </c>
      <c r="EA112" t="e">
        <f>AND(tecantrop!J50,"AAAAAD7e6II=")</f>
        <v>#VALUE!</v>
      </c>
      <c r="EB112" t="e">
        <f>AND(tecantrop!K50,"AAAAAD7e6IM=")</f>
        <v>#VALUE!</v>
      </c>
      <c r="EC112" t="e">
        <f>AND(tecantrop!L50,"AAAAAD7e6IQ=")</f>
        <v>#VALUE!</v>
      </c>
      <c r="ED112" t="e">
        <f>AND(tecantrop!M50,"AAAAAD7e6IU=")</f>
        <v>#VALUE!</v>
      </c>
      <c r="EE112" t="e">
        <f>AND(tecantrop!N50,"AAAAAD7e6IY=")</f>
        <v>#VALUE!</v>
      </c>
      <c r="EF112" t="e">
        <f>AND(tecantrop!O50,"AAAAAD7e6Ic=")</f>
        <v>#VALUE!</v>
      </c>
      <c r="EG112" t="e">
        <f>AND(tecantrop!P50,"AAAAAD7e6Ig=")</f>
        <v>#VALUE!</v>
      </c>
      <c r="EH112" t="e">
        <f>AND(tecantrop!Q50,"AAAAAD7e6Ik=")</f>
        <v>#VALUE!</v>
      </c>
      <c r="EI112" t="e">
        <f>AND(tecantrop!R50,"AAAAAD7e6Io=")</f>
        <v>#VALUE!</v>
      </c>
      <c r="EJ112" t="e">
        <f>AND(tecantrop!S50,"AAAAAD7e6Is=")</f>
        <v>#VALUE!</v>
      </c>
      <c r="EK112" t="e">
        <f>AND(tecantrop!T50,"AAAAAD7e6Iw=")</f>
        <v>#VALUE!</v>
      </c>
      <c r="EL112" t="e">
        <f>AND(tecantrop!U50,"AAAAAD7e6I0=")</f>
        <v>#VALUE!</v>
      </c>
      <c r="EM112" t="e">
        <f>AND(tecantrop!V50,"AAAAAD7e6I4=")</f>
        <v>#VALUE!</v>
      </c>
      <c r="EN112" t="e">
        <f>AND(tecantrop!W50,"AAAAAD7e6I8=")</f>
        <v>#VALUE!</v>
      </c>
      <c r="EO112" t="e">
        <f>AND(tecantrop!X50,"AAAAAD7e6JA=")</f>
        <v>#VALUE!</v>
      </c>
      <c r="EP112">
        <f>IF(tecantrop!51:51,"AAAAAD7e6JE=",0)</f>
        <v>0</v>
      </c>
      <c r="EQ112" t="e">
        <f>AND(tecantrop!A51,"AAAAAD7e6JI=")</f>
        <v>#VALUE!</v>
      </c>
      <c r="ER112" t="e">
        <f>AND(tecantrop!B51,"AAAAAD7e6JM=")</f>
        <v>#VALUE!</v>
      </c>
      <c r="ES112" t="e">
        <f>AND(tecantrop!C51,"AAAAAD7e6JQ=")</f>
        <v>#VALUE!</v>
      </c>
      <c r="ET112" t="e">
        <f>AND(tecantrop!D51,"AAAAAD7e6JU=")</f>
        <v>#VALUE!</v>
      </c>
      <c r="EU112" t="e">
        <f>AND(tecantrop!E51,"AAAAAD7e6JY=")</f>
        <v>#VALUE!</v>
      </c>
      <c r="EV112" t="e">
        <f>AND(tecantrop!F51,"AAAAAD7e6Jc=")</f>
        <v>#VALUE!</v>
      </c>
      <c r="EW112" t="e">
        <f>AND(tecantrop!G51,"AAAAAD7e6Jg=")</f>
        <v>#VALUE!</v>
      </c>
      <c r="EX112" t="e">
        <f>AND(tecantrop!H51,"AAAAAD7e6Jk=")</f>
        <v>#VALUE!</v>
      </c>
      <c r="EY112" t="e">
        <f>AND(tecantrop!I51,"AAAAAD7e6Jo=")</f>
        <v>#VALUE!</v>
      </c>
      <c r="EZ112" t="e">
        <f>AND(tecantrop!J51,"AAAAAD7e6Js=")</f>
        <v>#VALUE!</v>
      </c>
      <c r="FA112" t="e">
        <f>AND(tecantrop!K51,"AAAAAD7e6Jw=")</f>
        <v>#VALUE!</v>
      </c>
      <c r="FB112" t="e">
        <f>AND(tecantrop!L51,"AAAAAD7e6J0=")</f>
        <v>#VALUE!</v>
      </c>
      <c r="FC112" t="e">
        <f>AND(tecantrop!M51,"AAAAAD7e6J4=")</f>
        <v>#VALUE!</v>
      </c>
      <c r="FD112" t="e">
        <f>AND(tecantrop!N51,"AAAAAD7e6J8=")</f>
        <v>#VALUE!</v>
      </c>
      <c r="FE112" t="e">
        <f>AND(tecantrop!O51,"AAAAAD7e6KA=")</f>
        <v>#VALUE!</v>
      </c>
      <c r="FF112" t="e">
        <f>AND(tecantrop!P51,"AAAAAD7e6KE=")</f>
        <v>#VALUE!</v>
      </c>
      <c r="FG112" t="e">
        <f>AND(tecantrop!Q51,"AAAAAD7e6KI=")</f>
        <v>#VALUE!</v>
      </c>
      <c r="FH112" t="e">
        <f>AND(tecantrop!R51,"AAAAAD7e6KM=")</f>
        <v>#VALUE!</v>
      </c>
      <c r="FI112" t="e">
        <f>AND(tecantrop!S51,"AAAAAD7e6KQ=")</f>
        <v>#VALUE!</v>
      </c>
      <c r="FJ112" t="e">
        <f>AND(tecantrop!T51,"AAAAAD7e6KU=")</f>
        <v>#VALUE!</v>
      </c>
      <c r="FK112" t="e">
        <f>AND(tecantrop!U51,"AAAAAD7e6KY=")</f>
        <v>#VALUE!</v>
      </c>
      <c r="FL112" t="e">
        <f>AND(tecantrop!V51,"AAAAAD7e6Kc=")</f>
        <v>#VALUE!</v>
      </c>
      <c r="FM112" t="e">
        <f>AND(tecantrop!W51,"AAAAAD7e6Kg=")</f>
        <v>#VALUE!</v>
      </c>
      <c r="FN112" t="e">
        <f>AND(tecantrop!X51,"AAAAAD7e6Kk=")</f>
        <v>#VALUE!</v>
      </c>
      <c r="FO112">
        <f>IF(tecantrop!52:52,"AAAAAD7e6Ko=",0)</f>
        <v>0</v>
      </c>
      <c r="FP112" t="e">
        <f>AND(tecantrop!A52,"AAAAAD7e6Ks=")</f>
        <v>#VALUE!</v>
      </c>
      <c r="FQ112" t="e">
        <f>AND(tecantrop!B52,"AAAAAD7e6Kw=")</f>
        <v>#VALUE!</v>
      </c>
      <c r="FR112" t="e">
        <f>AND(tecantrop!C52,"AAAAAD7e6K0=")</f>
        <v>#VALUE!</v>
      </c>
      <c r="FS112" t="e">
        <f>AND(tecantrop!D52,"AAAAAD7e6K4=")</f>
        <v>#VALUE!</v>
      </c>
      <c r="FT112" t="e">
        <f>AND(tecantrop!E52,"AAAAAD7e6K8=")</f>
        <v>#VALUE!</v>
      </c>
      <c r="FU112" t="e">
        <f>AND(tecantrop!F52,"AAAAAD7e6LA=")</f>
        <v>#VALUE!</v>
      </c>
      <c r="FV112" t="e">
        <f>AND(tecantrop!G52,"AAAAAD7e6LE=")</f>
        <v>#VALUE!</v>
      </c>
      <c r="FW112" t="e">
        <f>AND(tecantrop!H52,"AAAAAD7e6LI=")</f>
        <v>#VALUE!</v>
      </c>
      <c r="FX112" t="e">
        <f>AND(tecantrop!I52,"AAAAAD7e6LM=")</f>
        <v>#VALUE!</v>
      </c>
      <c r="FY112" t="e">
        <f>AND(tecantrop!J52,"AAAAAD7e6LQ=")</f>
        <v>#VALUE!</v>
      </c>
      <c r="FZ112" t="e">
        <f>AND(tecantrop!K52,"AAAAAD7e6LU=")</f>
        <v>#VALUE!</v>
      </c>
      <c r="GA112" t="e">
        <f>AND(tecantrop!L52,"AAAAAD7e6LY=")</f>
        <v>#VALUE!</v>
      </c>
      <c r="GB112" t="e">
        <f>AND(tecantrop!M52,"AAAAAD7e6Lc=")</f>
        <v>#VALUE!</v>
      </c>
      <c r="GC112" t="e">
        <f>AND(tecantrop!N52,"AAAAAD7e6Lg=")</f>
        <v>#VALUE!</v>
      </c>
      <c r="GD112" t="e">
        <f>AND(tecantrop!O52,"AAAAAD7e6Lk=")</f>
        <v>#VALUE!</v>
      </c>
      <c r="GE112" t="e">
        <f>AND(tecantrop!P52,"AAAAAD7e6Lo=")</f>
        <v>#VALUE!</v>
      </c>
      <c r="GF112" t="e">
        <f>AND(tecantrop!Q52,"AAAAAD7e6Ls=")</f>
        <v>#VALUE!</v>
      </c>
      <c r="GG112" t="e">
        <f>AND(tecantrop!R52,"AAAAAD7e6Lw=")</f>
        <v>#VALUE!</v>
      </c>
      <c r="GH112" t="e">
        <f>AND(tecantrop!S52,"AAAAAD7e6L0=")</f>
        <v>#VALUE!</v>
      </c>
      <c r="GI112" t="e">
        <f>AND(tecantrop!T52,"AAAAAD7e6L4=")</f>
        <v>#VALUE!</v>
      </c>
      <c r="GJ112" t="e">
        <f>AND(tecantrop!U52,"AAAAAD7e6L8=")</f>
        <v>#VALUE!</v>
      </c>
      <c r="GK112" t="e">
        <f>AND(tecantrop!V52,"AAAAAD7e6MA=")</f>
        <v>#VALUE!</v>
      </c>
      <c r="GL112" t="e">
        <f>AND(tecantrop!W52,"AAAAAD7e6ME=")</f>
        <v>#VALUE!</v>
      </c>
      <c r="GM112" t="e">
        <f>AND(tecantrop!X52,"AAAAAD7e6MI=")</f>
        <v>#VALUE!</v>
      </c>
      <c r="GN112">
        <f>IF(tecantrop!53:53,"AAAAAD7e6MM=",0)</f>
        <v>0</v>
      </c>
      <c r="GO112" t="e">
        <f>AND(tecantrop!A53,"AAAAAD7e6MQ=")</f>
        <v>#VALUE!</v>
      </c>
      <c r="GP112" t="e">
        <f>AND(tecantrop!B53,"AAAAAD7e6MU=")</f>
        <v>#VALUE!</v>
      </c>
      <c r="GQ112" t="e">
        <f>AND(tecantrop!C53,"AAAAAD7e6MY=")</f>
        <v>#VALUE!</v>
      </c>
      <c r="GR112" t="e">
        <f>AND(tecantrop!D53,"AAAAAD7e6Mc=")</f>
        <v>#VALUE!</v>
      </c>
      <c r="GS112" t="e">
        <f>AND(tecantrop!E53,"AAAAAD7e6Mg=")</f>
        <v>#VALUE!</v>
      </c>
      <c r="GT112" t="e">
        <f>AND(tecantrop!F53,"AAAAAD7e6Mk=")</f>
        <v>#VALUE!</v>
      </c>
      <c r="GU112" t="e">
        <f>AND(tecantrop!G53,"AAAAAD7e6Mo=")</f>
        <v>#VALUE!</v>
      </c>
      <c r="GV112" t="e">
        <f>AND(tecantrop!H53,"AAAAAD7e6Ms=")</f>
        <v>#VALUE!</v>
      </c>
      <c r="GW112" t="e">
        <f>AND(tecantrop!I53,"AAAAAD7e6Mw=")</f>
        <v>#VALUE!</v>
      </c>
      <c r="GX112" t="e">
        <f>AND(tecantrop!J53,"AAAAAD7e6M0=")</f>
        <v>#VALUE!</v>
      </c>
      <c r="GY112" t="e">
        <f>AND(tecantrop!K53,"AAAAAD7e6M4=")</f>
        <v>#VALUE!</v>
      </c>
      <c r="GZ112" t="e">
        <f>AND(tecantrop!L53,"AAAAAD7e6M8=")</f>
        <v>#VALUE!</v>
      </c>
      <c r="HA112" t="e">
        <f>AND(tecantrop!M53,"AAAAAD7e6NA=")</f>
        <v>#VALUE!</v>
      </c>
      <c r="HB112" t="e">
        <f>AND(tecantrop!N53,"AAAAAD7e6NE=")</f>
        <v>#VALUE!</v>
      </c>
      <c r="HC112" t="e">
        <f>AND(tecantrop!O53,"AAAAAD7e6NI=")</f>
        <v>#VALUE!</v>
      </c>
      <c r="HD112" t="e">
        <f>AND(tecantrop!P53,"AAAAAD7e6NM=")</f>
        <v>#VALUE!</v>
      </c>
      <c r="HE112" t="e">
        <f>AND(tecantrop!Q53,"AAAAAD7e6NQ=")</f>
        <v>#VALUE!</v>
      </c>
      <c r="HF112" t="e">
        <f>AND(tecantrop!R53,"AAAAAD7e6NU=")</f>
        <v>#VALUE!</v>
      </c>
      <c r="HG112" t="e">
        <f>AND(tecantrop!S53,"AAAAAD7e6NY=")</f>
        <v>#VALUE!</v>
      </c>
      <c r="HH112" t="e">
        <f>AND(tecantrop!T53,"AAAAAD7e6Nc=")</f>
        <v>#VALUE!</v>
      </c>
      <c r="HI112" t="e">
        <f>AND(tecantrop!U53,"AAAAAD7e6Ng=")</f>
        <v>#VALUE!</v>
      </c>
      <c r="HJ112" t="e">
        <f>AND(tecantrop!V53,"AAAAAD7e6Nk=")</f>
        <v>#VALUE!</v>
      </c>
      <c r="HK112" t="e">
        <f>AND(tecantrop!W53,"AAAAAD7e6No=")</f>
        <v>#VALUE!</v>
      </c>
      <c r="HL112" t="e">
        <f>AND(tecantrop!X53,"AAAAAD7e6Ns=")</f>
        <v>#VALUE!</v>
      </c>
      <c r="HM112">
        <f>IF(tecantrop!54:54,"AAAAAD7e6Nw=",0)</f>
        <v>0</v>
      </c>
      <c r="HN112" t="e">
        <f>AND(tecantrop!A54,"AAAAAD7e6N0=")</f>
        <v>#VALUE!</v>
      </c>
      <c r="HO112" t="e">
        <f>AND(tecantrop!B54,"AAAAAD7e6N4=")</f>
        <v>#VALUE!</v>
      </c>
      <c r="HP112" t="e">
        <f>AND(tecantrop!C54,"AAAAAD7e6N8=")</f>
        <v>#VALUE!</v>
      </c>
      <c r="HQ112" t="e">
        <f>AND(tecantrop!D54,"AAAAAD7e6OA=")</f>
        <v>#VALUE!</v>
      </c>
      <c r="HR112" t="e">
        <f>AND(tecantrop!E54,"AAAAAD7e6OE=")</f>
        <v>#VALUE!</v>
      </c>
      <c r="HS112" t="e">
        <f>AND(tecantrop!F54,"AAAAAD7e6OI=")</f>
        <v>#VALUE!</v>
      </c>
      <c r="HT112" t="e">
        <f>AND(tecantrop!G54,"AAAAAD7e6OM=")</f>
        <v>#VALUE!</v>
      </c>
      <c r="HU112" t="e">
        <f>AND(tecantrop!H54,"AAAAAD7e6OQ=")</f>
        <v>#VALUE!</v>
      </c>
      <c r="HV112" t="e">
        <f>AND(tecantrop!I54,"AAAAAD7e6OU=")</f>
        <v>#VALUE!</v>
      </c>
      <c r="HW112" t="e">
        <f>AND(tecantrop!J54,"AAAAAD7e6OY=")</f>
        <v>#VALUE!</v>
      </c>
      <c r="HX112" t="e">
        <f>AND(tecantrop!K54,"AAAAAD7e6Oc=")</f>
        <v>#VALUE!</v>
      </c>
      <c r="HY112" t="e">
        <f>AND(tecantrop!L54,"AAAAAD7e6Og=")</f>
        <v>#VALUE!</v>
      </c>
      <c r="HZ112" t="e">
        <f>AND(tecantrop!M54,"AAAAAD7e6Ok=")</f>
        <v>#VALUE!</v>
      </c>
      <c r="IA112" t="e">
        <f>AND(tecantrop!N54,"AAAAAD7e6Oo=")</f>
        <v>#VALUE!</v>
      </c>
      <c r="IB112" t="e">
        <f>AND(tecantrop!O54,"AAAAAD7e6Os=")</f>
        <v>#VALUE!</v>
      </c>
      <c r="IC112" t="e">
        <f>AND(tecantrop!P54,"AAAAAD7e6Ow=")</f>
        <v>#VALUE!</v>
      </c>
      <c r="ID112" t="e">
        <f>AND(tecantrop!Q54,"AAAAAD7e6O0=")</f>
        <v>#VALUE!</v>
      </c>
      <c r="IE112" t="e">
        <f>AND(tecantrop!R54,"AAAAAD7e6O4=")</f>
        <v>#VALUE!</v>
      </c>
      <c r="IF112" t="e">
        <f>AND(tecantrop!S54,"AAAAAD7e6O8=")</f>
        <v>#VALUE!</v>
      </c>
      <c r="IG112" t="e">
        <f>AND(tecantrop!T54,"AAAAAD7e6PA=")</f>
        <v>#VALUE!</v>
      </c>
      <c r="IH112" t="e">
        <f>AND(tecantrop!U54,"AAAAAD7e6PE=")</f>
        <v>#VALUE!</v>
      </c>
      <c r="II112" t="e">
        <f>AND(tecantrop!V54,"AAAAAD7e6PI=")</f>
        <v>#VALUE!</v>
      </c>
      <c r="IJ112" t="e">
        <f>AND(tecantrop!W54,"AAAAAD7e6PM=")</f>
        <v>#VALUE!</v>
      </c>
      <c r="IK112" t="e">
        <f>AND(tecantrop!X54,"AAAAAD7e6PQ=")</f>
        <v>#VALUE!</v>
      </c>
      <c r="IL112">
        <f>IF(tecantrop!55:55,"AAAAAD7e6PU=",0)</f>
        <v>0</v>
      </c>
      <c r="IM112" t="e">
        <f>AND(tecantrop!A55,"AAAAAD7e6PY=")</f>
        <v>#VALUE!</v>
      </c>
      <c r="IN112" t="e">
        <f>AND(tecantrop!B55,"AAAAAD7e6Pc=")</f>
        <v>#VALUE!</v>
      </c>
      <c r="IO112" t="e">
        <f>AND(tecantrop!C55,"AAAAAD7e6Pg=")</f>
        <v>#VALUE!</v>
      </c>
      <c r="IP112" t="e">
        <f>AND(tecantrop!D55,"AAAAAD7e6Pk=")</f>
        <v>#VALUE!</v>
      </c>
      <c r="IQ112" t="e">
        <f>AND(tecantrop!E55,"AAAAAD7e6Po=")</f>
        <v>#VALUE!</v>
      </c>
      <c r="IR112" t="e">
        <f>AND(tecantrop!F55,"AAAAAD7e6Ps=")</f>
        <v>#VALUE!</v>
      </c>
      <c r="IS112" t="e">
        <f>AND(tecantrop!G55,"AAAAAD7e6Pw=")</f>
        <v>#VALUE!</v>
      </c>
      <c r="IT112" t="e">
        <f>AND(tecantrop!H55,"AAAAAD7e6P0=")</f>
        <v>#VALUE!</v>
      </c>
      <c r="IU112" t="e">
        <f>AND(tecantrop!I55,"AAAAAD7e6P4=")</f>
        <v>#VALUE!</v>
      </c>
      <c r="IV112" t="e">
        <f>AND(tecantrop!J55,"AAAAAD7e6P8=")</f>
        <v>#VALUE!</v>
      </c>
    </row>
    <row r="113" spans="1:256" x14ac:dyDescent="0.2">
      <c r="A113" t="e">
        <f>AND(tecantrop!K55,"AAAAAH63+QA=")</f>
        <v>#VALUE!</v>
      </c>
      <c r="B113" t="e">
        <f>AND(tecantrop!L55,"AAAAAH63+QE=")</f>
        <v>#VALUE!</v>
      </c>
      <c r="C113" t="e">
        <f>AND(tecantrop!M55,"AAAAAH63+QI=")</f>
        <v>#VALUE!</v>
      </c>
      <c r="D113" t="e">
        <f>AND(tecantrop!N55,"AAAAAH63+QM=")</f>
        <v>#VALUE!</v>
      </c>
      <c r="E113" t="e">
        <f>AND(tecantrop!O55,"AAAAAH63+QQ=")</f>
        <v>#VALUE!</v>
      </c>
      <c r="F113" t="e">
        <f>AND(tecantrop!P55,"AAAAAH63+QU=")</f>
        <v>#VALUE!</v>
      </c>
      <c r="G113" t="e">
        <f>AND(tecantrop!Q55,"AAAAAH63+QY=")</f>
        <v>#VALUE!</v>
      </c>
      <c r="H113" t="e">
        <f>AND(tecantrop!R55,"AAAAAH63+Qc=")</f>
        <v>#VALUE!</v>
      </c>
      <c r="I113" t="e">
        <f>AND(tecantrop!S55,"AAAAAH63+Qg=")</f>
        <v>#VALUE!</v>
      </c>
      <c r="J113" t="e">
        <f>AND(tecantrop!T55,"AAAAAH63+Qk=")</f>
        <v>#VALUE!</v>
      </c>
      <c r="K113" t="e">
        <f>AND(tecantrop!U55,"AAAAAH63+Qo=")</f>
        <v>#VALUE!</v>
      </c>
      <c r="L113" t="e">
        <f>AND(tecantrop!V55,"AAAAAH63+Qs=")</f>
        <v>#VALUE!</v>
      </c>
      <c r="M113" t="e">
        <f>AND(tecantrop!W55,"AAAAAH63+Qw=")</f>
        <v>#VALUE!</v>
      </c>
      <c r="N113" t="e">
        <f>AND(tecantrop!X55,"AAAAAH63+Q0=")</f>
        <v>#VALUE!</v>
      </c>
      <c r="O113">
        <f>IF(tecantrop!56:56,"AAAAAH63+Q4=",0)</f>
        <v>0</v>
      </c>
      <c r="P113" t="e">
        <f>AND(tecantrop!A56,"AAAAAH63+Q8=")</f>
        <v>#VALUE!</v>
      </c>
      <c r="Q113" t="e">
        <f>AND(tecantrop!B56,"AAAAAH63+RA=")</f>
        <v>#VALUE!</v>
      </c>
      <c r="R113" t="e">
        <f>AND(tecantrop!C56,"AAAAAH63+RE=")</f>
        <v>#VALUE!</v>
      </c>
      <c r="S113" t="e">
        <f>AND(tecantrop!D56,"AAAAAH63+RI=")</f>
        <v>#VALUE!</v>
      </c>
      <c r="T113" t="e">
        <f>AND(tecantrop!E56,"AAAAAH63+RM=")</f>
        <v>#VALUE!</v>
      </c>
      <c r="U113" t="e">
        <f>AND(tecantrop!F56,"AAAAAH63+RQ=")</f>
        <v>#VALUE!</v>
      </c>
      <c r="V113" t="e">
        <f>AND(tecantrop!G56,"AAAAAH63+RU=")</f>
        <v>#VALUE!</v>
      </c>
      <c r="W113" t="e">
        <f>AND(tecantrop!H56,"AAAAAH63+RY=")</f>
        <v>#VALUE!</v>
      </c>
      <c r="X113" t="e">
        <f>AND(tecantrop!I56,"AAAAAH63+Rc=")</f>
        <v>#VALUE!</v>
      </c>
      <c r="Y113" t="e">
        <f>AND(tecantrop!J56,"AAAAAH63+Rg=")</f>
        <v>#VALUE!</v>
      </c>
      <c r="Z113" t="e">
        <f>AND(tecantrop!K56,"AAAAAH63+Rk=")</f>
        <v>#VALUE!</v>
      </c>
      <c r="AA113" t="e">
        <f>AND(tecantrop!L56,"AAAAAH63+Ro=")</f>
        <v>#VALUE!</v>
      </c>
      <c r="AB113" t="e">
        <f>AND(tecantrop!M56,"AAAAAH63+Rs=")</f>
        <v>#VALUE!</v>
      </c>
      <c r="AC113" t="e">
        <f>AND(tecantrop!N56,"AAAAAH63+Rw=")</f>
        <v>#VALUE!</v>
      </c>
      <c r="AD113" t="e">
        <f>AND(tecantrop!O56,"AAAAAH63+R0=")</f>
        <v>#VALUE!</v>
      </c>
      <c r="AE113" t="e">
        <f>AND(tecantrop!P56,"AAAAAH63+R4=")</f>
        <v>#VALUE!</v>
      </c>
      <c r="AF113" t="e">
        <f>AND(tecantrop!Q56,"AAAAAH63+R8=")</f>
        <v>#VALUE!</v>
      </c>
      <c r="AG113" t="e">
        <f>AND(tecantrop!R56,"AAAAAH63+SA=")</f>
        <v>#VALUE!</v>
      </c>
      <c r="AH113" t="e">
        <f>AND(tecantrop!S56,"AAAAAH63+SE=")</f>
        <v>#VALUE!</v>
      </c>
      <c r="AI113" t="e">
        <f>AND(tecantrop!T56,"AAAAAH63+SI=")</f>
        <v>#VALUE!</v>
      </c>
      <c r="AJ113" t="e">
        <f>AND(tecantrop!U56,"AAAAAH63+SM=")</f>
        <v>#VALUE!</v>
      </c>
      <c r="AK113" t="e">
        <f>AND(tecantrop!V56,"AAAAAH63+SQ=")</f>
        <v>#VALUE!</v>
      </c>
      <c r="AL113" t="e">
        <f>AND(tecantrop!W56,"AAAAAH63+SU=")</f>
        <v>#VALUE!</v>
      </c>
      <c r="AM113" t="e">
        <f>AND(tecantrop!X56,"AAAAAH63+SY=")</f>
        <v>#VALUE!</v>
      </c>
      <c r="AN113">
        <f>IF(tecantrop!57:57,"AAAAAH63+Sc=",0)</f>
        <v>0</v>
      </c>
      <c r="AO113" t="e">
        <f>AND(tecantrop!A57,"AAAAAH63+Sg=")</f>
        <v>#VALUE!</v>
      </c>
      <c r="AP113" t="e">
        <f>AND(tecantrop!B57,"AAAAAH63+Sk=")</f>
        <v>#VALUE!</v>
      </c>
      <c r="AQ113" t="e">
        <f>AND(tecantrop!C57,"AAAAAH63+So=")</f>
        <v>#VALUE!</v>
      </c>
      <c r="AR113" t="e">
        <f>AND(tecantrop!D57,"AAAAAH63+Ss=")</f>
        <v>#VALUE!</v>
      </c>
      <c r="AS113" t="e">
        <f>AND(tecantrop!E57,"AAAAAH63+Sw=")</f>
        <v>#VALUE!</v>
      </c>
      <c r="AT113" t="e">
        <f>AND(tecantrop!F57,"AAAAAH63+S0=")</f>
        <v>#VALUE!</v>
      </c>
      <c r="AU113" t="e">
        <f>AND(tecantrop!G57,"AAAAAH63+S4=")</f>
        <v>#VALUE!</v>
      </c>
      <c r="AV113" t="e">
        <f>AND(tecantrop!H57,"AAAAAH63+S8=")</f>
        <v>#VALUE!</v>
      </c>
      <c r="AW113" t="e">
        <f>AND(tecantrop!I57,"AAAAAH63+TA=")</f>
        <v>#VALUE!</v>
      </c>
      <c r="AX113" t="e">
        <f>AND(tecantrop!J57,"AAAAAH63+TE=")</f>
        <v>#VALUE!</v>
      </c>
      <c r="AY113" t="e">
        <f>AND(tecantrop!K57,"AAAAAH63+TI=")</f>
        <v>#VALUE!</v>
      </c>
      <c r="AZ113" t="e">
        <f>AND(tecantrop!L57,"AAAAAH63+TM=")</f>
        <v>#VALUE!</v>
      </c>
      <c r="BA113" t="e">
        <f>AND(tecantrop!M57,"AAAAAH63+TQ=")</f>
        <v>#VALUE!</v>
      </c>
      <c r="BB113" t="e">
        <f>AND(tecantrop!N57,"AAAAAH63+TU=")</f>
        <v>#VALUE!</v>
      </c>
      <c r="BC113" t="e">
        <f>AND(tecantrop!O57,"AAAAAH63+TY=")</f>
        <v>#VALUE!</v>
      </c>
      <c r="BD113" t="e">
        <f>AND(tecantrop!P57,"AAAAAH63+Tc=")</f>
        <v>#VALUE!</v>
      </c>
      <c r="BE113" t="e">
        <f>AND(tecantrop!Q57,"AAAAAH63+Tg=")</f>
        <v>#VALUE!</v>
      </c>
      <c r="BF113" t="e">
        <f>AND(tecantrop!R57,"AAAAAH63+Tk=")</f>
        <v>#VALUE!</v>
      </c>
      <c r="BG113" t="e">
        <f>AND(tecantrop!S57,"AAAAAH63+To=")</f>
        <v>#VALUE!</v>
      </c>
      <c r="BH113" t="e">
        <f>AND(tecantrop!T57,"AAAAAH63+Ts=")</f>
        <v>#VALUE!</v>
      </c>
      <c r="BI113" t="e">
        <f>AND(tecantrop!U57,"AAAAAH63+Tw=")</f>
        <v>#VALUE!</v>
      </c>
      <c r="BJ113" t="e">
        <f>AND(tecantrop!V57,"AAAAAH63+T0=")</f>
        <v>#VALUE!</v>
      </c>
      <c r="BK113" t="e">
        <f>AND(tecantrop!W57,"AAAAAH63+T4=")</f>
        <v>#VALUE!</v>
      </c>
      <c r="BL113" t="e">
        <f>AND(tecantrop!X57,"AAAAAH63+T8=")</f>
        <v>#VALUE!</v>
      </c>
      <c r="BM113">
        <f>IF(tecantrop!58:58,"AAAAAH63+UA=",0)</f>
        <v>0</v>
      </c>
      <c r="BN113" t="e">
        <f>AND(tecantrop!A58,"AAAAAH63+UE=")</f>
        <v>#VALUE!</v>
      </c>
      <c r="BO113" t="e">
        <f>AND(tecantrop!B58,"AAAAAH63+UI=")</f>
        <v>#VALUE!</v>
      </c>
      <c r="BP113" t="e">
        <f>AND(tecantrop!C58,"AAAAAH63+UM=")</f>
        <v>#VALUE!</v>
      </c>
      <c r="BQ113" t="e">
        <f>AND(tecantrop!D58,"AAAAAH63+UQ=")</f>
        <v>#VALUE!</v>
      </c>
      <c r="BR113" t="e">
        <f>AND(tecantrop!E58,"AAAAAH63+UU=")</f>
        <v>#VALUE!</v>
      </c>
      <c r="BS113" t="e">
        <f>AND(tecantrop!F58,"AAAAAH63+UY=")</f>
        <v>#VALUE!</v>
      </c>
      <c r="BT113" t="e">
        <f>AND(tecantrop!G58,"AAAAAH63+Uc=")</f>
        <v>#VALUE!</v>
      </c>
      <c r="BU113" t="e">
        <f>AND(tecantrop!H58,"AAAAAH63+Ug=")</f>
        <v>#VALUE!</v>
      </c>
      <c r="BV113" t="e">
        <f>AND(tecantrop!I58,"AAAAAH63+Uk=")</f>
        <v>#VALUE!</v>
      </c>
      <c r="BW113" t="e">
        <f>AND(tecantrop!J58,"AAAAAH63+Uo=")</f>
        <v>#VALUE!</v>
      </c>
      <c r="BX113" t="e">
        <f>AND(tecantrop!K58,"AAAAAH63+Us=")</f>
        <v>#VALUE!</v>
      </c>
      <c r="BY113" t="e">
        <f>AND(tecantrop!L58,"AAAAAH63+Uw=")</f>
        <v>#VALUE!</v>
      </c>
      <c r="BZ113" t="e">
        <f>AND(tecantrop!M58,"AAAAAH63+U0=")</f>
        <v>#VALUE!</v>
      </c>
      <c r="CA113" t="e">
        <f>AND(tecantrop!N58,"AAAAAH63+U4=")</f>
        <v>#VALUE!</v>
      </c>
      <c r="CB113" t="e">
        <f>AND(tecantrop!O58,"AAAAAH63+U8=")</f>
        <v>#VALUE!</v>
      </c>
      <c r="CC113" t="e">
        <f>AND(tecantrop!P58,"AAAAAH63+VA=")</f>
        <v>#VALUE!</v>
      </c>
      <c r="CD113" t="e">
        <f>AND(tecantrop!Q58,"AAAAAH63+VE=")</f>
        <v>#VALUE!</v>
      </c>
      <c r="CE113" t="e">
        <f>AND(tecantrop!R58,"AAAAAH63+VI=")</f>
        <v>#VALUE!</v>
      </c>
      <c r="CF113" t="e">
        <f>AND(tecantrop!S58,"AAAAAH63+VM=")</f>
        <v>#VALUE!</v>
      </c>
      <c r="CG113" t="e">
        <f>AND(tecantrop!T58,"AAAAAH63+VQ=")</f>
        <v>#VALUE!</v>
      </c>
      <c r="CH113" t="e">
        <f>AND(tecantrop!U58,"AAAAAH63+VU=")</f>
        <v>#VALUE!</v>
      </c>
      <c r="CI113" t="e">
        <f>AND(tecantrop!V58,"AAAAAH63+VY=")</f>
        <v>#VALUE!</v>
      </c>
      <c r="CJ113" t="e">
        <f>AND(tecantrop!W58,"AAAAAH63+Vc=")</f>
        <v>#VALUE!</v>
      </c>
      <c r="CK113" t="e">
        <f>AND(tecantrop!X58,"AAAAAH63+Vg=")</f>
        <v>#VALUE!</v>
      </c>
      <c r="CL113">
        <f>IF(tecantrop!59:59,"AAAAAH63+Vk=",0)</f>
        <v>0</v>
      </c>
      <c r="CM113" t="e">
        <f>AND(tecantrop!A59,"AAAAAH63+Vo=")</f>
        <v>#VALUE!</v>
      </c>
      <c r="CN113" t="e">
        <f>AND(tecantrop!B59,"AAAAAH63+Vs=")</f>
        <v>#VALUE!</v>
      </c>
      <c r="CO113" t="e">
        <f>AND(tecantrop!C59,"AAAAAH63+Vw=")</f>
        <v>#VALUE!</v>
      </c>
      <c r="CP113" t="e">
        <f>AND(tecantrop!D59,"AAAAAH63+V0=")</f>
        <v>#VALUE!</v>
      </c>
      <c r="CQ113" t="e">
        <f>AND(tecantrop!E59,"AAAAAH63+V4=")</f>
        <v>#VALUE!</v>
      </c>
      <c r="CR113" t="e">
        <f>AND(tecantrop!F59,"AAAAAH63+V8=")</f>
        <v>#VALUE!</v>
      </c>
      <c r="CS113" t="e">
        <f>AND(tecantrop!G59,"AAAAAH63+WA=")</f>
        <v>#VALUE!</v>
      </c>
      <c r="CT113" t="e">
        <f>AND(tecantrop!H59,"AAAAAH63+WE=")</f>
        <v>#VALUE!</v>
      </c>
      <c r="CU113" t="e">
        <f>AND(tecantrop!I59,"AAAAAH63+WI=")</f>
        <v>#VALUE!</v>
      </c>
      <c r="CV113" t="e">
        <f>AND(tecantrop!J59,"AAAAAH63+WM=")</f>
        <v>#VALUE!</v>
      </c>
      <c r="CW113" t="e">
        <f>AND(tecantrop!K59,"AAAAAH63+WQ=")</f>
        <v>#VALUE!</v>
      </c>
      <c r="CX113" t="e">
        <f>AND(tecantrop!L59,"AAAAAH63+WU=")</f>
        <v>#VALUE!</v>
      </c>
      <c r="CY113" t="e">
        <f>AND(tecantrop!M59,"AAAAAH63+WY=")</f>
        <v>#VALUE!</v>
      </c>
      <c r="CZ113" t="e">
        <f>AND(tecantrop!N59,"AAAAAH63+Wc=")</f>
        <v>#VALUE!</v>
      </c>
      <c r="DA113" t="e">
        <f>AND(tecantrop!O59,"AAAAAH63+Wg=")</f>
        <v>#VALUE!</v>
      </c>
      <c r="DB113" t="e">
        <f>AND(tecantrop!P59,"AAAAAH63+Wk=")</f>
        <v>#VALUE!</v>
      </c>
      <c r="DC113" t="e">
        <f>AND(tecantrop!Q59,"AAAAAH63+Wo=")</f>
        <v>#VALUE!</v>
      </c>
      <c r="DD113" t="e">
        <f>AND(tecantrop!R59,"AAAAAH63+Ws=")</f>
        <v>#VALUE!</v>
      </c>
      <c r="DE113" t="e">
        <f>AND(tecantrop!S59,"AAAAAH63+Ww=")</f>
        <v>#VALUE!</v>
      </c>
      <c r="DF113" t="e">
        <f>AND(tecantrop!T59,"AAAAAH63+W0=")</f>
        <v>#VALUE!</v>
      </c>
      <c r="DG113" t="e">
        <f>AND(tecantrop!U59,"AAAAAH63+W4=")</f>
        <v>#VALUE!</v>
      </c>
      <c r="DH113" t="e">
        <f>AND(tecantrop!V59,"AAAAAH63+W8=")</f>
        <v>#VALUE!</v>
      </c>
      <c r="DI113" t="e">
        <f>AND(tecantrop!W59,"AAAAAH63+XA=")</f>
        <v>#VALUE!</v>
      </c>
      <c r="DJ113" t="e">
        <f>AND(tecantrop!X59,"AAAAAH63+XE=")</f>
        <v>#VALUE!</v>
      </c>
      <c r="DK113">
        <f>IF(tecantrop!60:60,"AAAAAH63+XI=",0)</f>
        <v>0</v>
      </c>
      <c r="DL113" t="e">
        <f>AND(tecantrop!A60,"AAAAAH63+XM=")</f>
        <v>#VALUE!</v>
      </c>
      <c r="DM113" t="e">
        <f>AND(tecantrop!B60,"AAAAAH63+XQ=")</f>
        <v>#VALUE!</v>
      </c>
      <c r="DN113" t="e">
        <f>AND(tecantrop!C60,"AAAAAH63+XU=")</f>
        <v>#VALUE!</v>
      </c>
      <c r="DO113" t="e">
        <f>AND(tecantrop!D60,"AAAAAH63+XY=")</f>
        <v>#VALUE!</v>
      </c>
      <c r="DP113" t="e">
        <f>AND(tecantrop!E60,"AAAAAH63+Xc=")</f>
        <v>#VALUE!</v>
      </c>
      <c r="DQ113" t="e">
        <f>AND(tecantrop!F60,"AAAAAH63+Xg=")</f>
        <v>#VALUE!</v>
      </c>
      <c r="DR113" t="e">
        <f>AND(tecantrop!G60,"AAAAAH63+Xk=")</f>
        <v>#VALUE!</v>
      </c>
      <c r="DS113" t="e">
        <f>AND(tecantrop!H60,"AAAAAH63+Xo=")</f>
        <v>#VALUE!</v>
      </c>
      <c r="DT113" t="e">
        <f>AND(tecantrop!I60,"AAAAAH63+Xs=")</f>
        <v>#VALUE!</v>
      </c>
      <c r="DU113" t="e">
        <f>AND(tecantrop!J60,"AAAAAH63+Xw=")</f>
        <v>#VALUE!</v>
      </c>
      <c r="DV113" t="e">
        <f>AND(tecantrop!K60,"AAAAAH63+X0=")</f>
        <v>#VALUE!</v>
      </c>
      <c r="DW113" t="e">
        <f>AND(tecantrop!L60,"AAAAAH63+X4=")</f>
        <v>#VALUE!</v>
      </c>
      <c r="DX113" t="e">
        <f>AND(tecantrop!M60,"AAAAAH63+X8=")</f>
        <v>#VALUE!</v>
      </c>
      <c r="DY113" t="e">
        <f>AND(tecantrop!N60,"AAAAAH63+YA=")</f>
        <v>#VALUE!</v>
      </c>
      <c r="DZ113" t="e">
        <f>AND(tecantrop!O60,"AAAAAH63+YE=")</f>
        <v>#VALUE!</v>
      </c>
      <c r="EA113" t="e">
        <f>AND(tecantrop!P60,"AAAAAH63+YI=")</f>
        <v>#VALUE!</v>
      </c>
      <c r="EB113" t="e">
        <f>AND(tecantrop!Q60,"AAAAAH63+YM=")</f>
        <v>#VALUE!</v>
      </c>
      <c r="EC113" t="e">
        <f>AND(tecantrop!R60,"AAAAAH63+YQ=")</f>
        <v>#VALUE!</v>
      </c>
      <c r="ED113" t="e">
        <f>AND(tecantrop!S60,"AAAAAH63+YU=")</f>
        <v>#VALUE!</v>
      </c>
      <c r="EE113" t="e">
        <f>AND(tecantrop!T60,"AAAAAH63+YY=")</f>
        <v>#VALUE!</v>
      </c>
      <c r="EF113" t="e">
        <f>AND(tecantrop!U60,"AAAAAH63+Yc=")</f>
        <v>#VALUE!</v>
      </c>
      <c r="EG113" t="e">
        <f>AND(tecantrop!V60,"AAAAAH63+Yg=")</f>
        <v>#VALUE!</v>
      </c>
      <c r="EH113" t="e">
        <f>AND(tecantrop!W60,"AAAAAH63+Yk=")</f>
        <v>#VALUE!</v>
      </c>
      <c r="EI113" t="e">
        <f>AND(tecantrop!X60,"AAAAAH63+Yo=")</f>
        <v>#VALUE!</v>
      </c>
      <c r="EJ113">
        <f>IF(tecantrop!61:61,"AAAAAH63+Ys=",0)</f>
        <v>0</v>
      </c>
      <c r="EK113" t="e">
        <f>AND(tecantrop!A61,"AAAAAH63+Yw=")</f>
        <v>#VALUE!</v>
      </c>
      <c r="EL113" t="e">
        <f>AND(tecantrop!B61,"AAAAAH63+Y0=")</f>
        <v>#VALUE!</v>
      </c>
      <c r="EM113" t="e">
        <f>AND(tecantrop!C61,"AAAAAH63+Y4=")</f>
        <v>#VALUE!</v>
      </c>
      <c r="EN113" t="e">
        <f>AND(tecantrop!D61,"AAAAAH63+Y8=")</f>
        <v>#VALUE!</v>
      </c>
      <c r="EO113" t="e">
        <f>AND(tecantrop!E61,"AAAAAH63+ZA=")</f>
        <v>#VALUE!</v>
      </c>
      <c r="EP113" t="e">
        <f>AND(tecantrop!F61,"AAAAAH63+ZE=")</f>
        <v>#VALUE!</v>
      </c>
      <c r="EQ113" t="e">
        <f>AND(tecantrop!G61,"AAAAAH63+ZI=")</f>
        <v>#VALUE!</v>
      </c>
      <c r="ER113" t="e">
        <f>AND(tecantrop!H61,"AAAAAH63+ZM=")</f>
        <v>#VALUE!</v>
      </c>
      <c r="ES113" t="e">
        <f>AND(tecantrop!I61,"AAAAAH63+ZQ=")</f>
        <v>#VALUE!</v>
      </c>
      <c r="ET113" t="e">
        <f>AND(tecantrop!J61,"AAAAAH63+ZU=")</f>
        <v>#VALUE!</v>
      </c>
      <c r="EU113" t="e">
        <f>AND(tecantrop!K61,"AAAAAH63+ZY=")</f>
        <v>#VALUE!</v>
      </c>
      <c r="EV113" t="e">
        <f>AND(tecantrop!L61,"AAAAAH63+Zc=")</f>
        <v>#VALUE!</v>
      </c>
      <c r="EW113" t="e">
        <f>AND(tecantrop!M61,"AAAAAH63+Zg=")</f>
        <v>#VALUE!</v>
      </c>
      <c r="EX113" t="e">
        <f>AND(tecantrop!N61,"AAAAAH63+Zk=")</f>
        <v>#VALUE!</v>
      </c>
      <c r="EY113" t="e">
        <f>AND(tecantrop!O61,"AAAAAH63+Zo=")</f>
        <v>#VALUE!</v>
      </c>
      <c r="EZ113" t="e">
        <f>AND(tecantrop!P61,"AAAAAH63+Zs=")</f>
        <v>#VALUE!</v>
      </c>
      <c r="FA113" t="e">
        <f>AND(tecantrop!Q61,"AAAAAH63+Zw=")</f>
        <v>#VALUE!</v>
      </c>
      <c r="FB113" t="e">
        <f>AND(tecantrop!R61,"AAAAAH63+Z0=")</f>
        <v>#VALUE!</v>
      </c>
      <c r="FC113" t="e">
        <f>AND(tecantrop!S61,"AAAAAH63+Z4=")</f>
        <v>#VALUE!</v>
      </c>
      <c r="FD113" t="e">
        <f>AND(tecantrop!T61,"AAAAAH63+Z8=")</f>
        <v>#VALUE!</v>
      </c>
      <c r="FE113" t="e">
        <f>AND(tecantrop!U61,"AAAAAH63+aA=")</f>
        <v>#VALUE!</v>
      </c>
      <c r="FF113" t="e">
        <f>AND(tecantrop!V61,"AAAAAH63+aE=")</f>
        <v>#VALUE!</v>
      </c>
      <c r="FG113" t="e">
        <f>AND(tecantrop!W61,"AAAAAH63+aI=")</f>
        <v>#VALUE!</v>
      </c>
      <c r="FH113" t="e">
        <f>AND(tecantrop!X61,"AAAAAH63+aM=")</f>
        <v>#VALUE!</v>
      </c>
      <c r="FI113">
        <f>IF(tecantrop!62:62,"AAAAAH63+aQ=",0)</f>
        <v>0</v>
      </c>
      <c r="FJ113" t="e">
        <f>AND(tecantrop!A62,"AAAAAH63+aU=")</f>
        <v>#VALUE!</v>
      </c>
      <c r="FK113" t="e">
        <f>AND(tecantrop!B62,"AAAAAH63+aY=")</f>
        <v>#VALUE!</v>
      </c>
      <c r="FL113" t="e">
        <f>AND(tecantrop!C62,"AAAAAH63+ac=")</f>
        <v>#VALUE!</v>
      </c>
      <c r="FM113" t="e">
        <f>AND(tecantrop!D62,"AAAAAH63+ag=")</f>
        <v>#VALUE!</v>
      </c>
      <c r="FN113" t="e">
        <f>AND(tecantrop!E62,"AAAAAH63+ak=")</f>
        <v>#VALUE!</v>
      </c>
      <c r="FO113" t="e">
        <f>AND(tecantrop!F62,"AAAAAH63+ao=")</f>
        <v>#VALUE!</v>
      </c>
      <c r="FP113" t="e">
        <f>AND(tecantrop!G62,"AAAAAH63+as=")</f>
        <v>#VALUE!</v>
      </c>
      <c r="FQ113" t="e">
        <f>AND(tecantrop!H62,"AAAAAH63+aw=")</f>
        <v>#VALUE!</v>
      </c>
      <c r="FR113" t="e">
        <f>AND(tecantrop!I62,"AAAAAH63+a0=")</f>
        <v>#VALUE!</v>
      </c>
      <c r="FS113" t="e">
        <f>AND(tecantrop!J62,"AAAAAH63+a4=")</f>
        <v>#VALUE!</v>
      </c>
      <c r="FT113" t="e">
        <f>AND(tecantrop!K62,"AAAAAH63+a8=")</f>
        <v>#VALUE!</v>
      </c>
      <c r="FU113" t="e">
        <f>AND(tecantrop!L62,"AAAAAH63+bA=")</f>
        <v>#VALUE!</v>
      </c>
      <c r="FV113" t="e">
        <f>AND(tecantrop!M62,"AAAAAH63+bE=")</f>
        <v>#VALUE!</v>
      </c>
      <c r="FW113" t="e">
        <f>AND(tecantrop!N62,"AAAAAH63+bI=")</f>
        <v>#VALUE!</v>
      </c>
      <c r="FX113" t="e">
        <f>AND(tecantrop!O62,"AAAAAH63+bM=")</f>
        <v>#VALUE!</v>
      </c>
      <c r="FY113" t="e">
        <f>AND(tecantrop!P62,"AAAAAH63+bQ=")</f>
        <v>#VALUE!</v>
      </c>
      <c r="FZ113" t="e">
        <f>AND(tecantrop!Q62,"AAAAAH63+bU=")</f>
        <v>#VALUE!</v>
      </c>
      <c r="GA113" t="e">
        <f>AND(tecantrop!R62,"AAAAAH63+bY=")</f>
        <v>#VALUE!</v>
      </c>
      <c r="GB113" t="e">
        <f>AND(tecantrop!S62,"AAAAAH63+bc=")</f>
        <v>#VALUE!</v>
      </c>
      <c r="GC113" t="e">
        <f>AND(tecantrop!T62,"AAAAAH63+bg=")</f>
        <v>#VALUE!</v>
      </c>
      <c r="GD113" t="e">
        <f>AND(tecantrop!U62,"AAAAAH63+bk=")</f>
        <v>#VALUE!</v>
      </c>
      <c r="GE113" t="e">
        <f>AND(tecantrop!V62,"AAAAAH63+bo=")</f>
        <v>#VALUE!</v>
      </c>
      <c r="GF113" t="e">
        <f>AND(tecantrop!W62,"AAAAAH63+bs=")</f>
        <v>#VALUE!</v>
      </c>
      <c r="GG113" t="e">
        <f>AND(tecantrop!X62,"AAAAAH63+bw=")</f>
        <v>#VALUE!</v>
      </c>
      <c r="GH113">
        <f>IF(tecantrop!63:63,"AAAAAH63+b0=",0)</f>
        <v>0</v>
      </c>
      <c r="GI113" t="e">
        <f>AND(tecantrop!A63,"AAAAAH63+b4=")</f>
        <v>#VALUE!</v>
      </c>
      <c r="GJ113" t="e">
        <f>AND(tecantrop!B63,"AAAAAH63+b8=")</f>
        <v>#VALUE!</v>
      </c>
      <c r="GK113" t="e">
        <f>AND(tecantrop!C63,"AAAAAH63+cA=")</f>
        <v>#VALUE!</v>
      </c>
      <c r="GL113" t="e">
        <f>AND(tecantrop!D63,"AAAAAH63+cE=")</f>
        <v>#VALUE!</v>
      </c>
      <c r="GM113" t="e">
        <f>AND(tecantrop!E63,"AAAAAH63+cI=")</f>
        <v>#VALUE!</v>
      </c>
      <c r="GN113" t="e">
        <f>AND(tecantrop!F63,"AAAAAH63+cM=")</f>
        <v>#VALUE!</v>
      </c>
      <c r="GO113" t="e">
        <f>AND(tecantrop!G63,"AAAAAH63+cQ=")</f>
        <v>#VALUE!</v>
      </c>
      <c r="GP113" t="e">
        <f>AND(tecantrop!H63,"AAAAAH63+cU=")</f>
        <v>#VALUE!</v>
      </c>
      <c r="GQ113" t="e">
        <f>AND(tecantrop!I63,"AAAAAH63+cY=")</f>
        <v>#VALUE!</v>
      </c>
      <c r="GR113" t="e">
        <f>AND(tecantrop!J63,"AAAAAH63+cc=")</f>
        <v>#VALUE!</v>
      </c>
      <c r="GS113" t="e">
        <f>AND(tecantrop!K63,"AAAAAH63+cg=")</f>
        <v>#VALUE!</v>
      </c>
      <c r="GT113" t="e">
        <f>AND(tecantrop!L63,"AAAAAH63+ck=")</f>
        <v>#VALUE!</v>
      </c>
      <c r="GU113" t="e">
        <f>AND(tecantrop!M63,"AAAAAH63+co=")</f>
        <v>#VALUE!</v>
      </c>
      <c r="GV113" t="e">
        <f>AND(tecantrop!N63,"AAAAAH63+cs=")</f>
        <v>#VALUE!</v>
      </c>
      <c r="GW113" t="e">
        <f>AND(tecantrop!O63,"AAAAAH63+cw=")</f>
        <v>#VALUE!</v>
      </c>
      <c r="GX113" t="e">
        <f>AND(tecantrop!P63,"AAAAAH63+c0=")</f>
        <v>#VALUE!</v>
      </c>
      <c r="GY113" t="e">
        <f>AND(tecantrop!Q63,"AAAAAH63+c4=")</f>
        <v>#VALUE!</v>
      </c>
      <c r="GZ113" t="e">
        <f>AND(tecantrop!R63,"AAAAAH63+c8=")</f>
        <v>#VALUE!</v>
      </c>
      <c r="HA113" t="e">
        <f>AND(tecantrop!S63,"AAAAAH63+dA=")</f>
        <v>#VALUE!</v>
      </c>
      <c r="HB113" t="e">
        <f>AND(tecantrop!T63,"AAAAAH63+dE=")</f>
        <v>#VALUE!</v>
      </c>
      <c r="HC113" t="e">
        <f>AND(tecantrop!U63,"AAAAAH63+dI=")</f>
        <v>#VALUE!</v>
      </c>
      <c r="HD113" t="e">
        <f>AND(tecantrop!V63,"AAAAAH63+dM=")</f>
        <v>#VALUE!</v>
      </c>
      <c r="HE113" t="e">
        <f>AND(tecantrop!W63,"AAAAAH63+dQ=")</f>
        <v>#VALUE!</v>
      </c>
      <c r="HF113" t="e">
        <f>AND(tecantrop!X63,"AAAAAH63+dU=")</f>
        <v>#VALUE!</v>
      </c>
      <c r="HG113">
        <f>IF(tecantrop!64:64,"AAAAAH63+dY=",0)</f>
        <v>0</v>
      </c>
      <c r="HH113" t="e">
        <f>AND(tecantrop!A64,"AAAAAH63+dc=")</f>
        <v>#VALUE!</v>
      </c>
      <c r="HI113" t="e">
        <f>AND(tecantrop!B64,"AAAAAH63+dg=")</f>
        <v>#VALUE!</v>
      </c>
      <c r="HJ113" t="e">
        <f>AND(tecantrop!C64,"AAAAAH63+dk=")</f>
        <v>#VALUE!</v>
      </c>
      <c r="HK113" t="e">
        <f>AND(tecantrop!D64,"AAAAAH63+do=")</f>
        <v>#VALUE!</v>
      </c>
      <c r="HL113" t="e">
        <f>AND(tecantrop!E64,"AAAAAH63+ds=")</f>
        <v>#VALUE!</v>
      </c>
      <c r="HM113" t="e">
        <f>AND(tecantrop!F64,"AAAAAH63+dw=")</f>
        <v>#VALUE!</v>
      </c>
      <c r="HN113" t="e">
        <f>AND(tecantrop!G64,"AAAAAH63+d0=")</f>
        <v>#VALUE!</v>
      </c>
      <c r="HO113" t="e">
        <f>AND(tecantrop!H64,"AAAAAH63+d4=")</f>
        <v>#VALUE!</v>
      </c>
      <c r="HP113" t="e">
        <f>AND(tecantrop!I64,"AAAAAH63+d8=")</f>
        <v>#VALUE!</v>
      </c>
      <c r="HQ113" t="e">
        <f>AND(tecantrop!J64,"AAAAAH63+eA=")</f>
        <v>#VALUE!</v>
      </c>
      <c r="HR113" t="e">
        <f>AND(tecantrop!K64,"AAAAAH63+eE=")</f>
        <v>#VALUE!</v>
      </c>
      <c r="HS113" t="e">
        <f>AND(tecantrop!L64,"AAAAAH63+eI=")</f>
        <v>#VALUE!</v>
      </c>
      <c r="HT113" t="e">
        <f>AND(tecantrop!M64,"AAAAAH63+eM=")</f>
        <v>#VALUE!</v>
      </c>
      <c r="HU113" t="e">
        <f>AND(tecantrop!N64,"AAAAAH63+eQ=")</f>
        <v>#VALUE!</v>
      </c>
      <c r="HV113" t="e">
        <f>AND(tecantrop!O64,"AAAAAH63+eU=")</f>
        <v>#VALUE!</v>
      </c>
      <c r="HW113" t="e">
        <f>AND(tecantrop!P64,"AAAAAH63+eY=")</f>
        <v>#VALUE!</v>
      </c>
      <c r="HX113" t="e">
        <f>AND(tecantrop!Q64,"AAAAAH63+ec=")</f>
        <v>#VALUE!</v>
      </c>
      <c r="HY113" t="e">
        <f>AND(tecantrop!R64,"AAAAAH63+eg=")</f>
        <v>#VALUE!</v>
      </c>
      <c r="HZ113" t="e">
        <f>AND(tecantrop!S64,"AAAAAH63+ek=")</f>
        <v>#VALUE!</v>
      </c>
      <c r="IA113" t="e">
        <f>AND(tecantrop!T64,"AAAAAH63+eo=")</f>
        <v>#VALUE!</v>
      </c>
      <c r="IB113" t="e">
        <f>AND(tecantrop!U64,"AAAAAH63+es=")</f>
        <v>#VALUE!</v>
      </c>
      <c r="IC113" t="e">
        <f>AND(tecantrop!V64,"AAAAAH63+ew=")</f>
        <v>#VALUE!</v>
      </c>
      <c r="ID113" t="e">
        <f>AND(tecantrop!W64,"AAAAAH63+e0=")</f>
        <v>#VALUE!</v>
      </c>
      <c r="IE113" t="e">
        <f>AND(tecantrop!X64,"AAAAAH63+e4=")</f>
        <v>#VALUE!</v>
      </c>
      <c r="IF113">
        <f>IF(tecantrop!65:65,"AAAAAH63+e8=",0)</f>
        <v>0</v>
      </c>
      <c r="IG113" t="e">
        <f>AND(tecantrop!A65,"AAAAAH63+fA=")</f>
        <v>#VALUE!</v>
      </c>
      <c r="IH113" t="e">
        <f>AND(tecantrop!B65,"AAAAAH63+fE=")</f>
        <v>#VALUE!</v>
      </c>
      <c r="II113" t="e">
        <f>AND(tecantrop!C65,"AAAAAH63+fI=")</f>
        <v>#VALUE!</v>
      </c>
      <c r="IJ113" t="e">
        <f>AND(tecantrop!D65,"AAAAAH63+fM=")</f>
        <v>#VALUE!</v>
      </c>
      <c r="IK113" t="e">
        <f>AND(tecantrop!E65,"AAAAAH63+fQ=")</f>
        <v>#VALUE!</v>
      </c>
      <c r="IL113" t="e">
        <f>AND(tecantrop!F65,"AAAAAH63+fU=")</f>
        <v>#VALUE!</v>
      </c>
      <c r="IM113" t="e">
        <f>AND(tecantrop!G65,"AAAAAH63+fY=")</f>
        <v>#VALUE!</v>
      </c>
      <c r="IN113" t="e">
        <f>AND(tecantrop!H65,"AAAAAH63+fc=")</f>
        <v>#VALUE!</v>
      </c>
      <c r="IO113" t="e">
        <f>AND(tecantrop!I65,"AAAAAH63+fg=")</f>
        <v>#VALUE!</v>
      </c>
      <c r="IP113" t="e">
        <f>AND(tecantrop!J65,"AAAAAH63+fk=")</f>
        <v>#VALUE!</v>
      </c>
      <c r="IQ113" t="e">
        <f>AND(tecantrop!K65,"AAAAAH63+fo=")</f>
        <v>#VALUE!</v>
      </c>
      <c r="IR113" t="e">
        <f>AND(tecantrop!L65,"AAAAAH63+fs=")</f>
        <v>#VALUE!</v>
      </c>
      <c r="IS113" t="e">
        <f>AND(tecantrop!M65,"AAAAAH63+fw=")</f>
        <v>#VALUE!</v>
      </c>
      <c r="IT113" t="e">
        <f>AND(tecantrop!N65,"AAAAAH63+f0=")</f>
        <v>#VALUE!</v>
      </c>
      <c r="IU113" t="e">
        <f>AND(tecantrop!O65,"AAAAAH63+f4=")</f>
        <v>#VALUE!</v>
      </c>
      <c r="IV113" t="e">
        <f>AND(tecantrop!P65,"AAAAAH63+f8=")</f>
        <v>#VALUE!</v>
      </c>
    </row>
    <row r="114" spans="1:256" x14ac:dyDescent="0.2">
      <c r="A114" t="e">
        <f>AND(tecantrop!Q65,"AAAAAH/u/wA=")</f>
        <v>#VALUE!</v>
      </c>
      <c r="B114" t="e">
        <f>AND(tecantrop!R65,"AAAAAH/u/wE=")</f>
        <v>#VALUE!</v>
      </c>
      <c r="C114" t="e">
        <f>AND(tecantrop!S65,"AAAAAH/u/wI=")</f>
        <v>#VALUE!</v>
      </c>
      <c r="D114" t="e">
        <f>AND(tecantrop!T65,"AAAAAH/u/wM=")</f>
        <v>#VALUE!</v>
      </c>
      <c r="E114" t="e">
        <f>AND(tecantrop!U65,"AAAAAH/u/wQ=")</f>
        <v>#VALUE!</v>
      </c>
      <c r="F114" t="e">
        <f>AND(tecantrop!V65,"AAAAAH/u/wU=")</f>
        <v>#VALUE!</v>
      </c>
      <c r="G114" t="e">
        <f>AND(tecantrop!W65,"AAAAAH/u/wY=")</f>
        <v>#VALUE!</v>
      </c>
      <c r="H114" t="e">
        <f>AND(tecantrop!X65,"AAAAAH/u/wc=")</f>
        <v>#VALUE!</v>
      </c>
      <c r="I114">
        <f>IF(tecantrop!66:66,"AAAAAH/u/wg=",0)</f>
        <v>0</v>
      </c>
      <c r="J114" t="e">
        <f>AND(tecantrop!A66,"AAAAAH/u/wk=")</f>
        <v>#VALUE!</v>
      </c>
      <c r="K114" t="e">
        <f>AND(tecantrop!B66,"AAAAAH/u/wo=")</f>
        <v>#VALUE!</v>
      </c>
      <c r="L114" t="e">
        <f>AND(tecantrop!C66,"AAAAAH/u/ws=")</f>
        <v>#VALUE!</v>
      </c>
      <c r="M114" t="e">
        <f>AND(tecantrop!D66,"AAAAAH/u/ww=")</f>
        <v>#VALUE!</v>
      </c>
      <c r="N114" t="e">
        <f>AND(tecantrop!E66,"AAAAAH/u/w0=")</f>
        <v>#VALUE!</v>
      </c>
      <c r="O114" t="e">
        <f>AND(tecantrop!F66,"AAAAAH/u/w4=")</f>
        <v>#VALUE!</v>
      </c>
      <c r="P114" t="e">
        <f>AND(tecantrop!G66,"AAAAAH/u/w8=")</f>
        <v>#VALUE!</v>
      </c>
      <c r="Q114" t="e">
        <f>AND(tecantrop!H66,"AAAAAH/u/xA=")</f>
        <v>#VALUE!</v>
      </c>
      <c r="R114" t="e">
        <f>AND(tecantrop!I66,"AAAAAH/u/xE=")</f>
        <v>#VALUE!</v>
      </c>
      <c r="S114" t="e">
        <f>AND(tecantrop!J66,"AAAAAH/u/xI=")</f>
        <v>#VALUE!</v>
      </c>
      <c r="T114" t="e">
        <f>AND(tecantrop!K66,"AAAAAH/u/xM=")</f>
        <v>#VALUE!</v>
      </c>
      <c r="U114" t="e">
        <f>AND(tecantrop!L66,"AAAAAH/u/xQ=")</f>
        <v>#VALUE!</v>
      </c>
      <c r="V114" t="e">
        <f>AND(tecantrop!M66,"AAAAAH/u/xU=")</f>
        <v>#VALUE!</v>
      </c>
      <c r="W114" t="e">
        <f>AND(tecantrop!N66,"AAAAAH/u/xY=")</f>
        <v>#VALUE!</v>
      </c>
      <c r="X114" t="e">
        <f>AND(tecantrop!O66,"AAAAAH/u/xc=")</f>
        <v>#VALUE!</v>
      </c>
      <c r="Y114" t="e">
        <f>AND(tecantrop!P66,"AAAAAH/u/xg=")</f>
        <v>#VALUE!</v>
      </c>
      <c r="Z114" t="e">
        <f>AND(tecantrop!Q66,"AAAAAH/u/xk=")</f>
        <v>#VALUE!</v>
      </c>
      <c r="AA114" t="e">
        <f>AND(tecantrop!R66,"AAAAAH/u/xo=")</f>
        <v>#VALUE!</v>
      </c>
      <c r="AB114" t="e">
        <f>AND(tecantrop!S66,"AAAAAH/u/xs=")</f>
        <v>#VALUE!</v>
      </c>
      <c r="AC114" t="e">
        <f>AND(tecantrop!T66,"AAAAAH/u/xw=")</f>
        <v>#VALUE!</v>
      </c>
      <c r="AD114" t="e">
        <f>AND(tecantrop!U66,"AAAAAH/u/x0=")</f>
        <v>#VALUE!</v>
      </c>
      <c r="AE114" t="e">
        <f>AND(tecantrop!V66,"AAAAAH/u/x4=")</f>
        <v>#VALUE!</v>
      </c>
      <c r="AF114" t="e">
        <f>AND(tecantrop!W66,"AAAAAH/u/x8=")</f>
        <v>#VALUE!</v>
      </c>
      <c r="AG114" t="e">
        <f>AND(tecantrop!X66,"AAAAAH/u/yA=")</f>
        <v>#VALUE!</v>
      </c>
      <c r="AH114">
        <f>IF(tecantrop!67:67,"AAAAAH/u/yE=",0)</f>
        <v>0</v>
      </c>
      <c r="AI114" t="e">
        <f>AND(tecantrop!A67,"AAAAAH/u/yI=")</f>
        <v>#VALUE!</v>
      </c>
      <c r="AJ114" t="e">
        <f>AND(tecantrop!B67,"AAAAAH/u/yM=")</f>
        <v>#VALUE!</v>
      </c>
      <c r="AK114" t="e">
        <f>AND(tecantrop!C67,"AAAAAH/u/yQ=")</f>
        <v>#VALUE!</v>
      </c>
      <c r="AL114" t="e">
        <f>AND(tecantrop!D67,"AAAAAH/u/yU=")</f>
        <v>#VALUE!</v>
      </c>
      <c r="AM114" t="e">
        <f>AND(tecantrop!E67,"AAAAAH/u/yY=")</f>
        <v>#VALUE!</v>
      </c>
      <c r="AN114" t="e">
        <f>AND(tecantrop!F67,"AAAAAH/u/yc=")</f>
        <v>#VALUE!</v>
      </c>
      <c r="AO114" t="e">
        <f>AND(tecantrop!G67,"AAAAAH/u/yg=")</f>
        <v>#VALUE!</v>
      </c>
      <c r="AP114" t="e">
        <f>AND(tecantrop!H67,"AAAAAH/u/yk=")</f>
        <v>#VALUE!</v>
      </c>
      <c r="AQ114" t="e">
        <f>AND(tecantrop!I67,"AAAAAH/u/yo=")</f>
        <v>#VALUE!</v>
      </c>
      <c r="AR114" t="e">
        <f>AND(tecantrop!J67,"AAAAAH/u/ys=")</f>
        <v>#VALUE!</v>
      </c>
      <c r="AS114" t="e">
        <f>AND(tecantrop!K67,"AAAAAH/u/yw=")</f>
        <v>#VALUE!</v>
      </c>
      <c r="AT114" t="e">
        <f>AND(tecantrop!L67,"AAAAAH/u/y0=")</f>
        <v>#VALUE!</v>
      </c>
      <c r="AU114" t="e">
        <f>AND(tecantrop!M67,"AAAAAH/u/y4=")</f>
        <v>#VALUE!</v>
      </c>
      <c r="AV114" t="e">
        <f>AND(tecantrop!N67,"AAAAAH/u/y8=")</f>
        <v>#VALUE!</v>
      </c>
      <c r="AW114" t="e">
        <f>AND(tecantrop!O67,"AAAAAH/u/zA=")</f>
        <v>#VALUE!</v>
      </c>
      <c r="AX114" t="e">
        <f>AND(tecantrop!P67,"AAAAAH/u/zE=")</f>
        <v>#VALUE!</v>
      </c>
      <c r="AY114" t="e">
        <f>AND(tecantrop!Q67,"AAAAAH/u/zI=")</f>
        <v>#VALUE!</v>
      </c>
      <c r="AZ114" t="e">
        <f>AND(tecantrop!R67,"AAAAAH/u/zM=")</f>
        <v>#VALUE!</v>
      </c>
      <c r="BA114" t="e">
        <f>AND(tecantrop!S67,"AAAAAH/u/zQ=")</f>
        <v>#VALUE!</v>
      </c>
      <c r="BB114" t="e">
        <f>AND(tecantrop!T67,"AAAAAH/u/zU=")</f>
        <v>#VALUE!</v>
      </c>
      <c r="BC114" t="e">
        <f>AND(tecantrop!U67,"AAAAAH/u/zY=")</f>
        <v>#VALUE!</v>
      </c>
      <c r="BD114" t="e">
        <f>AND(tecantrop!V67,"AAAAAH/u/zc=")</f>
        <v>#VALUE!</v>
      </c>
      <c r="BE114" t="e">
        <f>AND(tecantrop!W67,"AAAAAH/u/zg=")</f>
        <v>#VALUE!</v>
      </c>
      <c r="BF114" t="e">
        <f>AND(tecantrop!X67,"AAAAAH/u/zk=")</f>
        <v>#VALUE!</v>
      </c>
      <c r="BG114">
        <f>IF(tecantrop!68:68,"AAAAAH/u/zo=",0)</f>
        <v>0</v>
      </c>
      <c r="BH114" t="e">
        <f>AND(tecantrop!A68,"AAAAAH/u/zs=")</f>
        <v>#VALUE!</v>
      </c>
      <c r="BI114" t="e">
        <f>AND(tecantrop!B68,"AAAAAH/u/zw=")</f>
        <v>#VALUE!</v>
      </c>
      <c r="BJ114" t="e">
        <f>AND(tecantrop!C68,"AAAAAH/u/z0=")</f>
        <v>#VALUE!</v>
      </c>
      <c r="BK114" t="e">
        <f>AND(tecantrop!D68,"AAAAAH/u/z4=")</f>
        <v>#VALUE!</v>
      </c>
      <c r="BL114" t="e">
        <f>AND(tecantrop!E68,"AAAAAH/u/z8=")</f>
        <v>#VALUE!</v>
      </c>
      <c r="BM114" t="e">
        <f>AND(tecantrop!F68,"AAAAAH/u/0A=")</f>
        <v>#VALUE!</v>
      </c>
      <c r="BN114" t="e">
        <f>AND(tecantrop!G68,"AAAAAH/u/0E=")</f>
        <v>#VALUE!</v>
      </c>
      <c r="BO114" t="e">
        <f>AND(tecantrop!H68,"AAAAAH/u/0I=")</f>
        <v>#VALUE!</v>
      </c>
      <c r="BP114" t="e">
        <f>AND(tecantrop!I68,"AAAAAH/u/0M=")</f>
        <v>#VALUE!</v>
      </c>
      <c r="BQ114" t="e">
        <f>AND(tecantrop!J68,"AAAAAH/u/0Q=")</f>
        <v>#VALUE!</v>
      </c>
      <c r="BR114" t="e">
        <f>AND(tecantrop!K68,"AAAAAH/u/0U=")</f>
        <v>#VALUE!</v>
      </c>
      <c r="BS114" t="e">
        <f>AND(tecantrop!L68,"AAAAAH/u/0Y=")</f>
        <v>#VALUE!</v>
      </c>
      <c r="BT114" t="e">
        <f>AND(tecantrop!M68,"AAAAAH/u/0c=")</f>
        <v>#VALUE!</v>
      </c>
      <c r="BU114" t="e">
        <f>AND(tecantrop!N68,"AAAAAH/u/0g=")</f>
        <v>#VALUE!</v>
      </c>
      <c r="BV114" t="e">
        <f>AND(tecantrop!O68,"AAAAAH/u/0k=")</f>
        <v>#VALUE!</v>
      </c>
      <c r="BW114" t="e">
        <f>AND(tecantrop!P68,"AAAAAH/u/0o=")</f>
        <v>#VALUE!</v>
      </c>
      <c r="BX114" t="e">
        <f>AND(tecantrop!Q68,"AAAAAH/u/0s=")</f>
        <v>#VALUE!</v>
      </c>
      <c r="BY114" t="e">
        <f>AND(tecantrop!R68,"AAAAAH/u/0w=")</f>
        <v>#VALUE!</v>
      </c>
      <c r="BZ114" t="e">
        <f>AND(tecantrop!S68,"AAAAAH/u/00=")</f>
        <v>#VALUE!</v>
      </c>
      <c r="CA114" t="e">
        <f>AND(tecantrop!T68,"AAAAAH/u/04=")</f>
        <v>#VALUE!</v>
      </c>
      <c r="CB114" t="e">
        <f>AND(tecantrop!U68,"AAAAAH/u/08=")</f>
        <v>#VALUE!</v>
      </c>
      <c r="CC114" t="e">
        <f>AND(tecantrop!V68,"AAAAAH/u/1A=")</f>
        <v>#VALUE!</v>
      </c>
      <c r="CD114" t="e">
        <f>AND(tecantrop!W68,"AAAAAH/u/1E=")</f>
        <v>#VALUE!</v>
      </c>
      <c r="CE114" t="e">
        <f>AND(tecantrop!X68,"AAAAAH/u/1I=")</f>
        <v>#VALUE!</v>
      </c>
      <c r="CF114">
        <f>IF(tecantrop!69:69,"AAAAAH/u/1M=",0)</f>
        <v>0</v>
      </c>
      <c r="CG114" t="e">
        <f>AND(tecantrop!A69,"AAAAAH/u/1Q=")</f>
        <v>#VALUE!</v>
      </c>
      <c r="CH114" t="e">
        <f>AND(tecantrop!B69,"AAAAAH/u/1U=")</f>
        <v>#VALUE!</v>
      </c>
      <c r="CI114" t="e">
        <f>AND(tecantrop!C69,"AAAAAH/u/1Y=")</f>
        <v>#VALUE!</v>
      </c>
      <c r="CJ114" t="e">
        <f>AND(tecantrop!D69,"AAAAAH/u/1c=")</f>
        <v>#VALUE!</v>
      </c>
      <c r="CK114" t="e">
        <f>AND(tecantrop!E69,"AAAAAH/u/1g=")</f>
        <v>#VALUE!</v>
      </c>
      <c r="CL114" t="e">
        <f>AND(tecantrop!F69,"AAAAAH/u/1k=")</f>
        <v>#VALUE!</v>
      </c>
      <c r="CM114" t="e">
        <f>AND(tecantrop!G69,"AAAAAH/u/1o=")</f>
        <v>#VALUE!</v>
      </c>
      <c r="CN114" t="e">
        <f>AND(tecantrop!H69,"AAAAAH/u/1s=")</f>
        <v>#VALUE!</v>
      </c>
      <c r="CO114" t="e">
        <f>AND(tecantrop!I69,"AAAAAH/u/1w=")</f>
        <v>#VALUE!</v>
      </c>
      <c r="CP114" t="e">
        <f>AND(tecantrop!J69,"AAAAAH/u/10=")</f>
        <v>#VALUE!</v>
      </c>
      <c r="CQ114" t="e">
        <f>AND(tecantrop!K69,"AAAAAH/u/14=")</f>
        <v>#VALUE!</v>
      </c>
      <c r="CR114" t="e">
        <f>AND(tecantrop!L69,"AAAAAH/u/18=")</f>
        <v>#VALUE!</v>
      </c>
      <c r="CS114" t="e">
        <f>AND(tecantrop!M69,"AAAAAH/u/2A=")</f>
        <v>#VALUE!</v>
      </c>
      <c r="CT114" t="e">
        <f>AND(tecantrop!N69,"AAAAAH/u/2E=")</f>
        <v>#VALUE!</v>
      </c>
      <c r="CU114" t="e">
        <f>AND(tecantrop!O69,"AAAAAH/u/2I=")</f>
        <v>#VALUE!</v>
      </c>
      <c r="CV114" t="e">
        <f>AND(tecantrop!P69,"AAAAAH/u/2M=")</f>
        <v>#VALUE!</v>
      </c>
      <c r="CW114" t="e">
        <f>AND(tecantrop!Q69,"AAAAAH/u/2Q=")</f>
        <v>#VALUE!</v>
      </c>
      <c r="CX114" t="e">
        <f>AND(tecantrop!R69,"AAAAAH/u/2U=")</f>
        <v>#VALUE!</v>
      </c>
      <c r="CY114" t="e">
        <f>AND(tecantrop!S69,"AAAAAH/u/2Y=")</f>
        <v>#VALUE!</v>
      </c>
      <c r="CZ114" t="e">
        <f>AND(tecantrop!T69,"AAAAAH/u/2c=")</f>
        <v>#VALUE!</v>
      </c>
      <c r="DA114" t="e">
        <f>AND(tecantrop!U69,"AAAAAH/u/2g=")</f>
        <v>#VALUE!</v>
      </c>
      <c r="DB114" t="e">
        <f>AND(tecantrop!V69,"AAAAAH/u/2k=")</f>
        <v>#VALUE!</v>
      </c>
      <c r="DC114" t="e">
        <f>AND(tecantrop!W69,"AAAAAH/u/2o=")</f>
        <v>#VALUE!</v>
      </c>
      <c r="DD114" t="e">
        <f>AND(tecantrop!X69,"AAAAAH/u/2s=")</f>
        <v>#VALUE!</v>
      </c>
      <c r="DE114">
        <f>IF(tecantrop!70:70,"AAAAAH/u/2w=",0)</f>
        <v>0</v>
      </c>
      <c r="DF114" t="e">
        <f>AND(tecantrop!A70,"AAAAAH/u/20=")</f>
        <v>#VALUE!</v>
      </c>
      <c r="DG114" t="e">
        <f>AND(tecantrop!B70,"AAAAAH/u/24=")</f>
        <v>#VALUE!</v>
      </c>
      <c r="DH114" t="e">
        <f>AND(tecantrop!C70,"AAAAAH/u/28=")</f>
        <v>#VALUE!</v>
      </c>
      <c r="DI114" t="e">
        <f>AND(tecantrop!D70,"AAAAAH/u/3A=")</f>
        <v>#VALUE!</v>
      </c>
      <c r="DJ114" t="e">
        <f>AND(tecantrop!E70,"AAAAAH/u/3E=")</f>
        <v>#VALUE!</v>
      </c>
      <c r="DK114" t="e">
        <f>AND(tecantrop!F70,"AAAAAH/u/3I=")</f>
        <v>#VALUE!</v>
      </c>
      <c r="DL114" t="e">
        <f>AND(tecantrop!G70,"AAAAAH/u/3M=")</f>
        <v>#VALUE!</v>
      </c>
      <c r="DM114" t="e">
        <f>AND(tecantrop!H70,"AAAAAH/u/3Q=")</f>
        <v>#VALUE!</v>
      </c>
      <c r="DN114" t="e">
        <f>AND(tecantrop!I70,"AAAAAH/u/3U=")</f>
        <v>#VALUE!</v>
      </c>
      <c r="DO114" t="e">
        <f>AND(tecantrop!J70,"AAAAAH/u/3Y=")</f>
        <v>#VALUE!</v>
      </c>
      <c r="DP114" t="e">
        <f>AND(tecantrop!K70,"AAAAAH/u/3c=")</f>
        <v>#VALUE!</v>
      </c>
      <c r="DQ114" t="e">
        <f>AND(tecantrop!L70,"AAAAAH/u/3g=")</f>
        <v>#VALUE!</v>
      </c>
      <c r="DR114" t="e">
        <f>AND(tecantrop!M70,"AAAAAH/u/3k=")</f>
        <v>#VALUE!</v>
      </c>
      <c r="DS114" t="e">
        <f>AND(tecantrop!N70,"AAAAAH/u/3o=")</f>
        <v>#VALUE!</v>
      </c>
      <c r="DT114" t="e">
        <f>AND(tecantrop!O70,"AAAAAH/u/3s=")</f>
        <v>#VALUE!</v>
      </c>
      <c r="DU114" t="e">
        <f>AND(tecantrop!P70,"AAAAAH/u/3w=")</f>
        <v>#VALUE!</v>
      </c>
      <c r="DV114" t="e">
        <f>AND(tecantrop!Q70,"AAAAAH/u/30=")</f>
        <v>#VALUE!</v>
      </c>
      <c r="DW114" t="e">
        <f>AND(tecantrop!R70,"AAAAAH/u/34=")</f>
        <v>#VALUE!</v>
      </c>
      <c r="DX114" t="e">
        <f>AND(tecantrop!S70,"AAAAAH/u/38=")</f>
        <v>#VALUE!</v>
      </c>
      <c r="DY114" t="e">
        <f>AND(tecantrop!T70,"AAAAAH/u/4A=")</f>
        <v>#VALUE!</v>
      </c>
      <c r="DZ114" t="e">
        <f>AND(tecantrop!U70,"AAAAAH/u/4E=")</f>
        <v>#VALUE!</v>
      </c>
      <c r="EA114" t="e">
        <f>AND(tecantrop!V70,"AAAAAH/u/4I=")</f>
        <v>#VALUE!</v>
      </c>
      <c r="EB114" t="e">
        <f>AND(tecantrop!W70,"AAAAAH/u/4M=")</f>
        <v>#VALUE!</v>
      </c>
      <c r="EC114" t="e">
        <f>AND(tecantrop!X70,"AAAAAH/u/4Q=")</f>
        <v>#VALUE!</v>
      </c>
      <c r="ED114">
        <f>IF(tecantrop!71:71,"AAAAAH/u/4U=",0)</f>
        <v>0</v>
      </c>
      <c r="EE114" t="e">
        <f>AND(tecantrop!A71,"AAAAAH/u/4Y=")</f>
        <v>#VALUE!</v>
      </c>
      <c r="EF114" t="e">
        <f>AND(tecantrop!B71,"AAAAAH/u/4c=")</f>
        <v>#VALUE!</v>
      </c>
      <c r="EG114" t="e">
        <f>AND(tecantrop!C71,"AAAAAH/u/4g=")</f>
        <v>#VALUE!</v>
      </c>
      <c r="EH114" t="e">
        <f>AND(tecantrop!D71,"AAAAAH/u/4k=")</f>
        <v>#VALUE!</v>
      </c>
      <c r="EI114" t="e">
        <f>AND(tecantrop!E71,"AAAAAH/u/4o=")</f>
        <v>#VALUE!</v>
      </c>
      <c r="EJ114" t="e">
        <f>AND(tecantrop!F71,"AAAAAH/u/4s=")</f>
        <v>#VALUE!</v>
      </c>
      <c r="EK114" t="e">
        <f>AND(tecantrop!G71,"AAAAAH/u/4w=")</f>
        <v>#VALUE!</v>
      </c>
      <c r="EL114" t="e">
        <f>AND(tecantrop!H71,"AAAAAH/u/40=")</f>
        <v>#VALUE!</v>
      </c>
      <c r="EM114" t="e">
        <f>AND(tecantrop!I71,"AAAAAH/u/44=")</f>
        <v>#VALUE!</v>
      </c>
      <c r="EN114" t="e">
        <f>AND(tecantrop!J71,"AAAAAH/u/48=")</f>
        <v>#VALUE!</v>
      </c>
      <c r="EO114" t="e">
        <f>AND(tecantrop!K71,"AAAAAH/u/5A=")</f>
        <v>#VALUE!</v>
      </c>
      <c r="EP114" t="e">
        <f>AND(tecantrop!L71,"AAAAAH/u/5E=")</f>
        <v>#VALUE!</v>
      </c>
      <c r="EQ114" t="e">
        <f>AND(tecantrop!M71,"AAAAAH/u/5I=")</f>
        <v>#VALUE!</v>
      </c>
      <c r="ER114" t="e">
        <f>AND(tecantrop!N71,"AAAAAH/u/5M=")</f>
        <v>#VALUE!</v>
      </c>
      <c r="ES114" t="e">
        <f>AND(tecantrop!O71,"AAAAAH/u/5Q=")</f>
        <v>#VALUE!</v>
      </c>
      <c r="ET114" t="e">
        <f>AND(tecantrop!P71,"AAAAAH/u/5U=")</f>
        <v>#VALUE!</v>
      </c>
      <c r="EU114" t="e">
        <f>AND(tecantrop!Q71,"AAAAAH/u/5Y=")</f>
        <v>#VALUE!</v>
      </c>
      <c r="EV114" t="e">
        <f>AND(tecantrop!R71,"AAAAAH/u/5c=")</f>
        <v>#VALUE!</v>
      </c>
      <c r="EW114" t="e">
        <f>AND(tecantrop!S71,"AAAAAH/u/5g=")</f>
        <v>#VALUE!</v>
      </c>
      <c r="EX114" t="e">
        <f>AND(tecantrop!T71,"AAAAAH/u/5k=")</f>
        <v>#VALUE!</v>
      </c>
      <c r="EY114" t="e">
        <f>AND(tecantrop!U71,"AAAAAH/u/5o=")</f>
        <v>#VALUE!</v>
      </c>
      <c r="EZ114" t="e">
        <f>AND(tecantrop!V71,"AAAAAH/u/5s=")</f>
        <v>#VALUE!</v>
      </c>
      <c r="FA114" t="e">
        <f>AND(tecantrop!W71,"AAAAAH/u/5w=")</f>
        <v>#VALUE!</v>
      </c>
      <c r="FB114" t="e">
        <f>AND(tecantrop!X71,"AAAAAH/u/50=")</f>
        <v>#VALUE!</v>
      </c>
      <c r="FC114">
        <f>IF(tecantrop!72:72,"AAAAAH/u/54=",0)</f>
        <v>0</v>
      </c>
      <c r="FD114" t="e">
        <f>AND(tecantrop!A72,"AAAAAH/u/58=")</f>
        <v>#VALUE!</v>
      </c>
      <c r="FE114" t="e">
        <f>AND(tecantrop!B72,"AAAAAH/u/6A=")</f>
        <v>#VALUE!</v>
      </c>
      <c r="FF114" t="e">
        <f>AND(tecantrop!C72,"AAAAAH/u/6E=")</f>
        <v>#VALUE!</v>
      </c>
      <c r="FG114" t="e">
        <f>AND(tecantrop!D72,"AAAAAH/u/6I=")</f>
        <v>#VALUE!</v>
      </c>
      <c r="FH114" t="e">
        <f>AND(tecantrop!E72,"AAAAAH/u/6M=")</f>
        <v>#VALUE!</v>
      </c>
      <c r="FI114" t="e">
        <f>AND(tecantrop!F72,"AAAAAH/u/6Q=")</f>
        <v>#VALUE!</v>
      </c>
      <c r="FJ114" t="e">
        <f>AND(tecantrop!G72,"AAAAAH/u/6U=")</f>
        <v>#VALUE!</v>
      </c>
      <c r="FK114" t="e">
        <f>AND(tecantrop!H72,"AAAAAH/u/6Y=")</f>
        <v>#VALUE!</v>
      </c>
      <c r="FL114" t="e">
        <f>AND(tecantrop!I72,"AAAAAH/u/6c=")</f>
        <v>#VALUE!</v>
      </c>
      <c r="FM114" t="e">
        <f>AND(tecantrop!J72,"AAAAAH/u/6g=")</f>
        <v>#VALUE!</v>
      </c>
      <c r="FN114" t="e">
        <f>AND(tecantrop!K72,"AAAAAH/u/6k=")</f>
        <v>#VALUE!</v>
      </c>
      <c r="FO114" t="e">
        <f>AND(tecantrop!L72,"AAAAAH/u/6o=")</f>
        <v>#VALUE!</v>
      </c>
      <c r="FP114" t="e">
        <f>AND(tecantrop!M72,"AAAAAH/u/6s=")</f>
        <v>#VALUE!</v>
      </c>
      <c r="FQ114" t="e">
        <f>AND(tecantrop!N72,"AAAAAH/u/6w=")</f>
        <v>#VALUE!</v>
      </c>
      <c r="FR114" t="e">
        <f>AND(tecantrop!O72,"AAAAAH/u/60=")</f>
        <v>#VALUE!</v>
      </c>
      <c r="FS114" t="e">
        <f>AND(tecantrop!P72,"AAAAAH/u/64=")</f>
        <v>#VALUE!</v>
      </c>
      <c r="FT114" t="e">
        <f>AND(tecantrop!Q72,"AAAAAH/u/68=")</f>
        <v>#VALUE!</v>
      </c>
      <c r="FU114" t="e">
        <f>AND(tecantrop!R72,"AAAAAH/u/7A=")</f>
        <v>#VALUE!</v>
      </c>
      <c r="FV114" t="e">
        <f>AND(tecantrop!S72,"AAAAAH/u/7E=")</f>
        <v>#VALUE!</v>
      </c>
      <c r="FW114" t="e">
        <f>AND(tecantrop!T72,"AAAAAH/u/7I=")</f>
        <v>#VALUE!</v>
      </c>
      <c r="FX114" t="e">
        <f>AND(tecantrop!U72,"AAAAAH/u/7M=")</f>
        <v>#VALUE!</v>
      </c>
      <c r="FY114" t="e">
        <f>AND(tecantrop!V72,"AAAAAH/u/7Q=")</f>
        <v>#VALUE!</v>
      </c>
      <c r="FZ114" t="e">
        <f>AND(tecantrop!W72,"AAAAAH/u/7U=")</f>
        <v>#VALUE!</v>
      </c>
      <c r="GA114" t="e">
        <f>AND(tecantrop!X72,"AAAAAH/u/7Y=")</f>
        <v>#VALUE!</v>
      </c>
      <c r="GB114">
        <f>IF(tecantrop!73:73,"AAAAAH/u/7c=",0)</f>
        <v>0</v>
      </c>
      <c r="GC114" t="e">
        <f>AND(tecantrop!A73,"AAAAAH/u/7g=")</f>
        <v>#VALUE!</v>
      </c>
      <c r="GD114" t="e">
        <f>AND(tecantrop!B73,"AAAAAH/u/7k=")</f>
        <v>#VALUE!</v>
      </c>
      <c r="GE114" t="e">
        <f>AND(tecantrop!C73,"AAAAAH/u/7o=")</f>
        <v>#VALUE!</v>
      </c>
      <c r="GF114" t="e">
        <f>AND(tecantrop!D73,"AAAAAH/u/7s=")</f>
        <v>#VALUE!</v>
      </c>
      <c r="GG114" t="e">
        <f>AND(tecantrop!E73,"AAAAAH/u/7w=")</f>
        <v>#VALUE!</v>
      </c>
      <c r="GH114" t="e">
        <f>AND(tecantrop!F73,"AAAAAH/u/70=")</f>
        <v>#VALUE!</v>
      </c>
      <c r="GI114" t="e">
        <f>AND(tecantrop!G73,"AAAAAH/u/74=")</f>
        <v>#VALUE!</v>
      </c>
      <c r="GJ114" t="e">
        <f>AND(tecantrop!H73,"AAAAAH/u/78=")</f>
        <v>#VALUE!</v>
      </c>
      <c r="GK114" t="e">
        <f>AND(tecantrop!I73,"AAAAAH/u/8A=")</f>
        <v>#VALUE!</v>
      </c>
      <c r="GL114" t="e">
        <f>AND(tecantrop!J73,"AAAAAH/u/8E=")</f>
        <v>#VALUE!</v>
      </c>
      <c r="GM114" t="e">
        <f>AND(tecantrop!K73,"AAAAAH/u/8I=")</f>
        <v>#VALUE!</v>
      </c>
      <c r="GN114" t="e">
        <f>AND(tecantrop!L73,"AAAAAH/u/8M=")</f>
        <v>#VALUE!</v>
      </c>
      <c r="GO114" t="e">
        <f>AND(tecantrop!M73,"AAAAAH/u/8Q=")</f>
        <v>#VALUE!</v>
      </c>
      <c r="GP114" t="e">
        <f>AND(tecantrop!N73,"AAAAAH/u/8U=")</f>
        <v>#VALUE!</v>
      </c>
      <c r="GQ114" t="e">
        <f>AND(tecantrop!O73,"AAAAAH/u/8Y=")</f>
        <v>#VALUE!</v>
      </c>
      <c r="GR114" t="e">
        <f>AND(tecantrop!P73,"AAAAAH/u/8c=")</f>
        <v>#VALUE!</v>
      </c>
      <c r="GS114" t="e">
        <f>AND(tecantrop!Q73,"AAAAAH/u/8g=")</f>
        <v>#VALUE!</v>
      </c>
      <c r="GT114" t="e">
        <f>AND(tecantrop!R73,"AAAAAH/u/8k=")</f>
        <v>#VALUE!</v>
      </c>
      <c r="GU114" t="e">
        <f>AND(tecantrop!S73,"AAAAAH/u/8o=")</f>
        <v>#VALUE!</v>
      </c>
      <c r="GV114" t="e">
        <f>AND(tecantrop!T73,"AAAAAH/u/8s=")</f>
        <v>#VALUE!</v>
      </c>
      <c r="GW114" t="e">
        <f>AND(tecantrop!U73,"AAAAAH/u/8w=")</f>
        <v>#VALUE!</v>
      </c>
      <c r="GX114" t="e">
        <f>AND(tecantrop!V73,"AAAAAH/u/80=")</f>
        <v>#VALUE!</v>
      </c>
      <c r="GY114" t="e">
        <f>AND(tecantrop!W73,"AAAAAH/u/84=")</f>
        <v>#VALUE!</v>
      </c>
      <c r="GZ114" t="e">
        <f>AND(tecantrop!X73,"AAAAAH/u/88=")</f>
        <v>#VALUE!</v>
      </c>
      <c r="HA114">
        <f>IF(tecantrop!74:74,"AAAAAH/u/9A=",0)</f>
        <v>0</v>
      </c>
      <c r="HB114" t="e">
        <f>AND(tecantrop!A74,"AAAAAH/u/9E=")</f>
        <v>#VALUE!</v>
      </c>
      <c r="HC114" t="e">
        <f>AND(tecantrop!B74,"AAAAAH/u/9I=")</f>
        <v>#VALUE!</v>
      </c>
      <c r="HD114" t="e">
        <f>AND(tecantrop!C74,"AAAAAH/u/9M=")</f>
        <v>#VALUE!</v>
      </c>
      <c r="HE114" t="e">
        <f>AND(tecantrop!D74,"AAAAAH/u/9Q=")</f>
        <v>#VALUE!</v>
      </c>
      <c r="HF114" t="e">
        <f>AND(tecantrop!E74,"AAAAAH/u/9U=")</f>
        <v>#VALUE!</v>
      </c>
      <c r="HG114" t="e">
        <f>AND(tecantrop!F74,"AAAAAH/u/9Y=")</f>
        <v>#VALUE!</v>
      </c>
      <c r="HH114" t="e">
        <f>AND(tecantrop!G74,"AAAAAH/u/9c=")</f>
        <v>#VALUE!</v>
      </c>
      <c r="HI114" t="e">
        <f>AND(tecantrop!H74,"AAAAAH/u/9g=")</f>
        <v>#VALUE!</v>
      </c>
      <c r="HJ114" t="e">
        <f>AND(tecantrop!I74,"AAAAAH/u/9k=")</f>
        <v>#VALUE!</v>
      </c>
      <c r="HK114" t="e">
        <f>AND(tecantrop!J74,"AAAAAH/u/9o=")</f>
        <v>#VALUE!</v>
      </c>
      <c r="HL114" t="e">
        <f>AND(tecantrop!K74,"AAAAAH/u/9s=")</f>
        <v>#VALUE!</v>
      </c>
      <c r="HM114" t="e">
        <f>AND(tecantrop!L74,"AAAAAH/u/9w=")</f>
        <v>#VALUE!</v>
      </c>
      <c r="HN114" t="e">
        <f>AND(tecantrop!M74,"AAAAAH/u/90=")</f>
        <v>#VALUE!</v>
      </c>
      <c r="HO114" t="e">
        <f>AND(tecantrop!N74,"AAAAAH/u/94=")</f>
        <v>#VALUE!</v>
      </c>
      <c r="HP114" t="e">
        <f>AND(tecantrop!O74,"AAAAAH/u/98=")</f>
        <v>#VALUE!</v>
      </c>
      <c r="HQ114" t="e">
        <f>AND(tecantrop!P74,"AAAAAH/u/+A=")</f>
        <v>#VALUE!</v>
      </c>
      <c r="HR114" t="e">
        <f>AND(tecantrop!Q74,"AAAAAH/u/+E=")</f>
        <v>#VALUE!</v>
      </c>
      <c r="HS114" t="e">
        <f>AND(tecantrop!R74,"AAAAAH/u/+I=")</f>
        <v>#VALUE!</v>
      </c>
      <c r="HT114" t="e">
        <f>AND(tecantrop!S74,"AAAAAH/u/+M=")</f>
        <v>#VALUE!</v>
      </c>
      <c r="HU114" t="e">
        <f>AND(tecantrop!T74,"AAAAAH/u/+Q=")</f>
        <v>#VALUE!</v>
      </c>
      <c r="HV114" t="e">
        <f>AND(tecantrop!U74,"AAAAAH/u/+U=")</f>
        <v>#VALUE!</v>
      </c>
      <c r="HW114" t="e">
        <f>AND(tecantrop!V74,"AAAAAH/u/+Y=")</f>
        <v>#VALUE!</v>
      </c>
      <c r="HX114" t="e">
        <f>AND(tecantrop!W74,"AAAAAH/u/+c=")</f>
        <v>#VALUE!</v>
      </c>
      <c r="HY114" t="e">
        <f>AND(tecantrop!X74,"AAAAAH/u/+g=")</f>
        <v>#VALUE!</v>
      </c>
      <c r="HZ114">
        <f>IF(tecantrop!75:75,"AAAAAH/u/+k=",0)</f>
        <v>0</v>
      </c>
      <c r="IA114" t="e">
        <f>AND(tecantrop!A75,"AAAAAH/u/+o=")</f>
        <v>#VALUE!</v>
      </c>
      <c r="IB114" t="e">
        <f>AND(tecantrop!B75,"AAAAAH/u/+s=")</f>
        <v>#VALUE!</v>
      </c>
      <c r="IC114" t="e">
        <f>AND(tecantrop!C75,"AAAAAH/u/+w=")</f>
        <v>#VALUE!</v>
      </c>
      <c r="ID114" t="e">
        <f>AND(tecantrop!D75,"AAAAAH/u/+0=")</f>
        <v>#VALUE!</v>
      </c>
      <c r="IE114" t="e">
        <f>AND(tecantrop!E75,"AAAAAH/u/+4=")</f>
        <v>#VALUE!</v>
      </c>
      <c r="IF114" t="e">
        <f>AND(tecantrop!F75,"AAAAAH/u/+8=")</f>
        <v>#VALUE!</v>
      </c>
      <c r="IG114" t="e">
        <f>AND(tecantrop!G75,"AAAAAH/u//A=")</f>
        <v>#VALUE!</v>
      </c>
      <c r="IH114" t="e">
        <f>AND(tecantrop!H75,"AAAAAH/u//E=")</f>
        <v>#VALUE!</v>
      </c>
      <c r="II114" t="e">
        <f>AND(tecantrop!I75,"AAAAAH/u//I=")</f>
        <v>#VALUE!</v>
      </c>
      <c r="IJ114" t="e">
        <f>AND(tecantrop!J75,"AAAAAH/u//M=")</f>
        <v>#VALUE!</v>
      </c>
      <c r="IK114" t="e">
        <f>AND(tecantrop!K75,"AAAAAH/u//Q=")</f>
        <v>#VALUE!</v>
      </c>
      <c r="IL114" t="e">
        <f>AND(tecantrop!L75,"AAAAAH/u//U=")</f>
        <v>#VALUE!</v>
      </c>
      <c r="IM114" t="e">
        <f>AND(tecantrop!M75,"AAAAAH/u//Y=")</f>
        <v>#VALUE!</v>
      </c>
      <c r="IN114" t="e">
        <f>AND(tecantrop!N75,"AAAAAH/u//c=")</f>
        <v>#VALUE!</v>
      </c>
      <c r="IO114" t="e">
        <f>AND(tecantrop!O75,"AAAAAH/u//g=")</f>
        <v>#VALUE!</v>
      </c>
      <c r="IP114" t="e">
        <f>AND(tecantrop!P75,"AAAAAH/u//k=")</f>
        <v>#VALUE!</v>
      </c>
      <c r="IQ114" t="e">
        <f>AND(tecantrop!Q75,"AAAAAH/u//o=")</f>
        <v>#VALUE!</v>
      </c>
      <c r="IR114" t="e">
        <f>AND(tecantrop!R75,"AAAAAH/u//s=")</f>
        <v>#VALUE!</v>
      </c>
      <c r="IS114" t="e">
        <f>AND(tecantrop!S75,"AAAAAH/u//w=")</f>
        <v>#VALUE!</v>
      </c>
      <c r="IT114" t="e">
        <f>AND(tecantrop!T75,"AAAAAH/u//0=")</f>
        <v>#VALUE!</v>
      </c>
      <c r="IU114" t="e">
        <f>AND(tecantrop!U75,"AAAAAH/u//4=")</f>
        <v>#VALUE!</v>
      </c>
      <c r="IV114" t="e">
        <f>AND(tecantrop!V75,"AAAAAH/u//8=")</f>
        <v>#VALUE!</v>
      </c>
    </row>
    <row r="115" spans="1:256" x14ac:dyDescent="0.2">
      <c r="A115" t="e">
        <f>AND(tecantrop!W75,"AAAAADu59QA=")</f>
        <v>#VALUE!</v>
      </c>
      <c r="B115" t="e">
        <f>AND(tecantrop!X75,"AAAAADu59QE=")</f>
        <v>#VALUE!</v>
      </c>
      <c r="C115">
        <f>IF(tecantrop!76:76,"AAAAADu59QI=",0)</f>
        <v>0</v>
      </c>
      <c r="D115" t="e">
        <f>AND(tecantrop!A76,"AAAAADu59QM=")</f>
        <v>#VALUE!</v>
      </c>
      <c r="E115" t="e">
        <f>AND(tecantrop!B76,"AAAAADu59QQ=")</f>
        <v>#VALUE!</v>
      </c>
      <c r="F115" t="e">
        <f>AND(tecantrop!C76,"AAAAADu59QU=")</f>
        <v>#VALUE!</v>
      </c>
      <c r="G115" t="e">
        <f>AND(tecantrop!D76,"AAAAADu59QY=")</f>
        <v>#VALUE!</v>
      </c>
      <c r="H115" t="e">
        <f>AND(tecantrop!E76,"AAAAADu59Qc=")</f>
        <v>#VALUE!</v>
      </c>
      <c r="I115" t="e">
        <f>AND(tecantrop!F76,"AAAAADu59Qg=")</f>
        <v>#VALUE!</v>
      </c>
      <c r="J115" t="e">
        <f>AND(tecantrop!G76,"AAAAADu59Qk=")</f>
        <v>#VALUE!</v>
      </c>
      <c r="K115" t="e">
        <f>AND(tecantrop!H76,"AAAAADu59Qo=")</f>
        <v>#VALUE!</v>
      </c>
      <c r="L115" t="e">
        <f>AND(tecantrop!I76,"AAAAADu59Qs=")</f>
        <v>#VALUE!</v>
      </c>
      <c r="M115" t="e">
        <f>AND(tecantrop!J76,"AAAAADu59Qw=")</f>
        <v>#VALUE!</v>
      </c>
      <c r="N115" t="e">
        <f>AND(tecantrop!K76,"AAAAADu59Q0=")</f>
        <v>#VALUE!</v>
      </c>
      <c r="O115" t="e">
        <f>AND(tecantrop!L76,"AAAAADu59Q4=")</f>
        <v>#VALUE!</v>
      </c>
      <c r="P115" t="e">
        <f>AND(tecantrop!M76,"AAAAADu59Q8=")</f>
        <v>#VALUE!</v>
      </c>
      <c r="Q115" t="e">
        <f>AND(tecantrop!N76,"AAAAADu59RA=")</f>
        <v>#VALUE!</v>
      </c>
      <c r="R115" t="e">
        <f>AND(tecantrop!O76,"AAAAADu59RE=")</f>
        <v>#VALUE!</v>
      </c>
      <c r="S115" t="e">
        <f>AND(tecantrop!P76,"AAAAADu59RI=")</f>
        <v>#VALUE!</v>
      </c>
      <c r="T115" t="e">
        <f>AND(tecantrop!Q76,"AAAAADu59RM=")</f>
        <v>#VALUE!</v>
      </c>
      <c r="U115" t="e">
        <f>AND(tecantrop!R76,"AAAAADu59RQ=")</f>
        <v>#VALUE!</v>
      </c>
      <c r="V115" t="e">
        <f>AND(tecantrop!S76,"AAAAADu59RU=")</f>
        <v>#VALUE!</v>
      </c>
      <c r="W115" t="e">
        <f>AND(tecantrop!T76,"AAAAADu59RY=")</f>
        <v>#VALUE!</v>
      </c>
      <c r="X115" t="e">
        <f>AND(tecantrop!U76,"AAAAADu59Rc=")</f>
        <v>#VALUE!</v>
      </c>
      <c r="Y115" t="e">
        <f>AND(tecantrop!V76,"AAAAADu59Rg=")</f>
        <v>#VALUE!</v>
      </c>
      <c r="Z115" t="e">
        <f>AND(tecantrop!W76,"AAAAADu59Rk=")</f>
        <v>#VALUE!</v>
      </c>
      <c r="AA115" t="e">
        <f>AND(tecantrop!X76,"AAAAADu59Ro=")</f>
        <v>#VALUE!</v>
      </c>
      <c r="AB115">
        <f>IF(tecantrop!77:77,"AAAAADu59Rs=",0)</f>
        <v>0</v>
      </c>
      <c r="AC115" t="e">
        <f>AND(tecantrop!A77,"AAAAADu59Rw=")</f>
        <v>#VALUE!</v>
      </c>
      <c r="AD115" t="e">
        <f>AND(tecantrop!B77,"AAAAADu59R0=")</f>
        <v>#VALUE!</v>
      </c>
      <c r="AE115" t="e">
        <f>AND(tecantrop!C77,"AAAAADu59R4=")</f>
        <v>#VALUE!</v>
      </c>
      <c r="AF115" t="e">
        <f>AND(tecantrop!D77,"AAAAADu59R8=")</f>
        <v>#VALUE!</v>
      </c>
      <c r="AG115" t="e">
        <f>AND(tecantrop!E77,"AAAAADu59SA=")</f>
        <v>#VALUE!</v>
      </c>
      <c r="AH115" t="e">
        <f>AND(tecantrop!F77,"AAAAADu59SE=")</f>
        <v>#VALUE!</v>
      </c>
      <c r="AI115" t="e">
        <f>AND(tecantrop!G77,"AAAAADu59SI=")</f>
        <v>#VALUE!</v>
      </c>
      <c r="AJ115" t="e">
        <f>AND(tecantrop!H77,"AAAAADu59SM=")</f>
        <v>#VALUE!</v>
      </c>
      <c r="AK115" t="e">
        <f>AND(tecantrop!I77,"AAAAADu59SQ=")</f>
        <v>#VALUE!</v>
      </c>
      <c r="AL115" t="e">
        <f>AND(tecantrop!J77,"AAAAADu59SU=")</f>
        <v>#VALUE!</v>
      </c>
      <c r="AM115" t="e">
        <f>AND(tecantrop!K77,"AAAAADu59SY=")</f>
        <v>#VALUE!</v>
      </c>
      <c r="AN115" t="e">
        <f>AND(tecantrop!L77,"AAAAADu59Sc=")</f>
        <v>#VALUE!</v>
      </c>
      <c r="AO115" t="e">
        <f>AND(tecantrop!M77,"AAAAADu59Sg=")</f>
        <v>#VALUE!</v>
      </c>
      <c r="AP115" t="e">
        <f>AND(tecantrop!N77,"AAAAADu59Sk=")</f>
        <v>#VALUE!</v>
      </c>
      <c r="AQ115" t="e">
        <f>AND(tecantrop!O77,"AAAAADu59So=")</f>
        <v>#VALUE!</v>
      </c>
      <c r="AR115" t="e">
        <f>AND(tecantrop!P77,"AAAAADu59Ss=")</f>
        <v>#VALUE!</v>
      </c>
      <c r="AS115" t="e">
        <f>AND(tecantrop!Q77,"AAAAADu59Sw=")</f>
        <v>#VALUE!</v>
      </c>
      <c r="AT115" t="e">
        <f>AND(tecantrop!R77,"AAAAADu59S0=")</f>
        <v>#VALUE!</v>
      </c>
      <c r="AU115" t="e">
        <f>AND(tecantrop!S77,"AAAAADu59S4=")</f>
        <v>#VALUE!</v>
      </c>
      <c r="AV115" t="e">
        <f>AND(tecantrop!T77,"AAAAADu59S8=")</f>
        <v>#VALUE!</v>
      </c>
      <c r="AW115" t="e">
        <f>AND(tecantrop!U77,"AAAAADu59TA=")</f>
        <v>#VALUE!</v>
      </c>
      <c r="AX115" t="e">
        <f>AND(tecantrop!V77,"AAAAADu59TE=")</f>
        <v>#VALUE!</v>
      </c>
      <c r="AY115" t="e">
        <f>AND(tecantrop!W77,"AAAAADu59TI=")</f>
        <v>#VALUE!</v>
      </c>
      <c r="AZ115" t="e">
        <f>AND(tecantrop!X77,"AAAAADu59TM=")</f>
        <v>#VALUE!</v>
      </c>
      <c r="BA115">
        <f>IF(tecantrop!78:78,"AAAAADu59TQ=",0)</f>
        <v>0</v>
      </c>
      <c r="BB115" t="e">
        <f>AND(tecantrop!A78,"AAAAADu59TU=")</f>
        <v>#VALUE!</v>
      </c>
      <c r="BC115" t="e">
        <f>AND(tecantrop!B78,"AAAAADu59TY=")</f>
        <v>#VALUE!</v>
      </c>
      <c r="BD115" t="e">
        <f>AND(tecantrop!C78,"AAAAADu59Tc=")</f>
        <v>#VALUE!</v>
      </c>
      <c r="BE115" t="e">
        <f>AND(tecantrop!D78,"AAAAADu59Tg=")</f>
        <v>#VALUE!</v>
      </c>
      <c r="BF115" t="e">
        <f>AND(tecantrop!E78,"AAAAADu59Tk=")</f>
        <v>#VALUE!</v>
      </c>
      <c r="BG115" t="e">
        <f>AND(tecantrop!F78,"AAAAADu59To=")</f>
        <v>#VALUE!</v>
      </c>
      <c r="BH115" t="e">
        <f>AND(tecantrop!G78,"AAAAADu59Ts=")</f>
        <v>#VALUE!</v>
      </c>
      <c r="BI115" t="e">
        <f>AND(tecantrop!H78,"AAAAADu59Tw=")</f>
        <v>#VALUE!</v>
      </c>
      <c r="BJ115" t="e">
        <f>AND(tecantrop!I78,"AAAAADu59T0=")</f>
        <v>#VALUE!</v>
      </c>
      <c r="BK115" t="e">
        <f>AND(tecantrop!J78,"AAAAADu59T4=")</f>
        <v>#VALUE!</v>
      </c>
      <c r="BL115" t="e">
        <f>AND(tecantrop!K78,"AAAAADu59T8=")</f>
        <v>#VALUE!</v>
      </c>
      <c r="BM115" t="e">
        <f>AND(tecantrop!L78,"AAAAADu59UA=")</f>
        <v>#VALUE!</v>
      </c>
      <c r="BN115" t="e">
        <f>AND(tecantrop!M78,"AAAAADu59UE=")</f>
        <v>#VALUE!</v>
      </c>
      <c r="BO115" t="e">
        <f>AND(tecantrop!N78,"AAAAADu59UI=")</f>
        <v>#VALUE!</v>
      </c>
      <c r="BP115" t="e">
        <f>AND(tecantrop!O78,"AAAAADu59UM=")</f>
        <v>#VALUE!</v>
      </c>
      <c r="BQ115" t="e">
        <f>AND(tecantrop!P78,"AAAAADu59UQ=")</f>
        <v>#VALUE!</v>
      </c>
      <c r="BR115" t="e">
        <f>AND(tecantrop!Q78,"AAAAADu59UU=")</f>
        <v>#VALUE!</v>
      </c>
      <c r="BS115" t="e">
        <f>AND(tecantrop!R78,"AAAAADu59UY=")</f>
        <v>#VALUE!</v>
      </c>
      <c r="BT115" t="e">
        <f>AND(tecantrop!S78,"AAAAADu59Uc=")</f>
        <v>#VALUE!</v>
      </c>
      <c r="BU115" t="e">
        <f>AND(tecantrop!T78,"AAAAADu59Ug=")</f>
        <v>#VALUE!</v>
      </c>
      <c r="BV115" t="e">
        <f>AND(tecantrop!U78,"AAAAADu59Uk=")</f>
        <v>#VALUE!</v>
      </c>
      <c r="BW115" t="e">
        <f>AND(tecantrop!V78,"AAAAADu59Uo=")</f>
        <v>#VALUE!</v>
      </c>
      <c r="BX115" t="e">
        <f>AND(tecantrop!W78,"AAAAADu59Us=")</f>
        <v>#VALUE!</v>
      </c>
      <c r="BY115" t="e">
        <f>AND(tecantrop!X78,"AAAAADu59Uw=")</f>
        <v>#VALUE!</v>
      </c>
      <c r="BZ115">
        <f>IF(tecantrop!79:79,"AAAAADu59U0=",0)</f>
        <v>0</v>
      </c>
      <c r="CA115" t="e">
        <f>AND(tecantrop!A79,"AAAAADu59U4=")</f>
        <v>#VALUE!</v>
      </c>
      <c r="CB115" t="e">
        <f>AND(tecantrop!B79,"AAAAADu59U8=")</f>
        <v>#VALUE!</v>
      </c>
      <c r="CC115" t="e">
        <f>AND(tecantrop!C79,"AAAAADu59VA=")</f>
        <v>#VALUE!</v>
      </c>
      <c r="CD115" t="e">
        <f>AND(tecantrop!D79,"AAAAADu59VE=")</f>
        <v>#VALUE!</v>
      </c>
      <c r="CE115" t="e">
        <f>AND(tecantrop!E79,"AAAAADu59VI=")</f>
        <v>#VALUE!</v>
      </c>
      <c r="CF115" t="e">
        <f>AND(tecantrop!F79,"AAAAADu59VM=")</f>
        <v>#VALUE!</v>
      </c>
      <c r="CG115" t="e">
        <f>AND(tecantrop!G79,"AAAAADu59VQ=")</f>
        <v>#VALUE!</v>
      </c>
      <c r="CH115" t="e">
        <f>AND(tecantrop!H79,"AAAAADu59VU=")</f>
        <v>#VALUE!</v>
      </c>
      <c r="CI115" t="e">
        <f>AND(tecantrop!I79,"AAAAADu59VY=")</f>
        <v>#VALUE!</v>
      </c>
      <c r="CJ115" t="e">
        <f>AND(tecantrop!J79,"AAAAADu59Vc=")</f>
        <v>#VALUE!</v>
      </c>
      <c r="CK115" t="e">
        <f>AND(tecantrop!K79,"AAAAADu59Vg=")</f>
        <v>#VALUE!</v>
      </c>
      <c r="CL115" t="e">
        <f>AND(tecantrop!L79,"AAAAADu59Vk=")</f>
        <v>#VALUE!</v>
      </c>
      <c r="CM115" t="e">
        <f>AND(tecantrop!M79,"AAAAADu59Vo=")</f>
        <v>#VALUE!</v>
      </c>
      <c r="CN115" t="e">
        <f>AND(tecantrop!N79,"AAAAADu59Vs=")</f>
        <v>#VALUE!</v>
      </c>
      <c r="CO115" t="e">
        <f>AND(tecantrop!O79,"AAAAADu59Vw=")</f>
        <v>#VALUE!</v>
      </c>
      <c r="CP115" t="e">
        <f>AND(tecantrop!P79,"AAAAADu59V0=")</f>
        <v>#VALUE!</v>
      </c>
      <c r="CQ115" t="e">
        <f>AND(tecantrop!Q79,"AAAAADu59V4=")</f>
        <v>#VALUE!</v>
      </c>
      <c r="CR115" t="e">
        <f>AND(tecantrop!R79,"AAAAADu59V8=")</f>
        <v>#VALUE!</v>
      </c>
      <c r="CS115" t="e">
        <f>AND(tecantrop!S79,"AAAAADu59WA=")</f>
        <v>#VALUE!</v>
      </c>
      <c r="CT115" t="e">
        <f>AND(tecantrop!T79,"AAAAADu59WE=")</f>
        <v>#VALUE!</v>
      </c>
      <c r="CU115" t="e">
        <f>AND(tecantrop!U79,"AAAAADu59WI=")</f>
        <v>#VALUE!</v>
      </c>
      <c r="CV115" t="e">
        <f>AND(tecantrop!V79,"AAAAADu59WM=")</f>
        <v>#VALUE!</v>
      </c>
      <c r="CW115" t="e">
        <f>AND(tecantrop!W79,"AAAAADu59WQ=")</f>
        <v>#VALUE!</v>
      </c>
      <c r="CX115" t="e">
        <f>AND(tecantrop!X79,"AAAAADu59WU=")</f>
        <v>#VALUE!</v>
      </c>
      <c r="CY115">
        <f>IF(tecantrop!80:80,"AAAAADu59WY=",0)</f>
        <v>0</v>
      </c>
      <c r="CZ115" t="e">
        <f>AND(tecantrop!A80,"AAAAADu59Wc=")</f>
        <v>#VALUE!</v>
      </c>
      <c r="DA115" t="e">
        <f>AND(tecantrop!B80,"AAAAADu59Wg=")</f>
        <v>#VALUE!</v>
      </c>
      <c r="DB115" t="e">
        <f>AND(tecantrop!C80,"AAAAADu59Wk=")</f>
        <v>#VALUE!</v>
      </c>
      <c r="DC115" t="e">
        <f>AND(tecantrop!D80,"AAAAADu59Wo=")</f>
        <v>#VALUE!</v>
      </c>
      <c r="DD115" t="e">
        <f>AND(tecantrop!E80,"AAAAADu59Ws=")</f>
        <v>#VALUE!</v>
      </c>
      <c r="DE115" t="e">
        <f>AND(tecantrop!F80,"AAAAADu59Ww=")</f>
        <v>#VALUE!</v>
      </c>
      <c r="DF115" t="e">
        <f>AND(tecantrop!G80,"AAAAADu59W0=")</f>
        <v>#VALUE!</v>
      </c>
      <c r="DG115" t="e">
        <f>AND(tecantrop!H80,"AAAAADu59W4=")</f>
        <v>#VALUE!</v>
      </c>
      <c r="DH115" t="e">
        <f>AND(tecantrop!I80,"AAAAADu59W8=")</f>
        <v>#VALUE!</v>
      </c>
      <c r="DI115" t="e">
        <f>AND(tecantrop!J80,"AAAAADu59XA=")</f>
        <v>#VALUE!</v>
      </c>
      <c r="DJ115" t="e">
        <f>AND(tecantrop!K80,"AAAAADu59XE=")</f>
        <v>#VALUE!</v>
      </c>
      <c r="DK115" t="e">
        <f>AND(tecantrop!L80,"AAAAADu59XI=")</f>
        <v>#VALUE!</v>
      </c>
      <c r="DL115" t="e">
        <f>AND(tecantrop!M80,"AAAAADu59XM=")</f>
        <v>#VALUE!</v>
      </c>
      <c r="DM115" t="e">
        <f>AND(tecantrop!N80,"AAAAADu59XQ=")</f>
        <v>#VALUE!</v>
      </c>
      <c r="DN115" t="e">
        <f>AND(tecantrop!O80,"AAAAADu59XU=")</f>
        <v>#VALUE!</v>
      </c>
      <c r="DO115" t="e">
        <f>AND(tecantrop!P80,"AAAAADu59XY=")</f>
        <v>#VALUE!</v>
      </c>
      <c r="DP115" t="e">
        <f>AND(tecantrop!Q80,"AAAAADu59Xc=")</f>
        <v>#VALUE!</v>
      </c>
      <c r="DQ115" t="e">
        <f>AND(tecantrop!R80,"AAAAADu59Xg=")</f>
        <v>#VALUE!</v>
      </c>
      <c r="DR115" t="e">
        <f>AND(tecantrop!S80,"AAAAADu59Xk=")</f>
        <v>#VALUE!</v>
      </c>
      <c r="DS115" t="e">
        <f>AND(tecantrop!T80,"AAAAADu59Xo=")</f>
        <v>#VALUE!</v>
      </c>
      <c r="DT115" t="e">
        <f>AND(tecantrop!U80,"AAAAADu59Xs=")</f>
        <v>#VALUE!</v>
      </c>
      <c r="DU115" t="e">
        <f>AND(tecantrop!V80,"AAAAADu59Xw=")</f>
        <v>#VALUE!</v>
      </c>
      <c r="DV115" t="e">
        <f>AND(tecantrop!W80,"AAAAADu59X0=")</f>
        <v>#VALUE!</v>
      </c>
      <c r="DW115" t="e">
        <f>AND(tecantrop!X80,"AAAAADu59X4=")</f>
        <v>#VALUE!</v>
      </c>
      <c r="DX115">
        <f>IF(tecantrop!81:81,"AAAAADu59X8=",0)</f>
        <v>0</v>
      </c>
      <c r="DY115" t="e">
        <f>AND(tecantrop!A81,"AAAAADu59YA=")</f>
        <v>#VALUE!</v>
      </c>
      <c r="DZ115" t="e">
        <f>AND(tecantrop!B81,"AAAAADu59YE=")</f>
        <v>#VALUE!</v>
      </c>
      <c r="EA115" t="e">
        <f>AND(tecantrop!C81,"AAAAADu59YI=")</f>
        <v>#VALUE!</v>
      </c>
      <c r="EB115" t="e">
        <f>AND(tecantrop!D81,"AAAAADu59YM=")</f>
        <v>#VALUE!</v>
      </c>
      <c r="EC115" t="e">
        <f>AND(tecantrop!E81,"AAAAADu59YQ=")</f>
        <v>#VALUE!</v>
      </c>
      <c r="ED115" t="e">
        <f>AND(tecantrop!F81,"AAAAADu59YU=")</f>
        <v>#VALUE!</v>
      </c>
      <c r="EE115" t="e">
        <f>AND(tecantrop!G81,"AAAAADu59YY=")</f>
        <v>#VALUE!</v>
      </c>
      <c r="EF115" t="e">
        <f>AND(tecantrop!H81,"AAAAADu59Yc=")</f>
        <v>#VALUE!</v>
      </c>
      <c r="EG115" t="e">
        <f>AND(tecantrop!I81,"AAAAADu59Yg=")</f>
        <v>#VALUE!</v>
      </c>
      <c r="EH115" t="e">
        <f>AND(tecantrop!J81,"AAAAADu59Yk=")</f>
        <v>#VALUE!</v>
      </c>
      <c r="EI115" t="e">
        <f>AND(tecantrop!K81,"AAAAADu59Yo=")</f>
        <v>#VALUE!</v>
      </c>
      <c r="EJ115" t="e">
        <f>AND(tecantrop!L81,"AAAAADu59Ys=")</f>
        <v>#VALUE!</v>
      </c>
      <c r="EK115" t="e">
        <f>AND(tecantrop!M81,"AAAAADu59Yw=")</f>
        <v>#VALUE!</v>
      </c>
      <c r="EL115" t="e">
        <f>AND(tecantrop!N81,"AAAAADu59Y0=")</f>
        <v>#VALUE!</v>
      </c>
      <c r="EM115" t="e">
        <f>AND(tecantrop!O81,"AAAAADu59Y4=")</f>
        <v>#VALUE!</v>
      </c>
      <c r="EN115" t="e">
        <f>AND(tecantrop!P81,"AAAAADu59Y8=")</f>
        <v>#VALUE!</v>
      </c>
      <c r="EO115" t="e">
        <f>AND(tecantrop!Q81,"AAAAADu59ZA=")</f>
        <v>#VALUE!</v>
      </c>
      <c r="EP115" t="e">
        <f>AND(tecantrop!R81,"AAAAADu59ZE=")</f>
        <v>#VALUE!</v>
      </c>
      <c r="EQ115" t="e">
        <f>AND(tecantrop!S81,"AAAAADu59ZI=")</f>
        <v>#VALUE!</v>
      </c>
      <c r="ER115" t="e">
        <f>AND(tecantrop!T81,"AAAAADu59ZM=")</f>
        <v>#VALUE!</v>
      </c>
      <c r="ES115" t="e">
        <f>AND(tecantrop!U81,"AAAAADu59ZQ=")</f>
        <v>#VALUE!</v>
      </c>
      <c r="ET115" t="e">
        <f>AND(tecantrop!V81,"AAAAADu59ZU=")</f>
        <v>#VALUE!</v>
      </c>
      <c r="EU115" t="e">
        <f>AND(tecantrop!W81,"AAAAADu59ZY=")</f>
        <v>#VALUE!</v>
      </c>
      <c r="EV115" t="e">
        <f>AND(tecantrop!X81,"AAAAADu59Zc=")</f>
        <v>#VALUE!</v>
      </c>
      <c r="EW115">
        <f>IF(tecantrop!82:82,"AAAAADu59Zg=",0)</f>
        <v>0</v>
      </c>
      <c r="EX115" t="e">
        <f>AND(tecantrop!A82,"AAAAADu59Zk=")</f>
        <v>#VALUE!</v>
      </c>
      <c r="EY115" t="e">
        <f>AND(tecantrop!B82,"AAAAADu59Zo=")</f>
        <v>#VALUE!</v>
      </c>
      <c r="EZ115" t="e">
        <f>AND(tecantrop!C82,"AAAAADu59Zs=")</f>
        <v>#VALUE!</v>
      </c>
      <c r="FA115" t="e">
        <f>AND(tecantrop!D82,"AAAAADu59Zw=")</f>
        <v>#VALUE!</v>
      </c>
      <c r="FB115" t="e">
        <f>AND(tecantrop!E82,"AAAAADu59Z0=")</f>
        <v>#VALUE!</v>
      </c>
      <c r="FC115" t="e">
        <f>AND(tecantrop!F82,"AAAAADu59Z4=")</f>
        <v>#VALUE!</v>
      </c>
      <c r="FD115" t="e">
        <f>AND(tecantrop!G82,"AAAAADu59Z8=")</f>
        <v>#VALUE!</v>
      </c>
      <c r="FE115" t="e">
        <f>AND(tecantrop!H82,"AAAAADu59aA=")</f>
        <v>#VALUE!</v>
      </c>
      <c r="FF115" t="e">
        <f>AND(tecantrop!I82,"AAAAADu59aE=")</f>
        <v>#VALUE!</v>
      </c>
      <c r="FG115" t="e">
        <f>AND(tecantrop!J82,"AAAAADu59aI=")</f>
        <v>#VALUE!</v>
      </c>
      <c r="FH115" t="e">
        <f>AND(tecantrop!K82,"AAAAADu59aM=")</f>
        <v>#VALUE!</v>
      </c>
      <c r="FI115" t="e">
        <f>AND(tecantrop!L82,"AAAAADu59aQ=")</f>
        <v>#VALUE!</v>
      </c>
      <c r="FJ115" t="e">
        <f>AND(tecantrop!M82,"AAAAADu59aU=")</f>
        <v>#VALUE!</v>
      </c>
      <c r="FK115" t="e">
        <f>AND(tecantrop!N82,"AAAAADu59aY=")</f>
        <v>#VALUE!</v>
      </c>
      <c r="FL115" t="e">
        <f>AND(tecantrop!O82,"AAAAADu59ac=")</f>
        <v>#VALUE!</v>
      </c>
      <c r="FM115" t="e">
        <f>AND(tecantrop!P82,"AAAAADu59ag=")</f>
        <v>#VALUE!</v>
      </c>
      <c r="FN115" t="e">
        <f>AND(tecantrop!Q82,"AAAAADu59ak=")</f>
        <v>#VALUE!</v>
      </c>
      <c r="FO115" t="e">
        <f>AND(tecantrop!R82,"AAAAADu59ao=")</f>
        <v>#VALUE!</v>
      </c>
      <c r="FP115" t="e">
        <f>AND(tecantrop!S82,"AAAAADu59as=")</f>
        <v>#VALUE!</v>
      </c>
      <c r="FQ115" t="e">
        <f>AND(tecantrop!T82,"AAAAADu59aw=")</f>
        <v>#VALUE!</v>
      </c>
      <c r="FR115" t="e">
        <f>AND(tecantrop!U82,"AAAAADu59a0=")</f>
        <v>#VALUE!</v>
      </c>
      <c r="FS115" t="e">
        <f>AND(tecantrop!V82,"AAAAADu59a4=")</f>
        <v>#VALUE!</v>
      </c>
      <c r="FT115" t="e">
        <f>AND(tecantrop!W82,"AAAAADu59a8=")</f>
        <v>#VALUE!</v>
      </c>
      <c r="FU115" t="e">
        <f>AND(tecantrop!X82,"AAAAADu59bA=")</f>
        <v>#VALUE!</v>
      </c>
      <c r="FV115">
        <f>IF(tecantrop!83:83,"AAAAADu59bE=",0)</f>
        <v>0</v>
      </c>
      <c r="FW115" t="e">
        <f>AND(tecantrop!A83,"AAAAADu59bI=")</f>
        <v>#VALUE!</v>
      </c>
      <c r="FX115" t="e">
        <f>AND(tecantrop!B83,"AAAAADu59bM=")</f>
        <v>#VALUE!</v>
      </c>
      <c r="FY115" t="e">
        <f>AND(tecantrop!C83,"AAAAADu59bQ=")</f>
        <v>#VALUE!</v>
      </c>
      <c r="FZ115" t="e">
        <f>AND(tecantrop!D83,"AAAAADu59bU=")</f>
        <v>#VALUE!</v>
      </c>
      <c r="GA115" t="e">
        <f>AND(tecantrop!E83,"AAAAADu59bY=")</f>
        <v>#VALUE!</v>
      </c>
      <c r="GB115" t="e">
        <f>AND(tecantrop!F83,"AAAAADu59bc=")</f>
        <v>#VALUE!</v>
      </c>
      <c r="GC115" t="e">
        <f>AND(tecantrop!G83,"AAAAADu59bg=")</f>
        <v>#VALUE!</v>
      </c>
      <c r="GD115" t="e">
        <f>AND(tecantrop!H83,"AAAAADu59bk=")</f>
        <v>#VALUE!</v>
      </c>
      <c r="GE115" t="e">
        <f>AND(tecantrop!I83,"AAAAADu59bo=")</f>
        <v>#VALUE!</v>
      </c>
      <c r="GF115" t="e">
        <f>AND(tecantrop!J83,"AAAAADu59bs=")</f>
        <v>#VALUE!</v>
      </c>
      <c r="GG115" t="e">
        <f>AND(tecantrop!K83,"AAAAADu59bw=")</f>
        <v>#VALUE!</v>
      </c>
      <c r="GH115" t="e">
        <f>AND(tecantrop!L83,"AAAAADu59b0=")</f>
        <v>#VALUE!</v>
      </c>
      <c r="GI115" t="e">
        <f>AND(tecantrop!M83,"AAAAADu59b4=")</f>
        <v>#VALUE!</v>
      </c>
      <c r="GJ115" t="e">
        <f>AND(tecantrop!N83,"AAAAADu59b8=")</f>
        <v>#VALUE!</v>
      </c>
      <c r="GK115" t="e">
        <f>AND(tecantrop!O83,"AAAAADu59cA=")</f>
        <v>#VALUE!</v>
      </c>
      <c r="GL115" t="e">
        <f>AND(tecantrop!P83,"AAAAADu59cE=")</f>
        <v>#VALUE!</v>
      </c>
      <c r="GM115" t="e">
        <f>AND(tecantrop!Q83,"AAAAADu59cI=")</f>
        <v>#VALUE!</v>
      </c>
      <c r="GN115" t="e">
        <f>AND(tecantrop!R83,"AAAAADu59cM=")</f>
        <v>#VALUE!</v>
      </c>
      <c r="GO115" t="e">
        <f>AND(tecantrop!S83,"AAAAADu59cQ=")</f>
        <v>#VALUE!</v>
      </c>
      <c r="GP115" t="e">
        <f>AND(tecantrop!T83,"AAAAADu59cU=")</f>
        <v>#VALUE!</v>
      </c>
      <c r="GQ115" t="e">
        <f>AND(tecantrop!U83,"AAAAADu59cY=")</f>
        <v>#VALUE!</v>
      </c>
      <c r="GR115" t="e">
        <f>AND(tecantrop!V83,"AAAAADu59cc=")</f>
        <v>#VALUE!</v>
      </c>
      <c r="GS115" t="e">
        <f>AND(tecantrop!W83,"AAAAADu59cg=")</f>
        <v>#VALUE!</v>
      </c>
      <c r="GT115" t="e">
        <f>AND(tecantrop!X83,"AAAAADu59ck=")</f>
        <v>#VALUE!</v>
      </c>
      <c r="GU115">
        <f>IF(tecantrop!84:84,"AAAAADu59co=",0)</f>
        <v>0</v>
      </c>
      <c r="GV115" t="e">
        <f>AND(tecantrop!A84,"AAAAADu59cs=")</f>
        <v>#VALUE!</v>
      </c>
      <c r="GW115" t="e">
        <f>AND(tecantrop!B84,"AAAAADu59cw=")</f>
        <v>#VALUE!</v>
      </c>
      <c r="GX115" t="e">
        <f>AND(tecantrop!C84,"AAAAADu59c0=")</f>
        <v>#VALUE!</v>
      </c>
      <c r="GY115" t="e">
        <f>AND(tecantrop!D84,"AAAAADu59c4=")</f>
        <v>#VALUE!</v>
      </c>
      <c r="GZ115" t="e">
        <f>AND(tecantrop!E84,"AAAAADu59c8=")</f>
        <v>#VALUE!</v>
      </c>
      <c r="HA115" t="e">
        <f>AND(tecantrop!F84,"AAAAADu59dA=")</f>
        <v>#VALUE!</v>
      </c>
      <c r="HB115" t="e">
        <f>AND(tecantrop!G84,"AAAAADu59dE=")</f>
        <v>#VALUE!</v>
      </c>
      <c r="HC115" t="e">
        <f>AND(tecantrop!H84,"AAAAADu59dI=")</f>
        <v>#VALUE!</v>
      </c>
      <c r="HD115" t="e">
        <f>AND(tecantrop!I84,"AAAAADu59dM=")</f>
        <v>#VALUE!</v>
      </c>
      <c r="HE115" t="e">
        <f>AND(tecantrop!J84,"AAAAADu59dQ=")</f>
        <v>#VALUE!</v>
      </c>
      <c r="HF115" t="e">
        <f>AND(tecantrop!K84,"AAAAADu59dU=")</f>
        <v>#VALUE!</v>
      </c>
      <c r="HG115" t="e">
        <f>AND(tecantrop!L84,"AAAAADu59dY=")</f>
        <v>#VALUE!</v>
      </c>
      <c r="HH115" t="e">
        <f>AND(tecantrop!M84,"AAAAADu59dc=")</f>
        <v>#VALUE!</v>
      </c>
      <c r="HI115" t="e">
        <f>AND(tecantrop!N84,"AAAAADu59dg=")</f>
        <v>#VALUE!</v>
      </c>
      <c r="HJ115" t="e">
        <f>AND(tecantrop!O84,"AAAAADu59dk=")</f>
        <v>#VALUE!</v>
      </c>
      <c r="HK115" t="e">
        <f>AND(tecantrop!P84,"AAAAADu59do=")</f>
        <v>#VALUE!</v>
      </c>
      <c r="HL115" t="e">
        <f>AND(tecantrop!Q84,"AAAAADu59ds=")</f>
        <v>#VALUE!</v>
      </c>
      <c r="HM115" t="e">
        <f>AND(tecantrop!R84,"AAAAADu59dw=")</f>
        <v>#VALUE!</v>
      </c>
      <c r="HN115" t="e">
        <f>AND(tecantrop!S84,"AAAAADu59d0=")</f>
        <v>#VALUE!</v>
      </c>
      <c r="HO115" t="e">
        <f>AND(tecantrop!T84,"AAAAADu59d4=")</f>
        <v>#VALUE!</v>
      </c>
      <c r="HP115" t="e">
        <f>AND(tecantrop!U84,"AAAAADu59d8=")</f>
        <v>#VALUE!</v>
      </c>
      <c r="HQ115" t="e">
        <f>AND(tecantrop!V84,"AAAAADu59eA=")</f>
        <v>#VALUE!</v>
      </c>
      <c r="HR115" t="e">
        <f>AND(tecantrop!W84,"AAAAADu59eE=")</f>
        <v>#VALUE!</v>
      </c>
      <c r="HS115" t="e">
        <f>AND(tecantrop!X84,"AAAAADu59eI=")</f>
        <v>#VALUE!</v>
      </c>
      <c r="HT115">
        <f>IF(tecantrop!85:85,"AAAAADu59eM=",0)</f>
        <v>0</v>
      </c>
      <c r="HU115" t="e">
        <f>AND(tecantrop!A85,"AAAAADu59eQ=")</f>
        <v>#VALUE!</v>
      </c>
      <c r="HV115" t="e">
        <f>AND(tecantrop!B85,"AAAAADu59eU=")</f>
        <v>#VALUE!</v>
      </c>
      <c r="HW115" t="e">
        <f>AND(tecantrop!C85,"AAAAADu59eY=")</f>
        <v>#VALUE!</v>
      </c>
      <c r="HX115" t="e">
        <f>AND(tecantrop!D85,"AAAAADu59ec=")</f>
        <v>#VALUE!</v>
      </c>
      <c r="HY115" t="e">
        <f>AND(tecantrop!E85,"AAAAADu59eg=")</f>
        <v>#VALUE!</v>
      </c>
      <c r="HZ115" t="e">
        <f>AND(tecantrop!F85,"AAAAADu59ek=")</f>
        <v>#VALUE!</v>
      </c>
      <c r="IA115" t="e">
        <f>AND(tecantrop!G85,"AAAAADu59eo=")</f>
        <v>#VALUE!</v>
      </c>
      <c r="IB115" t="e">
        <f>AND(tecantrop!H85,"AAAAADu59es=")</f>
        <v>#VALUE!</v>
      </c>
      <c r="IC115" t="e">
        <f>AND(tecantrop!I85,"AAAAADu59ew=")</f>
        <v>#VALUE!</v>
      </c>
      <c r="ID115" t="e">
        <f>AND(tecantrop!J85,"AAAAADu59e0=")</f>
        <v>#VALUE!</v>
      </c>
      <c r="IE115" t="e">
        <f>AND(tecantrop!K85,"AAAAADu59e4=")</f>
        <v>#VALUE!</v>
      </c>
      <c r="IF115" t="e">
        <f>AND(tecantrop!L85,"AAAAADu59e8=")</f>
        <v>#VALUE!</v>
      </c>
      <c r="IG115" t="e">
        <f>AND(tecantrop!M85,"AAAAADu59fA=")</f>
        <v>#VALUE!</v>
      </c>
      <c r="IH115" t="e">
        <f>AND(tecantrop!N85,"AAAAADu59fE=")</f>
        <v>#VALUE!</v>
      </c>
      <c r="II115" t="e">
        <f>AND(tecantrop!O85,"AAAAADu59fI=")</f>
        <v>#VALUE!</v>
      </c>
      <c r="IJ115" t="e">
        <f>AND(tecantrop!P85,"AAAAADu59fM=")</f>
        <v>#VALUE!</v>
      </c>
      <c r="IK115" t="e">
        <f>AND(tecantrop!Q85,"AAAAADu59fQ=")</f>
        <v>#VALUE!</v>
      </c>
      <c r="IL115" t="e">
        <f>AND(tecantrop!R85,"AAAAADu59fU=")</f>
        <v>#VALUE!</v>
      </c>
      <c r="IM115" t="e">
        <f>AND(tecantrop!S85,"AAAAADu59fY=")</f>
        <v>#VALUE!</v>
      </c>
      <c r="IN115" t="e">
        <f>AND(tecantrop!T85,"AAAAADu59fc=")</f>
        <v>#VALUE!</v>
      </c>
      <c r="IO115" t="e">
        <f>AND(tecantrop!U85,"AAAAADu59fg=")</f>
        <v>#VALUE!</v>
      </c>
      <c r="IP115" t="e">
        <f>AND(tecantrop!V85,"AAAAADu59fk=")</f>
        <v>#VALUE!</v>
      </c>
      <c r="IQ115" t="e">
        <f>AND(tecantrop!W85,"AAAAADu59fo=")</f>
        <v>#VALUE!</v>
      </c>
      <c r="IR115" t="e">
        <f>AND(tecantrop!X85,"AAAAADu59fs=")</f>
        <v>#VALUE!</v>
      </c>
      <c r="IS115">
        <f>IF(tecantrop!86:86,"AAAAADu59fw=",0)</f>
        <v>0</v>
      </c>
      <c r="IT115" t="e">
        <f>AND(tecantrop!A86,"AAAAADu59f0=")</f>
        <v>#VALUE!</v>
      </c>
      <c r="IU115" t="e">
        <f>AND(tecantrop!B86,"AAAAADu59f4=")</f>
        <v>#VALUE!</v>
      </c>
      <c r="IV115" t="e">
        <f>AND(tecantrop!C86,"AAAAADu59f8=")</f>
        <v>#VALUE!</v>
      </c>
    </row>
    <row r="116" spans="1:256" x14ac:dyDescent="0.2">
      <c r="A116" t="e">
        <f>AND(tecantrop!D86,"AAAAAF69PQA=")</f>
        <v>#VALUE!</v>
      </c>
      <c r="B116" t="e">
        <f>AND(tecantrop!E86,"AAAAAF69PQE=")</f>
        <v>#VALUE!</v>
      </c>
      <c r="C116" t="e">
        <f>AND(tecantrop!F86,"AAAAAF69PQI=")</f>
        <v>#VALUE!</v>
      </c>
      <c r="D116" t="e">
        <f>AND(tecantrop!G86,"AAAAAF69PQM=")</f>
        <v>#VALUE!</v>
      </c>
      <c r="E116" t="e">
        <f>AND(tecantrop!H86,"AAAAAF69PQQ=")</f>
        <v>#VALUE!</v>
      </c>
      <c r="F116" t="e">
        <f>AND(tecantrop!I86,"AAAAAF69PQU=")</f>
        <v>#VALUE!</v>
      </c>
      <c r="G116" t="e">
        <f>AND(tecantrop!J86,"AAAAAF69PQY=")</f>
        <v>#VALUE!</v>
      </c>
      <c r="H116" t="e">
        <f>AND(tecantrop!K86,"AAAAAF69PQc=")</f>
        <v>#VALUE!</v>
      </c>
      <c r="I116" t="e">
        <f>AND(tecantrop!L86,"AAAAAF69PQg=")</f>
        <v>#VALUE!</v>
      </c>
      <c r="J116" t="e">
        <f>AND(tecantrop!M86,"AAAAAF69PQk=")</f>
        <v>#VALUE!</v>
      </c>
      <c r="K116" t="e">
        <f>AND(tecantrop!N86,"AAAAAF69PQo=")</f>
        <v>#VALUE!</v>
      </c>
      <c r="L116" t="e">
        <f>AND(tecantrop!O86,"AAAAAF69PQs=")</f>
        <v>#VALUE!</v>
      </c>
      <c r="M116" t="e">
        <f>AND(tecantrop!P86,"AAAAAF69PQw=")</f>
        <v>#VALUE!</v>
      </c>
      <c r="N116" t="e">
        <f>AND(tecantrop!Q86,"AAAAAF69PQ0=")</f>
        <v>#VALUE!</v>
      </c>
      <c r="O116" t="e">
        <f>AND(tecantrop!R86,"AAAAAF69PQ4=")</f>
        <v>#VALUE!</v>
      </c>
      <c r="P116" t="e">
        <f>AND(tecantrop!S86,"AAAAAF69PQ8=")</f>
        <v>#VALUE!</v>
      </c>
      <c r="Q116" t="e">
        <f>AND(tecantrop!T86,"AAAAAF69PRA=")</f>
        <v>#VALUE!</v>
      </c>
      <c r="R116" t="e">
        <f>AND(tecantrop!U86,"AAAAAF69PRE=")</f>
        <v>#VALUE!</v>
      </c>
      <c r="S116" t="e">
        <f>AND(tecantrop!V86,"AAAAAF69PRI=")</f>
        <v>#VALUE!</v>
      </c>
      <c r="T116" t="e">
        <f>AND(tecantrop!W86,"AAAAAF69PRM=")</f>
        <v>#VALUE!</v>
      </c>
      <c r="U116" t="e">
        <f>AND(tecantrop!X86,"AAAAAF69PRQ=")</f>
        <v>#VALUE!</v>
      </c>
      <c r="V116">
        <f>IF(tecantrop!87:87,"AAAAAF69PRU=",0)</f>
        <v>0</v>
      </c>
      <c r="W116" t="e">
        <f>AND(tecantrop!A87,"AAAAAF69PRY=")</f>
        <v>#VALUE!</v>
      </c>
      <c r="X116" t="e">
        <f>AND(tecantrop!B87,"AAAAAF69PRc=")</f>
        <v>#VALUE!</v>
      </c>
      <c r="Y116" t="e">
        <f>AND(tecantrop!C87,"AAAAAF69PRg=")</f>
        <v>#VALUE!</v>
      </c>
      <c r="Z116" t="e">
        <f>AND(tecantrop!D87,"AAAAAF69PRk=")</f>
        <v>#VALUE!</v>
      </c>
      <c r="AA116" t="e">
        <f>AND(tecantrop!E87,"AAAAAF69PRo=")</f>
        <v>#VALUE!</v>
      </c>
      <c r="AB116" t="e">
        <f>AND(tecantrop!F87,"AAAAAF69PRs=")</f>
        <v>#VALUE!</v>
      </c>
      <c r="AC116" t="e">
        <f>AND(tecantrop!G87,"AAAAAF69PRw=")</f>
        <v>#VALUE!</v>
      </c>
      <c r="AD116" t="e">
        <f>AND(tecantrop!H87,"AAAAAF69PR0=")</f>
        <v>#VALUE!</v>
      </c>
      <c r="AE116" t="e">
        <f>AND(tecantrop!I87,"AAAAAF69PR4=")</f>
        <v>#VALUE!</v>
      </c>
      <c r="AF116" t="e">
        <f>AND(tecantrop!J87,"AAAAAF69PR8=")</f>
        <v>#VALUE!</v>
      </c>
      <c r="AG116" t="e">
        <f>AND(tecantrop!K87,"AAAAAF69PSA=")</f>
        <v>#VALUE!</v>
      </c>
      <c r="AH116" t="e">
        <f>AND(tecantrop!L87,"AAAAAF69PSE=")</f>
        <v>#VALUE!</v>
      </c>
      <c r="AI116" t="e">
        <f>AND(tecantrop!M87,"AAAAAF69PSI=")</f>
        <v>#VALUE!</v>
      </c>
      <c r="AJ116" t="e">
        <f>AND(tecantrop!N87,"AAAAAF69PSM=")</f>
        <v>#VALUE!</v>
      </c>
      <c r="AK116" t="e">
        <f>AND(tecantrop!O87,"AAAAAF69PSQ=")</f>
        <v>#VALUE!</v>
      </c>
      <c r="AL116" t="e">
        <f>AND(tecantrop!P87,"AAAAAF69PSU=")</f>
        <v>#VALUE!</v>
      </c>
      <c r="AM116" t="e">
        <f>AND(tecantrop!Q87,"AAAAAF69PSY=")</f>
        <v>#VALUE!</v>
      </c>
      <c r="AN116" t="e">
        <f>AND(tecantrop!R87,"AAAAAF69PSc=")</f>
        <v>#VALUE!</v>
      </c>
      <c r="AO116" t="e">
        <f>AND(tecantrop!S87,"AAAAAF69PSg=")</f>
        <v>#VALUE!</v>
      </c>
      <c r="AP116" t="e">
        <f>AND(tecantrop!T87,"AAAAAF69PSk=")</f>
        <v>#VALUE!</v>
      </c>
      <c r="AQ116" t="e">
        <f>AND(tecantrop!U87,"AAAAAF69PSo=")</f>
        <v>#VALUE!</v>
      </c>
      <c r="AR116" t="e">
        <f>AND(tecantrop!V87,"AAAAAF69PSs=")</f>
        <v>#VALUE!</v>
      </c>
      <c r="AS116" t="e">
        <f>AND(tecantrop!W87,"AAAAAF69PSw=")</f>
        <v>#VALUE!</v>
      </c>
      <c r="AT116" t="e">
        <f>AND(tecantrop!X87,"AAAAAF69PS0=")</f>
        <v>#VALUE!</v>
      </c>
      <c r="AU116">
        <f>IF(tecantrop!88:88,"AAAAAF69PS4=",0)</f>
        <v>0</v>
      </c>
      <c r="AV116" t="e">
        <f>AND(tecantrop!A88,"AAAAAF69PS8=")</f>
        <v>#VALUE!</v>
      </c>
      <c r="AW116" t="e">
        <f>AND(tecantrop!B88,"AAAAAF69PTA=")</f>
        <v>#VALUE!</v>
      </c>
      <c r="AX116" t="e">
        <f>AND(tecantrop!C88,"AAAAAF69PTE=")</f>
        <v>#VALUE!</v>
      </c>
      <c r="AY116" t="e">
        <f>AND(tecantrop!D88,"AAAAAF69PTI=")</f>
        <v>#VALUE!</v>
      </c>
      <c r="AZ116" t="e">
        <f>AND(tecantrop!E88,"AAAAAF69PTM=")</f>
        <v>#VALUE!</v>
      </c>
      <c r="BA116" t="e">
        <f>AND(tecantrop!F88,"AAAAAF69PTQ=")</f>
        <v>#VALUE!</v>
      </c>
      <c r="BB116" t="e">
        <f>AND(tecantrop!G88,"AAAAAF69PTU=")</f>
        <v>#VALUE!</v>
      </c>
      <c r="BC116" t="e">
        <f>AND(tecantrop!H88,"AAAAAF69PTY=")</f>
        <v>#VALUE!</v>
      </c>
      <c r="BD116" t="e">
        <f>AND(tecantrop!I88,"AAAAAF69PTc=")</f>
        <v>#VALUE!</v>
      </c>
      <c r="BE116" t="e">
        <f>AND(tecantrop!J88,"AAAAAF69PTg=")</f>
        <v>#VALUE!</v>
      </c>
      <c r="BF116" t="e">
        <f>AND(tecantrop!K88,"AAAAAF69PTk=")</f>
        <v>#VALUE!</v>
      </c>
      <c r="BG116" t="e">
        <f>AND(tecantrop!L88,"AAAAAF69PTo=")</f>
        <v>#VALUE!</v>
      </c>
      <c r="BH116" t="e">
        <f>AND(tecantrop!M88,"AAAAAF69PTs=")</f>
        <v>#VALUE!</v>
      </c>
      <c r="BI116" t="e">
        <f>AND(tecantrop!N88,"AAAAAF69PTw=")</f>
        <v>#VALUE!</v>
      </c>
      <c r="BJ116" t="e">
        <f>AND(tecantrop!O88,"AAAAAF69PT0=")</f>
        <v>#VALUE!</v>
      </c>
      <c r="BK116" t="e">
        <f>AND(tecantrop!P88,"AAAAAF69PT4=")</f>
        <v>#VALUE!</v>
      </c>
      <c r="BL116" t="e">
        <f>AND(tecantrop!Q88,"AAAAAF69PT8=")</f>
        <v>#VALUE!</v>
      </c>
      <c r="BM116" t="e">
        <f>AND(tecantrop!R88,"AAAAAF69PUA=")</f>
        <v>#VALUE!</v>
      </c>
      <c r="BN116" t="e">
        <f>AND(tecantrop!S88,"AAAAAF69PUE=")</f>
        <v>#VALUE!</v>
      </c>
      <c r="BO116" t="e">
        <f>AND(tecantrop!T88,"AAAAAF69PUI=")</f>
        <v>#VALUE!</v>
      </c>
      <c r="BP116" t="e">
        <f>AND(tecantrop!U88,"AAAAAF69PUM=")</f>
        <v>#VALUE!</v>
      </c>
      <c r="BQ116" t="e">
        <f>AND(tecantrop!V88,"AAAAAF69PUQ=")</f>
        <v>#VALUE!</v>
      </c>
      <c r="BR116" t="e">
        <f>AND(tecantrop!W88,"AAAAAF69PUU=")</f>
        <v>#VALUE!</v>
      </c>
      <c r="BS116" t="e">
        <f>AND(tecantrop!X88,"AAAAAF69PUY=")</f>
        <v>#VALUE!</v>
      </c>
      <c r="BT116">
        <f>IF(tecantrop!89:89,"AAAAAF69PUc=",0)</f>
        <v>0</v>
      </c>
      <c r="BU116" t="e">
        <f>AND(tecantrop!A89,"AAAAAF69PUg=")</f>
        <v>#VALUE!</v>
      </c>
      <c r="BV116" t="e">
        <f>AND(tecantrop!B89,"AAAAAF69PUk=")</f>
        <v>#VALUE!</v>
      </c>
      <c r="BW116" t="e">
        <f>AND(tecantrop!C89,"AAAAAF69PUo=")</f>
        <v>#VALUE!</v>
      </c>
      <c r="BX116" t="e">
        <f>AND(tecantrop!D89,"AAAAAF69PUs=")</f>
        <v>#VALUE!</v>
      </c>
      <c r="BY116" t="e">
        <f>AND(tecantrop!E89,"AAAAAF69PUw=")</f>
        <v>#VALUE!</v>
      </c>
      <c r="BZ116" t="e">
        <f>AND(tecantrop!F89,"AAAAAF69PU0=")</f>
        <v>#VALUE!</v>
      </c>
      <c r="CA116" t="e">
        <f>AND(tecantrop!G89,"AAAAAF69PU4=")</f>
        <v>#VALUE!</v>
      </c>
      <c r="CB116" t="e">
        <f>AND(tecantrop!H89,"AAAAAF69PU8=")</f>
        <v>#VALUE!</v>
      </c>
      <c r="CC116" t="e">
        <f>AND(tecantrop!I89,"AAAAAF69PVA=")</f>
        <v>#VALUE!</v>
      </c>
      <c r="CD116" t="e">
        <f>AND(tecantrop!J89,"AAAAAF69PVE=")</f>
        <v>#VALUE!</v>
      </c>
      <c r="CE116" t="e">
        <f>AND(tecantrop!K89,"AAAAAF69PVI=")</f>
        <v>#VALUE!</v>
      </c>
      <c r="CF116" t="e">
        <f>AND(tecantrop!L89,"AAAAAF69PVM=")</f>
        <v>#VALUE!</v>
      </c>
      <c r="CG116" t="e">
        <f>AND(tecantrop!M89,"AAAAAF69PVQ=")</f>
        <v>#VALUE!</v>
      </c>
      <c r="CH116" t="e">
        <f>AND(tecantrop!N89,"AAAAAF69PVU=")</f>
        <v>#VALUE!</v>
      </c>
      <c r="CI116" t="e">
        <f>AND(tecantrop!O89,"AAAAAF69PVY=")</f>
        <v>#VALUE!</v>
      </c>
      <c r="CJ116" t="e">
        <f>AND(tecantrop!P89,"AAAAAF69PVc=")</f>
        <v>#VALUE!</v>
      </c>
      <c r="CK116" t="e">
        <f>AND(tecantrop!Q89,"AAAAAF69PVg=")</f>
        <v>#VALUE!</v>
      </c>
      <c r="CL116" t="e">
        <f>AND(tecantrop!R89,"AAAAAF69PVk=")</f>
        <v>#VALUE!</v>
      </c>
      <c r="CM116" t="e">
        <f>AND(tecantrop!S89,"AAAAAF69PVo=")</f>
        <v>#VALUE!</v>
      </c>
      <c r="CN116" t="e">
        <f>AND(tecantrop!T89,"AAAAAF69PVs=")</f>
        <v>#VALUE!</v>
      </c>
      <c r="CO116" t="e">
        <f>AND(tecantrop!U89,"AAAAAF69PVw=")</f>
        <v>#VALUE!</v>
      </c>
      <c r="CP116" t="e">
        <f>AND(tecantrop!V89,"AAAAAF69PV0=")</f>
        <v>#VALUE!</v>
      </c>
      <c r="CQ116" t="e">
        <f>AND(tecantrop!W89,"AAAAAF69PV4=")</f>
        <v>#VALUE!</v>
      </c>
      <c r="CR116" t="e">
        <f>AND(tecantrop!X89,"AAAAAF69PV8=")</f>
        <v>#VALUE!</v>
      </c>
      <c r="CS116">
        <f>IF(tecantrop!90:90,"AAAAAF69PWA=",0)</f>
        <v>0</v>
      </c>
      <c r="CT116" t="e">
        <f>AND(tecantrop!A90,"AAAAAF69PWE=")</f>
        <v>#VALUE!</v>
      </c>
      <c r="CU116" t="e">
        <f>AND(tecantrop!B90,"AAAAAF69PWI=")</f>
        <v>#VALUE!</v>
      </c>
      <c r="CV116" t="e">
        <f>AND(tecantrop!C90,"AAAAAF69PWM=")</f>
        <v>#VALUE!</v>
      </c>
      <c r="CW116" t="e">
        <f>AND(tecantrop!D90,"AAAAAF69PWQ=")</f>
        <v>#VALUE!</v>
      </c>
      <c r="CX116" t="e">
        <f>AND(tecantrop!E90,"AAAAAF69PWU=")</f>
        <v>#VALUE!</v>
      </c>
      <c r="CY116" t="e">
        <f>AND(tecantrop!F90,"AAAAAF69PWY=")</f>
        <v>#VALUE!</v>
      </c>
      <c r="CZ116" t="e">
        <f>AND(tecantrop!G90,"AAAAAF69PWc=")</f>
        <v>#VALUE!</v>
      </c>
      <c r="DA116" t="e">
        <f>AND(tecantrop!H90,"AAAAAF69PWg=")</f>
        <v>#VALUE!</v>
      </c>
      <c r="DB116" t="e">
        <f>AND(tecantrop!I90,"AAAAAF69PWk=")</f>
        <v>#VALUE!</v>
      </c>
      <c r="DC116" t="e">
        <f>AND(tecantrop!J90,"AAAAAF69PWo=")</f>
        <v>#VALUE!</v>
      </c>
      <c r="DD116" t="e">
        <f>AND(tecantrop!K90,"AAAAAF69PWs=")</f>
        <v>#VALUE!</v>
      </c>
      <c r="DE116" t="e">
        <f>AND(tecantrop!L90,"AAAAAF69PWw=")</f>
        <v>#VALUE!</v>
      </c>
      <c r="DF116" t="e">
        <f>AND(tecantrop!M90,"AAAAAF69PW0=")</f>
        <v>#VALUE!</v>
      </c>
      <c r="DG116" t="e">
        <f>AND(tecantrop!N90,"AAAAAF69PW4=")</f>
        <v>#VALUE!</v>
      </c>
      <c r="DH116" t="e">
        <f>AND(tecantrop!O90,"AAAAAF69PW8=")</f>
        <v>#VALUE!</v>
      </c>
      <c r="DI116" t="e">
        <f>AND(tecantrop!P90,"AAAAAF69PXA=")</f>
        <v>#VALUE!</v>
      </c>
      <c r="DJ116" t="e">
        <f>AND(tecantrop!Q90,"AAAAAF69PXE=")</f>
        <v>#VALUE!</v>
      </c>
      <c r="DK116" t="e">
        <f>AND(tecantrop!R90,"AAAAAF69PXI=")</f>
        <v>#VALUE!</v>
      </c>
      <c r="DL116" t="e">
        <f>AND(tecantrop!S90,"AAAAAF69PXM=")</f>
        <v>#VALUE!</v>
      </c>
      <c r="DM116" t="e">
        <f>AND(tecantrop!T90,"AAAAAF69PXQ=")</f>
        <v>#VALUE!</v>
      </c>
      <c r="DN116" t="e">
        <f>AND(tecantrop!U90,"AAAAAF69PXU=")</f>
        <v>#VALUE!</v>
      </c>
      <c r="DO116" t="e">
        <f>AND(tecantrop!V90,"AAAAAF69PXY=")</f>
        <v>#VALUE!</v>
      </c>
      <c r="DP116" t="e">
        <f>AND(tecantrop!W90,"AAAAAF69PXc=")</f>
        <v>#VALUE!</v>
      </c>
      <c r="DQ116" t="e">
        <f>AND(tecantrop!X90,"AAAAAF69PXg=")</f>
        <v>#VALUE!</v>
      </c>
      <c r="DR116">
        <f>IF(tecantrop!91:91,"AAAAAF69PXk=",0)</f>
        <v>0</v>
      </c>
      <c r="DS116" t="e">
        <f>AND(tecantrop!A91,"AAAAAF69PXo=")</f>
        <v>#VALUE!</v>
      </c>
      <c r="DT116" t="e">
        <f>AND(tecantrop!B91,"AAAAAF69PXs=")</f>
        <v>#VALUE!</v>
      </c>
      <c r="DU116" t="e">
        <f>AND(tecantrop!C91,"AAAAAF69PXw=")</f>
        <v>#VALUE!</v>
      </c>
      <c r="DV116" t="e">
        <f>AND(tecantrop!D91,"AAAAAF69PX0=")</f>
        <v>#VALUE!</v>
      </c>
      <c r="DW116" t="e">
        <f>AND(tecantrop!E91,"AAAAAF69PX4=")</f>
        <v>#VALUE!</v>
      </c>
      <c r="DX116" t="e">
        <f>AND(tecantrop!F91,"AAAAAF69PX8=")</f>
        <v>#VALUE!</v>
      </c>
      <c r="DY116" t="e">
        <f>AND(tecantrop!G91,"AAAAAF69PYA=")</f>
        <v>#VALUE!</v>
      </c>
      <c r="DZ116" t="e">
        <f>AND(tecantrop!H91,"AAAAAF69PYE=")</f>
        <v>#VALUE!</v>
      </c>
      <c r="EA116" t="e">
        <f>AND(tecantrop!I91,"AAAAAF69PYI=")</f>
        <v>#VALUE!</v>
      </c>
      <c r="EB116" t="e">
        <f>AND(tecantrop!J91,"AAAAAF69PYM=")</f>
        <v>#VALUE!</v>
      </c>
      <c r="EC116" t="e">
        <f>AND(tecantrop!K91,"AAAAAF69PYQ=")</f>
        <v>#VALUE!</v>
      </c>
      <c r="ED116" t="e">
        <f>AND(tecantrop!L91,"AAAAAF69PYU=")</f>
        <v>#VALUE!</v>
      </c>
      <c r="EE116" t="e">
        <f>AND(tecantrop!M91,"AAAAAF69PYY=")</f>
        <v>#VALUE!</v>
      </c>
      <c r="EF116" t="e">
        <f>AND(tecantrop!N91,"AAAAAF69PYc=")</f>
        <v>#VALUE!</v>
      </c>
      <c r="EG116" t="e">
        <f>AND(tecantrop!O91,"AAAAAF69PYg=")</f>
        <v>#VALUE!</v>
      </c>
      <c r="EH116" t="e">
        <f>AND(tecantrop!P91,"AAAAAF69PYk=")</f>
        <v>#VALUE!</v>
      </c>
      <c r="EI116" t="e">
        <f>AND(tecantrop!Q91,"AAAAAF69PYo=")</f>
        <v>#VALUE!</v>
      </c>
      <c r="EJ116" t="e">
        <f>AND(tecantrop!R91,"AAAAAF69PYs=")</f>
        <v>#VALUE!</v>
      </c>
      <c r="EK116" t="e">
        <f>AND(tecantrop!S91,"AAAAAF69PYw=")</f>
        <v>#VALUE!</v>
      </c>
      <c r="EL116" t="e">
        <f>AND(tecantrop!T91,"AAAAAF69PY0=")</f>
        <v>#VALUE!</v>
      </c>
      <c r="EM116" t="e">
        <f>AND(tecantrop!U91,"AAAAAF69PY4=")</f>
        <v>#VALUE!</v>
      </c>
      <c r="EN116" t="e">
        <f>AND(tecantrop!V91,"AAAAAF69PY8=")</f>
        <v>#VALUE!</v>
      </c>
      <c r="EO116" t="e">
        <f>AND(tecantrop!W91,"AAAAAF69PZA=")</f>
        <v>#VALUE!</v>
      </c>
      <c r="EP116" t="e">
        <f>AND(tecantrop!X91,"AAAAAF69PZE=")</f>
        <v>#VALUE!</v>
      </c>
      <c r="EQ116">
        <f>IF(tecantrop!92:92,"AAAAAF69PZI=",0)</f>
        <v>0</v>
      </c>
      <c r="ER116" t="e">
        <f>AND(tecantrop!A92,"AAAAAF69PZM=")</f>
        <v>#VALUE!</v>
      </c>
      <c r="ES116" t="e">
        <f>AND(tecantrop!B92,"AAAAAF69PZQ=")</f>
        <v>#VALUE!</v>
      </c>
      <c r="ET116" t="e">
        <f>AND(tecantrop!C92,"AAAAAF69PZU=")</f>
        <v>#VALUE!</v>
      </c>
      <c r="EU116" t="e">
        <f>AND(tecantrop!D92,"AAAAAF69PZY=")</f>
        <v>#VALUE!</v>
      </c>
      <c r="EV116" t="e">
        <f>AND(tecantrop!E92,"AAAAAF69PZc=")</f>
        <v>#VALUE!</v>
      </c>
      <c r="EW116" t="e">
        <f>AND(tecantrop!F92,"AAAAAF69PZg=")</f>
        <v>#VALUE!</v>
      </c>
      <c r="EX116" t="e">
        <f>AND(tecantrop!G92,"AAAAAF69PZk=")</f>
        <v>#VALUE!</v>
      </c>
      <c r="EY116" t="e">
        <f>AND(tecantrop!H92,"AAAAAF69PZo=")</f>
        <v>#VALUE!</v>
      </c>
      <c r="EZ116" t="e">
        <f>AND(tecantrop!I92,"AAAAAF69PZs=")</f>
        <v>#VALUE!</v>
      </c>
      <c r="FA116" t="e">
        <f>AND(tecantrop!J92,"AAAAAF69PZw=")</f>
        <v>#VALUE!</v>
      </c>
      <c r="FB116" t="e">
        <f>AND(tecantrop!K92,"AAAAAF69PZ0=")</f>
        <v>#VALUE!</v>
      </c>
      <c r="FC116" t="e">
        <f>AND(tecantrop!L92,"AAAAAF69PZ4=")</f>
        <v>#VALUE!</v>
      </c>
      <c r="FD116" t="e">
        <f>AND(tecantrop!M92,"AAAAAF69PZ8=")</f>
        <v>#VALUE!</v>
      </c>
      <c r="FE116" t="e">
        <f>AND(tecantrop!N92,"AAAAAF69PaA=")</f>
        <v>#VALUE!</v>
      </c>
      <c r="FF116" t="e">
        <f>AND(tecantrop!O92,"AAAAAF69PaE=")</f>
        <v>#VALUE!</v>
      </c>
      <c r="FG116" t="e">
        <f>AND(tecantrop!P92,"AAAAAF69PaI=")</f>
        <v>#VALUE!</v>
      </c>
      <c r="FH116" t="e">
        <f>AND(tecantrop!Q92,"AAAAAF69PaM=")</f>
        <v>#VALUE!</v>
      </c>
      <c r="FI116" t="e">
        <f>AND(tecantrop!R92,"AAAAAF69PaQ=")</f>
        <v>#VALUE!</v>
      </c>
      <c r="FJ116" t="e">
        <f>AND(tecantrop!S92,"AAAAAF69PaU=")</f>
        <v>#VALUE!</v>
      </c>
      <c r="FK116" t="e">
        <f>AND(tecantrop!T92,"AAAAAF69PaY=")</f>
        <v>#VALUE!</v>
      </c>
      <c r="FL116" t="e">
        <f>AND(tecantrop!U92,"AAAAAF69Pac=")</f>
        <v>#VALUE!</v>
      </c>
      <c r="FM116" t="e">
        <f>AND(tecantrop!V92,"AAAAAF69Pag=")</f>
        <v>#VALUE!</v>
      </c>
      <c r="FN116" t="e">
        <f>AND(tecantrop!W92,"AAAAAF69Pak=")</f>
        <v>#VALUE!</v>
      </c>
      <c r="FO116" t="e">
        <f>AND(tecantrop!X92,"AAAAAF69Pao=")</f>
        <v>#VALUE!</v>
      </c>
      <c r="FP116">
        <f>IF(tecantrop!93:93,"AAAAAF69Pas=",0)</f>
        <v>0</v>
      </c>
      <c r="FQ116" t="e">
        <f>AND(tecantrop!A93,"AAAAAF69Paw=")</f>
        <v>#VALUE!</v>
      </c>
      <c r="FR116" t="e">
        <f>AND(tecantrop!B93,"AAAAAF69Pa0=")</f>
        <v>#VALUE!</v>
      </c>
      <c r="FS116" t="e">
        <f>AND(tecantrop!C93,"AAAAAF69Pa4=")</f>
        <v>#VALUE!</v>
      </c>
      <c r="FT116" t="e">
        <f>AND(tecantrop!D93,"AAAAAF69Pa8=")</f>
        <v>#VALUE!</v>
      </c>
      <c r="FU116" t="e">
        <f>AND(tecantrop!E93,"AAAAAF69PbA=")</f>
        <v>#VALUE!</v>
      </c>
      <c r="FV116" t="e">
        <f>AND(tecantrop!F93,"AAAAAF69PbE=")</f>
        <v>#VALUE!</v>
      </c>
      <c r="FW116" t="e">
        <f>AND(tecantrop!G93,"AAAAAF69PbI=")</f>
        <v>#VALUE!</v>
      </c>
      <c r="FX116" t="e">
        <f>AND(tecantrop!H93,"AAAAAF69PbM=")</f>
        <v>#VALUE!</v>
      </c>
      <c r="FY116" t="e">
        <f>AND(tecantrop!I93,"AAAAAF69PbQ=")</f>
        <v>#VALUE!</v>
      </c>
      <c r="FZ116" t="e">
        <f>AND(tecantrop!J93,"AAAAAF69PbU=")</f>
        <v>#VALUE!</v>
      </c>
      <c r="GA116" t="e">
        <f>AND(tecantrop!K93,"AAAAAF69PbY=")</f>
        <v>#VALUE!</v>
      </c>
      <c r="GB116" t="e">
        <f>AND(tecantrop!L93,"AAAAAF69Pbc=")</f>
        <v>#VALUE!</v>
      </c>
      <c r="GC116" t="e">
        <f>AND(tecantrop!M93,"AAAAAF69Pbg=")</f>
        <v>#VALUE!</v>
      </c>
      <c r="GD116" t="e">
        <f>AND(tecantrop!N93,"AAAAAF69Pbk=")</f>
        <v>#VALUE!</v>
      </c>
      <c r="GE116" t="e">
        <f>AND(tecantrop!O93,"AAAAAF69Pbo=")</f>
        <v>#VALUE!</v>
      </c>
      <c r="GF116" t="e">
        <f>AND(tecantrop!P93,"AAAAAF69Pbs=")</f>
        <v>#VALUE!</v>
      </c>
      <c r="GG116" t="e">
        <f>AND(tecantrop!Q93,"AAAAAF69Pbw=")</f>
        <v>#VALUE!</v>
      </c>
      <c r="GH116" t="e">
        <f>AND(tecantrop!R93,"AAAAAF69Pb0=")</f>
        <v>#VALUE!</v>
      </c>
      <c r="GI116" t="e">
        <f>AND(tecantrop!S93,"AAAAAF69Pb4=")</f>
        <v>#VALUE!</v>
      </c>
      <c r="GJ116" t="e">
        <f>AND(tecantrop!T93,"AAAAAF69Pb8=")</f>
        <v>#VALUE!</v>
      </c>
      <c r="GK116" t="e">
        <f>AND(tecantrop!U93,"AAAAAF69PcA=")</f>
        <v>#VALUE!</v>
      </c>
      <c r="GL116" t="e">
        <f>AND(tecantrop!V93,"AAAAAF69PcE=")</f>
        <v>#VALUE!</v>
      </c>
      <c r="GM116" t="e">
        <f>AND(tecantrop!W93,"AAAAAF69PcI=")</f>
        <v>#VALUE!</v>
      </c>
      <c r="GN116" t="e">
        <f>AND(tecantrop!X93,"AAAAAF69PcM=")</f>
        <v>#VALUE!</v>
      </c>
      <c r="GO116">
        <f>IF(tecantrop!94:94,"AAAAAF69PcQ=",0)</f>
        <v>0</v>
      </c>
      <c r="GP116" t="e">
        <f>AND(tecantrop!A94,"AAAAAF69PcU=")</f>
        <v>#VALUE!</v>
      </c>
      <c r="GQ116" t="e">
        <f>AND(tecantrop!B94,"AAAAAF69PcY=")</f>
        <v>#VALUE!</v>
      </c>
      <c r="GR116" t="e">
        <f>AND(tecantrop!C94,"AAAAAF69Pcc=")</f>
        <v>#VALUE!</v>
      </c>
      <c r="GS116" t="e">
        <f>AND(tecantrop!D94,"AAAAAF69Pcg=")</f>
        <v>#VALUE!</v>
      </c>
      <c r="GT116" t="e">
        <f>AND(tecantrop!E94,"AAAAAF69Pck=")</f>
        <v>#VALUE!</v>
      </c>
      <c r="GU116" t="e">
        <f>AND(tecantrop!F94,"AAAAAF69Pco=")</f>
        <v>#VALUE!</v>
      </c>
      <c r="GV116" t="e">
        <f>AND(tecantrop!G94,"AAAAAF69Pcs=")</f>
        <v>#VALUE!</v>
      </c>
      <c r="GW116" t="e">
        <f>AND(tecantrop!H94,"AAAAAF69Pcw=")</f>
        <v>#VALUE!</v>
      </c>
      <c r="GX116" t="e">
        <f>AND(tecantrop!I94,"AAAAAF69Pc0=")</f>
        <v>#VALUE!</v>
      </c>
      <c r="GY116" t="e">
        <f>AND(tecantrop!J94,"AAAAAF69Pc4=")</f>
        <v>#VALUE!</v>
      </c>
      <c r="GZ116" t="e">
        <f>AND(tecantrop!K94,"AAAAAF69Pc8=")</f>
        <v>#VALUE!</v>
      </c>
      <c r="HA116" t="e">
        <f>AND(tecantrop!L94,"AAAAAF69PdA=")</f>
        <v>#VALUE!</v>
      </c>
      <c r="HB116" t="e">
        <f>AND(tecantrop!M94,"AAAAAF69PdE=")</f>
        <v>#VALUE!</v>
      </c>
      <c r="HC116" t="e">
        <f>AND(tecantrop!N94,"AAAAAF69PdI=")</f>
        <v>#VALUE!</v>
      </c>
      <c r="HD116" t="e">
        <f>AND(tecantrop!O94,"AAAAAF69PdM=")</f>
        <v>#VALUE!</v>
      </c>
      <c r="HE116" t="e">
        <f>AND(tecantrop!P94,"AAAAAF69PdQ=")</f>
        <v>#VALUE!</v>
      </c>
      <c r="HF116" t="e">
        <f>AND(tecantrop!Q94,"AAAAAF69PdU=")</f>
        <v>#VALUE!</v>
      </c>
      <c r="HG116" t="e">
        <f>AND(tecantrop!R94,"AAAAAF69PdY=")</f>
        <v>#VALUE!</v>
      </c>
      <c r="HH116" t="e">
        <f>AND(tecantrop!S94,"AAAAAF69Pdc=")</f>
        <v>#VALUE!</v>
      </c>
      <c r="HI116" t="e">
        <f>AND(tecantrop!T94,"AAAAAF69Pdg=")</f>
        <v>#VALUE!</v>
      </c>
      <c r="HJ116" t="e">
        <f>AND(tecantrop!U94,"AAAAAF69Pdk=")</f>
        <v>#VALUE!</v>
      </c>
      <c r="HK116" t="e">
        <f>AND(tecantrop!V94,"AAAAAF69Pdo=")</f>
        <v>#VALUE!</v>
      </c>
      <c r="HL116" t="e">
        <f>AND(tecantrop!W94,"AAAAAF69Pds=")</f>
        <v>#VALUE!</v>
      </c>
      <c r="HM116" t="e">
        <f>AND(tecantrop!X94,"AAAAAF69Pdw=")</f>
        <v>#VALUE!</v>
      </c>
      <c r="HN116">
        <f>IF(tecantrop!95:95,"AAAAAF69Pd0=",0)</f>
        <v>0</v>
      </c>
      <c r="HO116" t="e">
        <f>AND(tecantrop!A95,"AAAAAF69Pd4=")</f>
        <v>#VALUE!</v>
      </c>
      <c r="HP116" t="e">
        <f>AND(tecantrop!B95,"AAAAAF69Pd8=")</f>
        <v>#VALUE!</v>
      </c>
      <c r="HQ116" t="e">
        <f>AND(tecantrop!C95,"AAAAAF69PeA=")</f>
        <v>#VALUE!</v>
      </c>
      <c r="HR116" t="e">
        <f>AND(tecantrop!D95,"AAAAAF69PeE=")</f>
        <v>#VALUE!</v>
      </c>
      <c r="HS116" t="e">
        <f>AND(tecantrop!E95,"AAAAAF69PeI=")</f>
        <v>#VALUE!</v>
      </c>
      <c r="HT116" t="e">
        <f>AND(tecantrop!F95,"AAAAAF69PeM=")</f>
        <v>#VALUE!</v>
      </c>
      <c r="HU116" t="e">
        <f>AND(tecantrop!G95,"AAAAAF69PeQ=")</f>
        <v>#VALUE!</v>
      </c>
      <c r="HV116" t="e">
        <f>AND(tecantrop!H95,"AAAAAF69PeU=")</f>
        <v>#VALUE!</v>
      </c>
      <c r="HW116" t="e">
        <f>AND(tecantrop!I95,"AAAAAF69PeY=")</f>
        <v>#VALUE!</v>
      </c>
      <c r="HX116" t="e">
        <f>AND(tecantrop!J95,"AAAAAF69Pec=")</f>
        <v>#VALUE!</v>
      </c>
      <c r="HY116" t="e">
        <f>AND(tecantrop!K95,"AAAAAF69Peg=")</f>
        <v>#VALUE!</v>
      </c>
      <c r="HZ116" t="e">
        <f>AND(tecantrop!L95,"AAAAAF69Pek=")</f>
        <v>#VALUE!</v>
      </c>
      <c r="IA116" t="e">
        <f>AND(tecantrop!M95,"AAAAAF69Peo=")</f>
        <v>#VALUE!</v>
      </c>
      <c r="IB116" t="e">
        <f>AND(tecantrop!N95,"AAAAAF69Pes=")</f>
        <v>#VALUE!</v>
      </c>
      <c r="IC116" t="e">
        <f>AND(tecantrop!O95,"AAAAAF69Pew=")</f>
        <v>#VALUE!</v>
      </c>
      <c r="ID116" t="e">
        <f>AND(tecantrop!P95,"AAAAAF69Pe0=")</f>
        <v>#VALUE!</v>
      </c>
      <c r="IE116" t="e">
        <f>AND(tecantrop!Q95,"AAAAAF69Pe4=")</f>
        <v>#VALUE!</v>
      </c>
      <c r="IF116" t="e">
        <f>AND(tecantrop!R95,"AAAAAF69Pe8=")</f>
        <v>#VALUE!</v>
      </c>
      <c r="IG116" t="e">
        <f>AND(tecantrop!S95,"AAAAAF69PfA=")</f>
        <v>#VALUE!</v>
      </c>
      <c r="IH116" t="e">
        <f>AND(tecantrop!T95,"AAAAAF69PfE=")</f>
        <v>#VALUE!</v>
      </c>
      <c r="II116" t="e">
        <f>AND(tecantrop!U95,"AAAAAF69PfI=")</f>
        <v>#VALUE!</v>
      </c>
      <c r="IJ116" t="e">
        <f>AND(tecantrop!V95,"AAAAAF69PfM=")</f>
        <v>#VALUE!</v>
      </c>
      <c r="IK116" t="e">
        <f>AND(tecantrop!W95,"AAAAAF69PfQ=")</f>
        <v>#VALUE!</v>
      </c>
      <c r="IL116" t="e">
        <f>AND(tecantrop!X95,"AAAAAF69PfU=")</f>
        <v>#VALUE!</v>
      </c>
      <c r="IM116">
        <f>IF(tecantrop!96:96,"AAAAAF69PfY=",0)</f>
        <v>0</v>
      </c>
      <c r="IN116" t="e">
        <f>AND(tecantrop!A96,"AAAAAF69Pfc=")</f>
        <v>#VALUE!</v>
      </c>
      <c r="IO116" t="e">
        <f>AND(tecantrop!B96,"AAAAAF69Pfg=")</f>
        <v>#VALUE!</v>
      </c>
      <c r="IP116" t="e">
        <f>AND(tecantrop!C96,"AAAAAF69Pfk=")</f>
        <v>#VALUE!</v>
      </c>
      <c r="IQ116" t="e">
        <f>AND(tecantrop!D96,"AAAAAF69Pfo=")</f>
        <v>#VALUE!</v>
      </c>
      <c r="IR116" t="e">
        <f>AND(tecantrop!E96,"AAAAAF69Pfs=")</f>
        <v>#VALUE!</v>
      </c>
      <c r="IS116" t="e">
        <f>AND(tecantrop!F96,"AAAAAF69Pfw=")</f>
        <v>#VALUE!</v>
      </c>
      <c r="IT116" t="e">
        <f>AND(tecantrop!G96,"AAAAAF69Pf0=")</f>
        <v>#VALUE!</v>
      </c>
      <c r="IU116" t="e">
        <f>AND(tecantrop!H96,"AAAAAF69Pf4=")</f>
        <v>#VALUE!</v>
      </c>
      <c r="IV116" t="e">
        <f>AND(tecantrop!I96,"AAAAAF69Pf8=")</f>
        <v>#VALUE!</v>
      </c>
    </row>
    <row r="117" spans="1:256" x14ac:dyDescent="0.2">
      <c r="A117" t="e">
        <f>AND(tecantrop!J96,"AAAAAFvfrgA=")</f>
        <v>#VALUE!</v>
      </c>
      <c r="B117" t="e">
        <f>AND(tecantrop!K96,"AAAAAFvfrgE=")</f>
        <v>#VALUE!</v>
      </c>
      <c r="C117" t="e">
        <f>AND(tecantrop!L96,"AAAAAFvfrgI=")</f>
        <v>#VALUE!</v>
      </c>
      <c r="D117" t="e">
        <f>AND(tecantrop!M96,"AAAAAFvfrgM=")</f>
        <v>#VALUE!</v>
      </c>
      <c r="E117" t="e">
        <f>AND(tecantrop!N96,"AAAAAFvfrgQ=")</f>
        <v>#VALUE!</v>
      </c>
      <c r="F117" t="e">
        <f>AND(tecantrop!O96,"AAAAAFvfrgU=")</f>
        <v>#VALUE!</v>
      </c>
      <c r="G117" t="e">
        <f>AND(tecantrop!P96,"AAAAAFvfrgY=")</f>
        <v>#VALUE!</v>
      </c>
      <c r="H117" t="e">
        <f>AND(tecantrop!Q96,"AAAAAFvfrgc=")</f>
        <v>#VALUE!</v>
      </c>
      <c r="I117" t="e">
        <f>AND(tecantrop!R96,"AAAAAFvfrgg=")</f>
        <v>#VALUE!</v>
      </c>
      <c r="J117" t="e">
        <f>AND(tecantrop!S96,"AAAAAFvfrgk=")</f>
        <v>#VALUE!</v>
      </c>
      <c r="K117" t="e">
        <f>AND(tecantrop!T96,"AAAAAFvfrgo=")</f>
        <v>#VALUE!</v>
      </c>
      <c r="L117" t="e">
        <f>AND(tecantrop!U96,"AAAAAFvfrgs=")</f>
        <v>#VALUE!</v>
      </c>
      <c r="M117" t="e">
        <f>AND(tecantrop!V96,"AAAAAFvfrgw=")</f>
        <v>#VALUE!</v>
      </c>
      <c r="N117" t="e">
        <f>AND(tecantrop!W96,"AAAAAFvfrg0=")</f>
        <v>#VALUE!</v>
      </c>
      <c r="O117" t="e">
        <f>AND(tecantrop!X96,"AAAAAFvfrg4=")</f>
        <v>#VALUE!</v>
      </c>
      <c r="P117">
        <f>IF(tecantrop!97:97,"AAAAAFvfrg8=",0)</f>
        <v>0</v>
      </c>
      <c r="Q117" t="e">
        <f>AND(tecantrop!A97,"AAAAAFvfrhA=")</f>
        <v>#VALUE!</v>
      </c>
      <c r="R117" t="e">
        <f>AND(tecantrop!B97,"AAAAAFvfrhE=")</f>
        <v>#VALUE!</v>
      </c>
      <c r="S117" t="e">
        <f>AND(tecantrop!C97,"AAAAAFvfrhI=")</f>
        <v>#VALUE!</v>
      </c>
      <c r="T117" t="e">
        <f>AND(tecantrop!D97,"AAAAAFvfrhM=")</f>
        <v>#VALUE!</v>
      </c>
      <c r="U117" t="e">
        <f>AND(tecantrop!E97,"AAAAAFvfrhQ=")</f>
        <v>#VALUE!</v>
      </c>
      <c r="V117" t="e">
        <f>AND(tecantrop!F97,"AAAAAFvfrhU=")</f>
        <v>#VALUE!</v>
      </c>
      <c r="W117" t="e">
        <f>AND(tecantrop!G97,"AAAAAFvfrhY=")</f>
        <v>#VALUE!</v>
      </c>
      <c r="X117" t="e">
        <f>AND(tecantrop!H97,"AAAAAFvfrhc=")</f>
        <v>#VALUE!</v>
      </c>
      <c r="Y117" t="e">
        <f>AND(tecantrop!I97,"AAAAAFvfrhg=")</f>
        <v>#VALUE!</v>
      </c>
      <c r="Z117" t="e">
        <f>AND(tecantrop!J97,"AAAAAFvfrhk=")</f>
        <v>#VALUE!</v>
      </c>
      <c r="AA117" t="e">
        <f>AND(tecantrop!K97,"AAAAAFvfrho=")</f>
        <v>#VALUE!</v>
      </c>
      <c r="AB117" t="e">
        <f>AND(tecantrop!L97,"AAAAAFvfrhs=")</f>
        <v>#VALUE!</v>
      </c>
      <c r="AC117" t="e">
        <f>AND(tecantrop!M97,"AAAAAFvfrhw=")</f>
        <v>#VALUE!</v>
      </c>
      <c r="AD117" t="e">
        <f>AND(tecantrop!N97,"AAAAAFvfrh0=")</f>
        <v>#VALUE!</v>
      </c>
      <c r="AE117" t="e">
        <f>AND(tecantrop!O97,"AAAAAFvfrh4=")</f>
        <v>#VALUE!</v>
      </c>
      <c r="AF117" t="e">
        <f>AND(tecantrop!P97,"AAAAAFvfrh8=")</f>
        <v>#VALUE!</v>
      </c>
      <c r="AG117" t="e">
        <f>AND(tecantrop!Q97,"AAAAAFvfriA=")</f>
        <v>#VALUE!</v>
      </c>
      <c r="AH117" t="e">
        <f>AND(tecantrop!R97,"AAAAAFvfriE=")</f>
        <v>#VALUE!</v>
      </c>
      <c r="AI117" t="e">
        <f>AND(tecantrop!S97,"AAAAAFvfriI=")</f>
        <v>#VALUE!</v>
      </c>
      <c r="AJ117" t="e">
        <f>AND(tecantrop!T97,"AAAAAFvfriM=")</f>
        <v>#VALUE!</v>
      </c>
      <c r="AK117" t="e">
        <f>AND(tecantrop!U97,"AAAAAFvfriQ=")</f>
        <v>#VALUE!</v>
      </c>
      <c r="AL117" t="e">
        <f>AND(tecantrop!V97,"AAAAAFvfriU=")</f>
        <v>#VALUE!</v>
      </c>
      <c r="AM117" t="e">
        <f>AND(tecantrop!W97,"AAAAAFvfriY=")</f>
        <v>#VALUE!</v>
      </c>
      <c r="AN117" t="e">
        <f>AND(tecantrop!X97,"AAAAAFvfric=")</f>
        <v>#VALUE!</v>
      </c>
      <c r="AO117">
        <f>IF(tecantrop!98:98,"AAAAAFvfrig=",0)</f>
        <v>0</v>
      </c>
      <c r="AP117" t="e">
        <f>AND(tecantrop!A98,"AAAAAFvfrik=")</f>
        <v>#VALUE!</v>
      </c>
      <c r="AQ117" t="e">
        <f>AND(tecantrop!B98,"AAAAAFvfrio=")</f>
        <v>#VALUE!</v>
      </c>
      <c r="AR117" t="e">
        <f>AND(tecantrop!C98,"AAAAAFvfris=")</f>
        <v>#VALUE!</v>
      </c>
      <c r="AS117" t="e">
        <f>AND(tecantrop!D98,"AAAAAFvfriw=")</f>
        <v>#VALUE!</v>
      </c>
      <c r="AT117" t="e">
        <f>AND(tecantrop!E98,"AAAAAFvfri0=")</f>
        <v>#VALUE!</v>
      </c>
      <c r="AU117" t="e">
        <f>AND(tecantrop!F98,"AAAAAFvfri4=")</f>
        <v>#VALUE!</v>
      </c>
      <c r="AV117" t="e">
        <f>AND(tecantrop!G98,"AAAAAFvfri8=")</f>
        <v>#VALUE!</v>
      </c>
      <c r="AW117" t="e">
        <f>AND(tecantrop!H98,"AAAAAFvfrjA=")</f>
        <v>#VALUE!</v>
      </c>
      <c r="AX117" t="e">
        <f>AND(tecantrop!I98,"AAAAAFvfrjE=")</f>
        <v>#VALUE!</v>
      </c>
      <c r="AY117" t="e">
        <f>AND(tecantrop!J98,"AAAAAFvfrjI=")</f>
        <v>#VALUE!</v>
      </c>
      <c r="AZ117" t="e">
        <f>AND(tecantrop!K98,"AAAAAFvfrjM=")</f>
        <v>#VALUE!</v>
      </c>
      <c r="BA117" t="e">
        <f>AND(tecantrop!L98,"AAAAAFvfrjQ=")</f>
        <v>#VALUE!</v>
      </c>
      <c r="BB117" t="e">
        <f>AND(tecantrop!M98,"AAAAAFvfrjU=")</f>
        <v>#VALUE!</v>
      </c>
      <c r="BC117" t="e">
        <f>AND(tecantrop!N98,"AAAAAFvfrjY=")</f>
        <v>#VALUE!</v>
      </c>
      <c r="BD117" t="e">
        <f>AND(tecantrop!O98,"AAAAAFvfrjc=")</f>
        <v>#VALUE!</v>
      </c>
      <c r="BE117" t="e">
        <f>AND(tecantrop!P98,"AAAAAFvfrjg=")</f>
        <v>#VALUE!</v>
      </c>
      <c r="BF117" t="e">
        <f>AND(tecantrop!Q98,"AAAAAFvfrjk=")</f>
        <v>#VALUE!</v>
      </c>
      <c r="BG117" t="e">
        <f>AND(tecantrop!R98,"AAAAAFvfrjo=")</f>
        <v>#VALUE!</v>
      </c>
      <c r="BH117" t="e">
        <f>AND(tecantrop!S98,"AAAAAFvfrjs=")</f>
        <v>#VALUE!</v>
      </c>
      <c r="BI117" t="e">
        <f>AND(tecantrop!T98,"AAAAAFvfrjw=")</f>
        <v>#VALUE!</v>
      </c>
      <c r="BJ117" t="e">
        <f>AND(tecantrop!U98,"AAAAAFvfrj0=")</f>
        <v>#VALUE!</v>
      </c>
      <c r="BK117" t="e">
        <f>AND(tecantrop!V98,"AAAAAFvfrj4=")</f>
        <v>#VALUE!</v>
      </c>
      <c r="BL117" t="e">
        <f>AND(tecantrop!W98,"AAAAAFvfrj8=")</f>
        <v>#VALUE!</v>
      </c>
      <c r="BM117" t="e">
        <f>AND(tecantrop!X98,"AAAAAFvfrkA=")</f>
        <v>#VALUE!</v>
      </c>
      <c r="BN117">
        <f>IF(tecantrop!99:99,"AAAAAFvfrkE=",0)</f>
        <v>0</v>
      </c>
      <c r="BO117" t="e">
        <f>AND(tecantrop!A99,"AAAAAFvfrkI=")</f>
        <v>#VALUE!</v>
      </c>
      <c r="BP117" t="e">
        <f>AND(tecantrop!B99,"AAAAAFvfrkM=")</f>
        <v>#VALUE!</v>
      </c>
      <c r="BQ117" t="e">
        <f>AND(tecantrop!C99,"AAAAAFvfrkQ=")</f>
        <v>#VALUE!</v>
      </c>
      <c r="BR117" t="e">
        <f>AND(tecantrop!D99,"AAAAAFvfrkU=")</f>
        <v>#VALUE!</v>
      </c>
      <c r="BS117" t="e">
        <f>AND(tecantrop!E99,"AAAAAFvfrkY=")</f>
        <v>#VALUE!</v>
      </c>
      <c r="BT117" t="e">
        <f>AND(tecantrop!F99,"AAAAAFvfrkc=")</f>
        <v>#VALUE!</v>
      </c>
      <c r="BU117" t="e">
        <f>AND(tecantrop!G99,"AAAAAFvfrkg=")</f>
        <v>#VALUE!</v>
      </c>
      <c r="BV117" t="e">
        <f>AND(tecantrop!H99,"AAAAAFvfrkk=")</f>
        <v>#VALUE!</v>
      </c>
      <c r="BW117" t="e">
        <f>AND(tecantrop!I99,"AAAAAFvfrko=")</f>
        <v>#VALUE!</v>
      </c>
      <c r="BX117" t="e">
        <f>AND(tecantrop!J99,"AAAAAFvfrks=")</f>
        <v>#VALUE!</v>
      </c>
      <c r="BY117" t="e">
        <f>AND(tecantrop!K99,"AAAAAFvfrkw=")</f>
        <v>#VALUE!</v>
      </c>
      <c r="BZ117" t="e">
        <f>AND(tecantrop!L99,"AAAAAFvfrk0=")</f>
        <v>#VALUE!</v>
      </c>
      <c r="CA117" t="e">
        <f>AND(tecantrop!M99,"AAAAAFvfrk4=")</f>
        <v>#VALUE!</v>
      </c>
      <c r="CB117" t="e">
        <f>AND(tecantrop!N99,"AAAAAFvfrk8=")</f>
        <v>#VALUE!</v>
      </c>
      <c r="CC117" t="e">
        <f>AND(tecantrop!O99,"AAAAAFvfrlA=")</f>
        <v>#VALUE!</v>
      </c>
      <c r="CD117" t="e">
        <f>AND(tecantrop!P99,"AAAAAFvfrlE=")</f>
        <v>#VALUE!</v>
      </c>
      <c r="CE117" t="e">
        <f>AND(tecantrop!Q99,"AAAAAFvfrlI=")</f>
        <v>#VALUE!</v>
      </c>
      <c r="CF117" t="e">
        <f>AND(tecantrop!R99,"AAAAAFvfrlM=")</f>
        <v>#VALUE!</v>
      </c>
      <c r="CG117" t="e">
        <f>AND(tecantrop!S99,"AAAAAFvfrlQ=")</f>
        <v>#VALUE!</v>
      </c>
      <c r="CH117" t="e">
        <f>AND(tecantrop!T99,"AAAAAFvfrlU=")</f>
        <v>#VALUE!</v>
      </c>
      <c r="CI117" t="e">
        <f>AND(tecantrop!U99,"AAAAAFvfrlY=")</f>
        <v>#VALUE!</v>
      </c>
      <c r="CJ117" t="e">
        <f>AND(tecantrop!V99,"AAAAAFvfrlc=")</f>
        <v>#VALUE!</v>
      </c>
      <c r="CK117" t="e">
        <f>AND(tecantrop!W99,"AAAAAFvfrlg=")</f>
        <v>#VALUE!</v>
      </c>
      <c r="CL117" t="e">
        <f>AND(tecantrop!X99,"AAAAAFvfrlk=")</f>
        <v>#VALUE!</v>
      </c>
      <c r="CM117">
        <f>IF(tecantrop!100:100,"AAAAAFvfrlo=",0)</f>
        <v>0</v>
      </c>
      <c r="CN117" t="e">
        <f>AND(tecantrop!A100,"AAAAAFvfrls=")</f>
        <v>#VALUE!</v>
      </c>
      <c r="CO117" t="e">
        <f>AND(tecantrop!B100,"AAAAAFvfrlw=")</f>
        <v>#VALUE!</v>
      </c>
      <c r="CP117" t="e">
        <f>AND(tecantrop!C100,"AAAAAFvfrl0=")</f>
        <v>#VALUE!</v>
      </c>
      <c r="CQ117" t="e">
        <f>AND(tecantrop!D100,"AAAAAFvfrl4=")</f>
        <v>#VALUE!</v>
      </c>
      <c r="CR117" t="e">
        <f>AND(tecantrop!E100,"AAAAAFvfrl8=")</f>
        <v>#VALUE!</v>
      </c>
      <c r="CS117" t="e">
        <f>AND(tecantrop!F100,"AAAAAFvfrmA=")</f>
        <v>#VALUE!</v>
      </c>
      <c r="CT117" t="e">
        <f>AND(tecantrop!G100,"AAAAAFvfrmE=")</f>
        <v>#VALUE!</v>
      </c>
      <c r="CU117" t="e">
        <f>AND(tecantrop!H100,"AAAAAFvfrmI=")</f>
        <v>#VALUE!</v>
      </c>
      <c r="CV117" t="e">
        <f>AND(tecantrop!I100,"AAAAAFvfrmM=")</f>
        <v>#VALUE!</v>
      </c>
      <c r="CW117" t="e">
        <f>AND(tecantrop!J100,"AAAAAFvfrmQ=")</f>
        <v>#VALUE!</v>
      </c>
      <c r="CX117" t="e">
        <f>AND(tecantrop!K100,"AAAAAFvfrmU=")</f>
        <v>#VALUE!</v>
      </c>
      <c r="CY117" t="e">
        <f>AND(tecantrop!L100,"AAAAAFvfrmY=")</f>
        <v>#VALUE!</v>
      </c>
      <c r="CZ117" t="e">
        <f>AND(tecantrop!M100,"AAAAAFvfrmc=")</f>
        <v>#VALUE!</v>
      </c>
      <c r="DA117" t="e">
        <f>AND(tecantrop!N100,"AAAAAFvfrmg=")</f>
        <v>#VALUE!</v>
      </c>
      <c r="DB117" t="e">
        <f>AND(tecantrop!O100,"AAAAAFvfrmk=")</f>
        <v>#VALUE!</v>
      </c>
      <c r="DC117" t="e">
        <f>AND(tecantrop!P100,"AAAAAFvfrmo=")</f>
        <v>#VALUE!</v>
      </c>
      <c r="DD117" t="e">
        <f>AND(tecantrop!Q100,"AAAAAFvfrms=")</f>
        <v>#VALUE!</v>
      </c>
      <c r="DE117" t="e">
        <f>AND(tecantrop!R100,"AAAAAFvfrmw=")</f>
        <v>#VALUE!</v>
      </c>
      <c r="DF117" t="e">
        <f>AND(tecantrop!S100,"AAAAAFvfrm0=")</f>
        <v>#VALUE!</v>
      </c>
      <c r="DG117" t="e">
        <f>AND(tecantrop!T100,"AAAAAFvfrm4=")</f>
        <v>#VALUE!</v>
      </c>
      <c r="DH117" t="e">
        <f>AND(tecantrop!U100,"AAAAAFvfrm8=")</f>
        <v>#VALUE!</v>
      </c>
      <c r="DI117" t="e">
        <f>AND(tecantrop!V100,"AAAAAFvfrnA=")</f>
        <v>#VALUE!</v>
      </c>
      <c r="DJ117" t="e">
        <f>AND(tecantrop!W100,"AAAAAFvfrnE=")</f>
        <v>#VALUE!</v>
      </c>
      <c r="DK117" t="e">
        <f>AND(tecantrop!X100,"AAAAAFvfrnI=")</f>
        <v>#VALUE!</v>
      </c>
      <c r="DL117">
        <f>IF(tecantrop!101:101,"AAAAAFvfrnM=",0)</f>
        <v>0</v>
      </c>
      <c r="DM117" t="e">
        <f>AND(tecantrop!A101,"AAAAAFvfrnQ=")</f>
        <v>#VALUE!</v>
      </c>
      <c r="DN117" t="e">
        <f>AND(tecantrop!B101,"AAAAAFvfrnU=")</f>
        <v>#VALUE!</v>
      </c>
      <c r="DO117" t="e">
        <f>AND(tecantrop!C101,"AAAAAFvfrnY=")</f>
        <v>#VALUE!</v>
      </c>
      <c r="DP117" t="e">
        <f>AND(tecantrop!D101,"AAAAAFvfrnc=")</f>
        <v>#VALUE!</v>
      </c>
      <c r="DQ117" t="e">
        <f>AND(tecantrop!E101,"AAAAAFvfrng=")</f>
        <v>#VALUE!</v>
      </c>
      <c r="DR117" t="e">
        <f>AND(tecantrop!F101,"AAAAAFvfrnk=")</f>
        <v>#VALUE!</v>
      </c>
      <c r="DS117" t="e">
        <f>AND(tecantrop!G101,"AAAAAFvfrno=")</f>
        <v>#VALUE!</v>
      </c>
      <c r="DT117" t="e">
        <f>AND(tecantrop!H101,"AAAAAFvfrns=")</f>
        <v>#VALUE!</v>
      </c>
      <c r="DU117" t="e">
        <f>AND(tecantrop!I101,"AAAAAFvfrnw=")</f>
        <v>#VALUE!</v>
      </c>
      <c r="DV117" t="e">
        <f>AND(tecantrop!J101,"AAAAAFvfrn0=")</f>
        <v>#VALUE!</v>
      </c>
      <c r="DW117" t="e">
        <f>AND(tecantrop!K101,"AAAAAFvfrn4=")</f>
        <v>#VALUE!</v>
      </c>
      <c r="DX117" t="e">
        <f>AND(tecantrop!L101,"AAAAAFvfrn8=")</f>
        <v>#VALUE!</v>
      </c>
      <c r="DY117" t="e">
        <f>AND(tecantrop!M101,"AAAAAFvfroA=")</f>
        <v>#VALUE!</v>
      </c>
      <c r="DZ117" t="e">
        <f>AND(tecantrop!N101,"AAAAAFvfroE=")</f>
        <v>#VALUE!</v>
      </c>
      <c r="EA117" t="e">
        <f>AND(tecantrop!O101,"AAAAAFvfroI=")</f>
        <v>#VALUE!</v>
      </c>
      <c r="EB117" t="e">
        <f>AND(tecantrop!P101,"AAAAAFvfroM=")</f>
        <v>#VALUE!</v>
      </c>
      <c r="EC117" t="e">
        <f>AND(tecantrop!Q101,"AAAAAFvfroQ=")</f>
        <v>#VALUE!</v>
      </c>
      <c r="ED117" t="e">
        <f>AND(tecantrop!R101,"AAAAAFvfroU=")</f>
        <v>#VALUE!</v>
      </c>
      <c r="EE117" t="e">
        <f>AND(tecantrop!S101,"AAAAAFvfroY=")</f>
        <v>#VALUE!</v>
      </c>
      <c r="EF117" t="e">
        <f>AND(tecantrop!T101,"AAAAAFvfroc=")</f>
        <v>#VALUE!</v>
      </c>
      <c r="EG117" t="e">
        <f>AND(tecantrop!U101,"AAAAAFvfrog=")</f>
        <v>#VALUE!</v>
      </c>
      <c r="EH117" t="e">
        <f>AND(tecantrop!V101,"AAAAAFvfrok=")</f>
        <v>#VALUE!</v>
      </c>
      <c r="EI117" t="e">
        <f>AND(tecantrop!W101,"AAAAAFvfroo=")</f>
        <v>#VALUE!</v>
      </c>
      <c r="EJ117" t="e">
        <f>AND(tecantrop!X101,"AAAAAFvfros=")</f>
        <v>#VALUE!</v>
      </c>
      <c r="EK117">
        <f>IF(tecantrop!102:102,"AAAAAFvfrow=",0)</f>
        <v>0</v>
      </c>
      <c r="EL117" t="e">
        <f>AND(tecantrop!A102,"AAAAAFvfro0=")</f>
        <v>#VALUE!</v>
      </c>
      <c r="EM117" t="e">
        <f>AND(tecantrop!B102,"AAAAAFvfro4=")</f>
        <v>#VALUE!</v>
      </c>
      <c r="EN117" t="e">
        <f>AND(tecantrop!C102,"AAAAAFvfro8=")</f>
        <v>#VALUE!</v>
      </c>
      <c r="EO117" t="e">
        <f>AND(tecantrop!D102,"AAAAAFvfrpA=")</f>
        <v>#VALUE!</v>
      </c>
      <c r="EP117" t="e">
        <f>AND(tecantrop!E102,"AAAAAFvfrpE=")</f>
        <v>#VALUE!</v>
      </c>
      <c r="EQ117" t="e">
        <f>AND(tecantrop!F102,"AAAAAFvfrpI=")</f>
        <v>#VALUE!</v>
      </c>
      <c r="ER117" t="e">
        <f>AND(tecantrop!G102,"AAAAAFvfrpM=")</f>
        <v>#VALUE!</v>
      </c>
      <c r="ES117" t="e">
        <f>AND(tecantrop!H102,"AAAAAFvfrpQ=")</f>
        <v>#VALUE!</v>
      </c>
      <c r="ET117" t="e">
        <f>AND(tecantrop!I102,"AAAAAFvfrpU=")</f>
        <v>#VALUE!</v>
      </c>
      <c r="EU117" t="e">
        <f>AND(tecantrop!J102,"AAAAAFvfrpY=")</f>
        <v>#VALUE!</v>
      </c>
      <c r="EV117" t="e">
        <f>AND(tecantrop!K102,"AAAAAFvfrpc=")</f>
        <v>#VALUE!</v>
      </c>
      <c r="EW117" t="e">
        <f>AND(tecantrop!L102,"AAAAAFvfrpg=")</f>
        <v>#VALUE!</v>
      </c>
      <c r="EX117" t="e">
        <f>AND(tecantrop!M102,"AAAAAFvfrpk=")</f>
        <v>#VALUE!</v>
      </c>
      <c r="EY117" t="e">
        <f>AND(tecantrop!N102,"AAAAAFvfrpo=")</f>
        <v>#VALUE!</v>
      </c>
      <c r="EZ117" t="e">
        <f>AND(tecantrop!O102,"AAAAAFvfrps=")</f>
        <v>#VALUE!</v>
      </c>
      <c r="FA117" t="e">
        <f>AND(tecantrop!P102,"AAAAAFvfrpw=")</f>
        <v>#VALUE!</v>
      </c>
      <c r="FB117" t="e">
        <f>AND(tecantrop!Q102,"AAAAAFvfrp0=")</f>
        <v>#VALUE!</v>
      </c>
      <c r="FC117" t="e">
        <f>AND(tecantrop!R102,"AAAAAFvfrp4=")</f>
        <v>#VALUE!</v>
      </c>
      <c r="FD117" t="e">
        <f>AND(tecantrop!S102,"AAAAAFvfrp8=")</f>
        <v>#VALUE!</v>
      </c>
      <c r="FE117" t="e">
        <f>AND(tecantrop!T102,"AAAAAFvfrqA=")</f>
        <v>#VALUE!</v>
      </c>
      <c r="FF117" t="e">
        <f>AND(tecantrop!U102,"AAAAAFvfrqE=")</f>
        <v>#VALUE!</v>
      </c>
      <c r="FG117" t="e">
        <f>AND(tecantrop!V102,"AAAAAFvfrqI=")</f>
        <v>#VALUE!</v>
      </c>
      <c r="FH117" t="e">
        <f>AND(tecantrop!W102,"AAAAAFvfrqM=")</f>
        <v>#VALUE!</v>
      </c>
      <c r="FI117" t="e">
        <f>AND(tecantrop!X102,"AAAAAFvfrqQ=")</f>
        <v>#VALUE!</v>
      </c>
      <c r="FJ117">
        <f>IF(tecantrop!103:103,"AAAAAFvfrqU=",0)</f>
        <v>0</v>
      </c>
      <c r="FK117" t="e">
        <f>AND(tecantrop!A103,"AAAAAFvfrqY=")</f>
        <v>#VALUE!</v>
      </c>
      <c r="FL117" t="e">
        <f>AND(tecantrop!B103,"AAAAAFvfrqc=")</f>
        <v>#VALUE!</v>
      </c>
      <c r="FM117" t="e">
        <f>AND(tecantrop!C103,"AAAAAFvfrqg=")</f>
        <v>#VALUE!</v>
      </c>
      <c r="FN117" t="e">
        <f>AND(tecantrop!D103,"AAAAAFvfrqk=")</f>
        <v>#VALUE!</v>
      </c>
      <c r="FO117" t="e">
        <f>AND(tecantrop!E103,"AAAAAFvfrqo=")</f>
        <v>#VALUE!</v>
      </c>
      <c r="FP117" t="e">
        <f>AND(tecantrop!F103,"AAAAAFvfrqs=")</f>
        <v>#VALUE!</v>
      </c>
      <c r="FQ117" t="e">
        <f>AND(tecantrop!G103,"AAAAAFvfrqw=")</f>
        <v>#VALUE!</v>
      </c>
      <c r="FR117" t="e">
        <f>AND(tecantrop!H103,"AAAAAFvfrq0=")</f>
        <v>#VALUE!</v>
      </c>
      <c r="FS117" t="e">
        <f>AND(tecantrop!I103,"AAAAAFvfrq4=")</f>
        <v>#VALUE!</v>
      </c>
      <c r="FT117" t="e">
        <f>AND(tecantrop!J103,"AAAAAFvfrq8=")</f>
        <v>#VALUE!</v>
      </c>
      <c r="FU117" t="e">
        <f>AND(tecantrop!K103,"AAAAAFvfrrA=")</f>
        <v>#VALUE!</v>
      </c>
      <c r="FV117" t="e">
        <f>AND(tecantrop!L103,"AAAAAFvfrrE=")</f>
        <v>#VALUE!</v>
      </c>
      <c r="FW117" t="e">
        <f>AND(tecantrop!M103,"AAAAAFvfrrI=")</f>
        <v>#VALUE!</v>
      </c>
      <c r="FX117" t="e">
        <f>AND(tecantrop!N103,"AAAAAFvfrrM=")</f>
        <v>#VALUE!</v>
      </c>
      <c r="FY117" t="e">
        <f>AND(tecantrop!O103,"AAAAAFvfrrQ=")</f>
        <v>#VALUE!</v>
      </c>
      <c r="FZ117" t="e">
        <f>AND(tecantrop!P103,"AAAAAFvfrrU=")</f>
        <v>#VALUE!</v>
      </c>
      <c r="GA117" t="e">
        <f>AND(tecantrop!Q103,"AAAAAFvfrrY=")</f>
        <v>#VALUE!</v>
      </c>
      <c r="GB117" t="e">
        <f>AND(tecantrop!R103,"AAAAAFvfrrc=")</f>
        <v>#VALUE!</v>
      </c>
      <c r="GC117" t="e">
        <f>AND(tecantrop!S103,"AAAAAFvfrrg=")</f>
        <v>#VALUE!</v>
      </c>
      <c r="GD117" t="e">
        <f>AND(tecantrop!T103,"AAAAAFvfrrk=")</f>
        <v>#VALUE!</v>
      </c>
      <c r="GE117" t="e">
        <f>AND(tecantrop!U103,"AAAAAFvfrro=")</f>
        <v>#VALUE!</v>
      </c>
      <c r="GF117" t="e">
        <f>AND(tecantrop!V103,"AAAAAFvfrrs=")</f>
        <v>#VALUE!</v>
      </c>
      <c r="GG117" t="e">
        <f>AND(tecantrop!W103,"AAAAAFvfrrw=")</f>
        <v>#VALUE!</v>
      </c>
      <c r="GH117" t="e">
        <f>AND(tecantrop!X103,"AAAAAFvfrr0=")</f>
        <v>#VALUE!</v>
      </c>
      <c r="GI117">
        <f>IF(tecantrop!104:104,"AAAAAFvfrr4=",0)</f>
        <v>0</v>
      </c>
      <c r="GJ117" t="e">
        <f>AND(tecantrop!A104,"AAAAAFvfrr8=")</f>
        <v>#VALUE!</v>
      </c>
      <c r="GK117" t="e">
        <f>AND(tecantrop!B104,"AAAAAFvfrsA=")</f>
        <v>#VALUE!</v>
      </c>
      <c r="GL117" t="e">
        <f>AND(tecantrop!C104,"AAAAAFvfrsE=")</f>
        <v>#VALUE!</v>
      </c>
      <c r="GM117" t="e">
        <f>AND(tecantrop!D104,"AAAAAFvfrsI=")</f>
        <v>#VALUE!</v>
      </c>
      <c r="GN117" t="e">
        <f>AND(tecantrop!E104,"AAAAAFvfrsM=")</f>
        <v>#VALUE!</v>
      </c>
      <c r="GO117" t="e">
        <f>AND(tecantrop!F104,"AAAAAFvfrsQ=")</f>
        <v>#VALUE!</v>
      </c>
      <c r="GP117" t="e">
        <f>AND(tecantrop!G104,"AAAAAFvfrsU=")</f>
        <v>#VALUE!</v>
      </c>
      <c r="GQ117" t="e">
        <f>AND(tecantrop!H104,"AAAAAFvfrsY=")</f>
        <v>#VALUE!</v>
      </c>
      <c r="GR117" t="e">
        <f>AND(tecantrop!I104,"AAAAAFvfrsc=")</f>
        <v>#VALUE!</v>
      </c>
      <c r="GS117" t="e">
        <f>AND(tecantrop!J104,"AAAAAFvfrsg=")</f>
        <v>#VALUE!</v>
      </c>
      <c r="GT117" t="e">
        <f>AND(tecantrop!K104,"AAAAAFvfrsk=")</f>
        <v>#VALUE!</v>
      </c>
      <c r="GU117" t="e">
        <f>AND(tecantrop!L104,"AAAAAFvfrso=")</f>
        <v>#VALUE!</v>
      </c>
      <c r="GV117" t="e">
        <f>AND(tecantrop!M104,"AAAAAFvfrss=")</f>
        <v>#VALUE!</v>
      </c>
      <c r="GW117" t="e">
        <f>AND(tecantrop!N104,"AAAAAFvfrsw=")</f>
        <v>#VALUE!</v>
      </c>
      <c r="GX117" t="e">
        <f>AND(tecantrop!O104,"AAAAAFvfrs0=")</f>
        <v>#VALUE!</v>
      </c>
      <c r="GY117" t="e">
        <f>AND(tecantrop!P104,"AAAAAFvfrs4=")</f>
        <v>#VALUE!</v>
      </c>
      <c r="GZ117" t="e">
        <f>AND(tecantrop!Q104,"AAAAAFvfrs8=")</f>
        <v>#VALUE!</v>
      </c>
      <c r="HA117" t="e">
        <f>AND(tecantrop!R104,"AAAAAFvfrtA=")</f>
        <v>#VALUE!</v>
      </c>
      <c r="HB117" t="e">
        <f>AND(tecantrop!S104,"AAAAAFvfrtE=")</f>
        <v>#VALUE!</v>
      </c>
      <c r="HC117" t="e">
        <f>AND(tecantrop!T104,"AAAAAFvfrtI=")</f>
        <v>#VALUE!</v>
      </c>
      <c r="HD117" t="e">
        <f>AND(tecantrop!U104,"AAAAAFvfrtM=")</f>
        <v>#VALUE!</v>
      </c>
      <c r="HE117" t="e">
        <f>AND(tecantrop!V104,"AAAAAFvfrtQ=")</f>
        <v>#VALUE!</v>
      </c>
      <c r="HF117" t="e">
        <f>AND(tecantrop!W104,"AAAAAFvfrtU=")</f>
        <v>#VALUE!</v>
      </c>
      <c r="HG117" t="e">
        <f>AND(tecantrop!X104,"AAAAAFvfrtY=")</f>
        <v>#VALUE!</v>
      </c>
      <c r="HH117">
        <f>IF(tecantrop!105:105,"AAAAAFvfrtc=",0)</f>
        <v>0</v>
      </c>
      <c r="HI117" t="e">
        <f>AND(tecantrop!A105,"AAAAAFvfrtg=")</f>
        <v>#VALUE!</v>
      </c>
      <c r="HJ117" t="e">
        <f>AND(tecantrop!B105,"AAAAAFvfrtk=")</f>
        <v>#VALUE!</v>
      </c>
      <c r="HK117" t="e">
        <f>AND(tecantrop!C105,"AAAAAFvfrto=")</f>
        <v>#VALUE!</v>
      </c>
      <c r="HL117" t="e">
        <f>AND(tecantrop!D105,"AAAAAFvfrts=")</f>
        <v>#VALUE!</v>
      </c>
      <c r="HM117" t="e">
        <f>AND(tecantrop!E105,"AAAAAFvfrtw=")</f>
        <v>#VALUE!</v>
      </c>
      <c r="HN117" t="e">
        <f>AND(tecantrop!F105,"AAAAAFvfrt0=")</f>
        <v>#VALUE!</v>
      </c>
      <c r="HO117" t="e">
        <f>AND(tecantrop!G105,"AAAAAFvfrt4=")</f>
        <v>#VALUE!</v>
      </c>
      <c r="HP117" t="e">
        <f>AND(tecantrop!H105,"AAAAAFvfrt8=")</f>
        <v>#VALUE!</v>
      </c>
      <c r="HQ117" t="e">
        <f>AND(tecantrop!I105,"AAAAAFvfruA=")</f>
        <v>#VALUE!</v>
      </c>
      <c r="HR117" t="e">
        <f>AND(tecantrop!J105,"AAAAAFvfruE=")</f>
        <v>#VALUE!</v>
      </c>
      <c r="HS117" t="e">
        <f>AND(tecantrop!K105,"AAAAAFvfruI=")</f>
        <v>#VALUE!</v>
      </c>
      <c r="HT117" t="e">
        <f>AND(tecantrop!L105,"AAAAAFvfruM=")</f>
        <v>#VALUE!</v>
      </c>
      <c r="HU117" t="e">
        <f>AND(tecantrop!M105,"AAAAAFvfruQ=")</f>
        <v>#VALUE!</v>
      </c>
      <c r="HV117" t="e">
        <f>AND(tecantrop!N105,"AAAAAFvfruU=")</f>
        <v>#VALUE!</v>
      </c>
      <c r="HW117" t="e">
        <f>AND(tecantrop!O105,"AAAAAFvfruY=")</f>
        <v>#VALUE!</v>
      </c>
      <c r="HX117" t="e">
        <f>AND(tecantrop!P105,"AAAAAFvfruc=")</f>
        <v>#VALUE!</v>
      </c>
      <c r="HY117" t="e">
        <f>AND(tecantrop!Q105,"AAAAAFvfrug=")</f>
        <v>#VALUE!</v>
      </c>
      <c r="HZ117" t="e">
        <f>AND(tecantrop!R105,"AAAAAFvfruk=")</f>
        <v>#VALUE!</v>
      </c>
      <c r="IA117" t="e">
        <f>AND(tecantrop!S105,"AAAAAFvfruo=")</f>
        <v>#VALUE!</v>
      </c>
      <c r="IB117" t="e">
        <f>AND(tecantrop!T105,"AAAAAFvfrus=")</f>
        <v>#VALUE!</v>
      </c>
      <c r="IC117" t="e">
        <f>AND(tecantrop!U105,"AAAAAFvfruw=")</f>
        <v>#VALUE!</v>
      </c>
      <c r="ID117" t="e">
        <f>AND(tecantrop!V105,"AAAAAFvfru0=")</f>
        <v>#VALUE!</v>
      </c>
      <c r="IE117" t="e">
        <f>AND(tecantrop!W105,"AAAAAFvfru4=")</f>
        <v>#VALUE!</v>
      </c>
      <c r="IF117" t="e">
        <f>AND(tecantrop!X105,"AAAAAFvfru8=")</f>
        <v>#VALUE!</v>
      </c>
      <c r="IG117">
        <f>IF(tecantrop!106:106,"AAAAAFvfrvA=",0)</f>
        <v>0</v>
      </c>
      <c r="IH117" t="e">
        <f>AND(tecantrop!A106,"AAAAAFvfrvE=")</f>
        <v>#VALUE!</v>
      </c>
      <c r="II117" t="e">
        <f>AND(tecantrop!B106,"AAAAAFvfrvI=")</f>
        <v>#VALUE!</v>
      </c>
      <c r="IJ117" t="e">
        <f>AND(tecantrop!C106,"AAAAAFvfrvM=")</f>
        <v>#VALUE!</v>
      </c>
      <c r="IK117" t="e">
        <f>AND(tecantrop!D106,"AAAAAFvfrvQ=")</f>
        <v>#VALUE!</v>
      </c>
      <c r="IL117" t="e">
        <f>AND(tecantrop!E106,"AAAAAFvfrvU=")</f>
        <v>#VALUE!</v>
      </c>
      <c r="IM117" t="e">
        <f>AND(tecantrop!F106,"AAAAAFvfrvY=")</f>
        <v>#VALUE!</v>
      </c>
      <c r="IN117" t="e">
        <f>AND(tecantrop!G106,"AAAAAFvfrvc=")</f>
        <v>#VALUE!</v>
      </c>
      <c r="IO117" t="e">
        <f>AND(tecantrop!H106,"AAAAAFvfrvg=")</f>
        <v>#VALUE!</v>
      </c>
      <c r="IP117" t="e">
        <f>AND(tecantrop!I106,"AAAAAFvfrvk=")</f>
        <v>#VALUE!</v>
      </c>
      <c r="IQ117" t="e">
        <f>AND(tecantrop!J106,"AAAAAFvfrvo=")</f>
        <v>#VALUE!</v>
      </c>
      <c r="IR117" t="e">
        <f>AND(tecantrop!K106,"AAAAAFvfrvs=")</f>
        <v>#VALUE!</v>
      </c>
      <c r="IS117" t="e">
        <f>AND(tecantrop!L106,"AAAAAFvfrvw=")</f>
        <v>#VALUE!</v>
      </c>
      <c r="IT117" t="e">
        <f>AND(tecantrop!M106,"AAAAAFvfrv0=")</f>
        <v>#VALUE!</v>
      </c>
      <c r="IU117" t="e">
        <f>AND(tecantrop!N106,"AAAAAFvfrv4=")</f>
        <v>#VALUE!</v>
      </c>
      <c r="IV117" t="e">
        <f>AND(tecantrop!O106,"AAAAAFvfrv8=")</f>
        <v>#VALUE!</v>
      </c>
    </row>
    <row r="118" spans="1:256" x14ac:dyDescent="0.2">
      <c r="A118" t="e">
        <f>AND(tecantrop!P106,"AAAAADL/nQA=")</f>
        <v>#VALUE!</v>
      </c>
      <c r="B118" t="e">
        <f>AND(tecantrop!Q106,"AAAAADL/nQE=")</f>
        <v>#VALUE!</v>
      </c>
      <c r="C118" t="e">
        <f>AND(tecantrop!R106,"AAAAADL/nQI=")</f>
        <v>#VALUE!</v>
      </c>
      <c r="D118" t="e">
        <f>AND(tecantrop!S106,"AAAAADL/nQM=")</f>
        <v>#VALUE!</v>
      </c>
      <c r="E118" t="e">
        <f>AND(tecantrop!T106,"AAAAADL/nQQ=")</f>
        <v>#VALUE!</v>
      </c>
      <c r="F118" t="e">
        <f>AND(tecantrop!U106,"AAAAADL/nQU=")</f>
        <v>#VALUE!</v>
      </c>
      <c r="G118" t="e">
        <f>AND(tecantrop!V106,"AAAAADL/nQY=")</f>
        <v>#VALUE!</v>
      </c>
      <c r="H118" t="e">
        <f>AND(tecantrop!W106,"AAAAADL/nQc=")</f>
        <v>#VALUE!</v>
      </c>
      <c r="I118" t="e">
        <f>AND(tecantrop!X106,"AAAAADL/nQg=")</f>
        <v>#VALUE!</v>
      </c>
      <c r="J118">
        <f>IF(tecantrop!107:107,"AAAAADL/nQk=",0)</f>
        <v>0</v>
      </c>
      <c r="K118" t="e">
        <f>AND(tecantrop!A107,"AAAAADL/nQo=")</f>
        <v>#VALUE!</v>
      </c>
      <c r="L118" t="e">
        <f>AND(tecantrop!B107,"AAAAADL/nQs=")</f>
        <v>#VALUE!</v>
      </c>
      <c r="M118" t="e">
        <f>AND(tecantrop!C107,"AAAAADL/nQw=")</f>
        <v>#VALUE!</v>
      </c>
      <c r="N118" t="e">
        <f>AND(tecantrop!D107,"AAAAADL/nQ0=")</f>
        <v>#VALUE!</v>
      </c>
      <c r="O118" t="e">
        <f>AND(tecantrop!E107,"AAAAADL/nQ4=")</f>
        <v>#VALUE!</v>
      </c>
      <c r="P118" t="e">
        <f>AND(tecantrop!F107,"AAAAADL/nQ8=")</f>
        <v>#VALUE!</v>
      </c>
      <c r="Q118" t="e">
        <f>AND(tecantrop!G107,"AAAAADL/nRA=")</f>
        <v>#VALUE!</v>
      </c>
      <c r="R118" t="e">
        <f>AND(tecantrop!H107,"AAAAADL/nRE=")</f>
        <v>#VALUE!</v>
      </c>
      <c r="S118" t="e">
        <f>AND(tecantrop!I107,"AAAAADL/nRI=")</f>
        <v>#VALUE!</v>
      </c>
      <c r="T118" t="e">
        <f>AND(tecantrop!J107,"AAAAADL/nRM=")</f>
        <v>#VALUE!</v>
      </c>
      <c r="U118" t="e">
        <f>AND(tecantrop!K107,"AAAAADL/nRQ=")</f>
        <v>#VALUE!</v>
      </c>
      <c r="V118" t="e">
        <f>AND(tecantrop!L107,"AAAAADL/nRU=")</f>
        <v>#VALUE!</v>
      </c>
      <c r="W118" t="e">
        <f>AND(tecantrop!M107,"AAAAADL/nRY=")</f>
        <v>#VALUE!</v>
      </c>
      <c r="X118" t="e">
        <f>AND(tecantrop!N107,"AAAAADL/nRc=")</f>
        <v>#VALUE!</v>
      </c>
      <c r="Y118" t="e">
        <f>AND(tecantrop!O107,"AAAAADL/nRg=")</f>
        <v>#VALUE!</v>
      </c>
      <c r="Z118" t="e">
        <f>AND(tecantrop!P107,"AAAAADL/nRk=")</f>
        <v>#VALUE!</v>
      </c>
      <c r="AA118" t="e">
        <f>AND(tecantrop!Q107,"AAAAADL/nRo=")</f>
        <v>#VALUE!</v>
      </c>
      <c r="AB118" t="e">
        <f>AND(tecantrop!R107,"AAAAADL/nRs=")</f>
        <v>#VALUE!</v>
      </c>
      <c r="AC118" t="e">
        <f>AND(tecantrop!S107,"AAAAADL/nRw=")</f>
        <v>#VALUE!</v>
      </c>
      <c r="AD118" t="e">
        <f>AND(tecantrop!T107,"AAAAADL/nR0=")</f>
        <v>#VALUE!</v>
      </c>
      <c r="AE118" t="e">
        <f>AND(tecantrop!U107,"AAAAADL/nR4=")</f>
        <v>#VALUE!</v>
      </c>
      <c r="AF118" t="e">
        <f>AND(tecantrop!V107,"AAAAADL/nR8=")</f>
        <v>#VALUE!</v>
      </c>
      <c r="AG118" t="e">
        <f>AND(tecantrop!W107,"AAAAADL/nSA=")</f>
        <v>#VALUE!</v>
      </c>
      <c r="AH118" t="e">
        <f>AND(tecantrop!X107,"AAAAADL/nSE=")</f>
        <v>#VALUE!</v>
      </c>
      <c r="AI118">
        <f>IF(tecantrop!108:108,"AAAAADL/nSI=",0)</f>
        <v>0</v>
      </c>
      <c r="AJ118" t="e">
        <f>AND(tecantrop!A108,"AAAAADL/nSM=")</f>
        <v>#VALUE!</v>
      </c>
      <c r="AK118" t="e">
        <f>AND(tecantrop!B108,"AAAAADL/nSQ=")</f>
        <v>#VALUE!</v>
      </c>
      <c r="AL118" t="e">
        <f>AND(tecantrop!C108,"AAAAADL/nSU=")</f>
        <v>#VALUE!</v>
      </c>
      <c r="AM118" t="e">
        <f>AND(tecantrop!D108,"AAAAADL/nSY=")</f>
        <v>#VALUE!</v>
      </c>
      <c r="AN118" t="e">
        <f>AND(tecantrop!E108,"AAAAADL/nSc=")</f>
        <v>#VALUE!</v>
      </c>
      <c r="AO118" t="e">
        <f>AND(tecantrop!F108,"AAAAADL/nSg=")</f>
        <v>#VALUE!</v>
      </c>
      <c r="AP118" t="e">
        <f>AND(tecantrop!G108,"AAAAADL/nSk=")</f>
        <v>#VALUE!</v>
      </c>
      <c r="AQ118" t="e">
        <f>AND(tecantrop!H108,"AAAAADL/nSo=")</f>
        <v>#VALUE!</v>
      </c>
      <c r="AR118" t="e">
        <f>AND(tecantrop!I108,"AAAAADL/nSs=")</f>
        <v>#VALUE!</v>
      </c>
      <c r="AS118" t="e">
        <f>AND(tecantrop!J108,"AAAAADL/nSw=")</f>
        <v>#VALUE!</v>
      </c>
      <c r="AT118" t="e">
        <f>AND(tecantrop!K108,"AAAAADL/nS0=")</f>
        <v>#VALUE!</v>
      </c>
      <c r="AU118" t="e">
        <f>AND(tecantrop!L108,"AAAAADL/nS4=")</f>
        <v>#VALUE!</v>
      </c>
      <c r="AV118" t="e">
        <f>AND(tecantrop!M108,"AAAAADL/nS8=")</f>
        <v>#VALUE!</v>
      </c>
      <c r="AW118" t="e">
        <f>AND(tecantrop!N108,"AAAAADL/nTA=")</f>
        <v>#VALUE!</v>
      </c>
      <c r="AX118" t="e">
        <f>AND(tecantrop!O108,"AAAAADL/nTE=")</f>
        <v>#VALUE!</v>
      </c>
      <c r="AY118" t="e">
        <f>AND(tecantrop!P108,"AAAAADL/nTI=")</f>
        <v>#VALUE!</v>
      </c>
      <c r="AZ118" t="e">
        <f>AND(tecantrop!Q108,"AAAAADL/nTM=")</f>
        <v>#VALUE!</v>
      </c>
      <c r="BA118" t="e">
        <f>AND(tecantrop!R108,"AAAAADL/nTQ=")</f>
        <v>#VALUE!</v>
      </c>
      <c r="BB118" t="e">
        <f>AND(tecantrop!S108,"AAAAADL/nTU=")</f>
        <v>#VALUE!</v>
      </c>
      <c r="BC118" t="e">
        <f>AND(tecantrop!T108,"AAAAADL/nTY=")</f>
        <v>#VALUE!</v>
      </c>
      <c r="BD118" t="e">
        <f>AND(tecantrop!U108,"AAAAADL/nTc=")</f>
        <v>#VALUE!</v>
      </c>
      <c r="BE118" t="e">
        <f>AND(tecantrop!V108,"AAAAADL/nTg=")</f>
        <v>#VALUE!</v>
      </c>
      <c r="BF118" t="e">
        <f>AND(tecantrop!W108,"AAAAADL/nTk=")</f>
        <v>#VALUE!</v>
      </c>
      <c r="BG118" t="e">
        <f>AND(tecantrop!X108,"AAAAADL/nTo=")</f>
        <v>#VALUE!</v>
      </c>
      <c r="BH118">
        <f>IF(tecantrop!109:109,"AAAAADL/nTs=",0)</f>
        <v>0</v>
      </c>
      <c r="BI118" t="e">
        <f>AND(tecantrop!A109,"AAAAADL/nTw=")</f>
        <v>#VALUE!</v>
      </c>
      <c r="BJ118" t="e">
        <f>AND(tecantrop!B109,"AAAAADL/nT0=")</f>
        <v>#VALUE!</v>
      </c>
      <c r="BK118" t="e">
        <f>AND(tecantrop!C109,"AAAAADL/nT4=")</f>
        <v>#VALUE!</v>
      </c>
      <c r="BL118" t="e">
        <f>AND(tecantrop!D109,"AAAAADL/nT8=")</f>
        <v>#VALUE!</v>
      </c>
      <c r="BM118" t="e">
        <f>AND(tecantrop!E109,"AAAAADL/nUA=")</f>
        <v>#VALUE!</v>
      </c>
      <c r="BN118" t="e">
        <f>AND(tecantrop!F109,"AAAAADL/nUE=")</f>
        <v>#VALUE!</v>
      </c>
      <c r="BO118" t="e">
        <f>AND(tecantrop!G109,"AAAAADL/nUI=")</f>
        <v>#VALUE!</v>
      </c>
      <c r="BP118" t="e">
        <f>AND(tecantrop!H109,"AAAAADL/nUM=")</f>
        <v>#VALUE!</v>
      </c>
      <c r="BQ118" t="e">
        <f>AND(tecantrop!I109,"AAAAADL/nUQ=")</f>
        <v>#VALUE!</v>
      </c>
      <c r="BR118" t="e">
        <f>AND(tecantrop!J109,"AAAAADL/nUU=")</f>
        <v>#VALUE!</v>
      </c>
      <c r="BS118" t="e">
        <f>AND(tecantrop!K109,"AAAAADL/nUY=")</f>
        <v>#VALUE!</v>
      </c>
      <c r="BT118" t="e">
        <f>AND(tecantrop!L109,"AAAAADL/nUc=")</f>
        <v>#VALUE!</v>
      </c>
      <c r="BU118" t="e">
        <f>AND(tecantrop!M109,"AAAAADL/nUg=")</f>
        <v>#VALUE!</v>
      </c>
      <c r="BV118" t="e">
        <f>AND(tecantrop!N109,"AAAAADL/nUk=")</f>
        <v>#VALUE!</v>
      </c>
      <c r="BW118" t="e">
        <f>AND(tecantrop!O109,"AAAAADL/nUo=")</f>
        <v>#VALUE!</v>
      </c>
      <c r="BX118" t="e">
        <f>AND(tecantrop!P109,"AAAAADL/nUs=")</f>
        <v>#VALUE!</v>
      </c>
      <c r="BY118" t="e">
        <f>AND(tecantrop!Q109,"AAAAADL/nUw=")</f>
        <v>#VALUE!</v>
      </c>
      <c r="BZ118" t="e">
        <f>AND(tecantrop!R109,"AAAAADL/nU0=")</f>
        <v>#VALUE!</v>
      </c>
      <c r="CA118" t="e">
        <f>AND(tecantrop!S109,"AAAAADL/nU4=")</f>
        <v>#VALUE!</v>
      </c>
      <c r="CB118" t="e">
        <f>AND(tecantrop!T109,"AAAAADL/nU8=")</f>
        <v>#VALUE!</v>
      </c>
      <c r="CC118" t="e">
        <f>AND(tecantrop!U109,"AAAAADL/nVA=")</f>
        <v>#VALUE!</v>
      </c>
      <c r="CD118" t="e">
        <f>AND(tecantrop!V109,"AAAAADL/nVE=")</f>
        <v>#VALUE!</v>
      </c>
      <c r="CE118" t="e">
        <f>AND(tecantrop!W109,"AAAAADL/nVI=")</f>
        <v>#VALUE!</v>
      </c>
      <c r="CF118" t="e">
        <f>AND(tecantrop!X109,"AAAAADL/nVM=")</f>
        <v>#VALUE!</v>
      </c>
      <c r="CG118">
        <f>IF(tecantrop!110:110,"AAAAADL/nVQ=",0)</f>
        <v>0</v>
      </c>
      <c r="CH118" t="e">
        <f>AND(tecantrop!A110,"AAAAADL/nVU=")</f>
        <v>#VALUE!</v>
      </c>
      <c r="CI118" t="e">
        <f>AND(tecantrop!B110,"AAAAADL/nVY=")</f>
        <v>#VALUE!</v>
      </c>
      <c r="CJ118" t="e">
        <f>AND(tecantrop!C110,"AAAAADL/nVc=")</f>
        <v>#VALUE!</v>
      </c>
      <c r="CK118" t="e">
        <f>AND(tecantrop!D110,"AAAAADL/nVg=")</f>
        <v>#VALUE!</v>
      </c>
      <c r="CL118" t="e">
        <f>AND(tecantrop!E110,"AAAAADL/nVk=")</f>
        <v>#VALUE!</v>
      </c>
      <c r="CM118" t="e">
        <f>AND(tecantrop!F110,"AAAAADL/nVo=")</f>
        <v>#VALUE!</v>
      </c>
      <c r="CN118" t="e">
        <f>AND(tecantrop!G110,"AAAAADL/nVs=")</f>
        <v>#VALUE!</v>
      </c>
      <c r="CO118" t="e">
        <f>AND(tecantrop!H110,"AAAAADL/nVw=")</f>
        <v>#VALUE!</v>
      </c>
      <c r="CP118" t="e">
        <f>AND(tecantrop!I110,"AAAAADL/nV0=")</f>
        <v>#VALUE!</v>
      </c>
      <c r="CQ118" t="e">
        <f>AND(tecantrop!J110,"AAAAADL/nV4=")</f>
        <v>#VALUE!</v>
      </c>
      <c r="CR118" t="e">
        <f>AND(tecantrop!K110,"AAAAADL/nV8=")</f>
        <v>#VALUE!</v>
      </c>
      <c r="CS118" t="e">
        <f>AND(tecantrop!L110,"AAAAADL/nWA=")</f>
        <v>#VALUE!</v>
      </c>
      <c r="CT118" t="e">
        <f>AND(tecantrop!M110,"AAAAADL/nWE=")</f>
        <v>#VALUE!</v>
      </c>
      <c r="CU118" t="e">
        <f>AND(tecantrop!N110,"AAAAADL/nWI=")</f>
        <v>#VALUE!</v>
      </c>
      <c r="CV118" t="e">
        <f>AND(tecantrop!O110,"AAAAADL/nWM=")</f>
        <v>#VALUE!</v>
      </c>
      <c r="CW118" t="e">
        <f>AND(tecantrop!P110,"AAAAADL/nWQ=")</f>
        <v>#VALUE!</v>
      </c>
      <c r="CX118" t="e">
        <f>AND(tecantrop!Q110,"AAAAADL/nWU=")</f>
        <v>#VALUE!</v>
      </c>
      <c r="CY118" t="e">
        <f>AND(tecantrop!R110,"AAAAADL/nWY=")</f>
        <v>#VALUE!</v>
      </c>
      <c r="CZ118" t="e">
        <f>AND(tecantrop!S110,"AAAAADL/nWc=")</f>
        <v>#VALUE!</v>
      </c>
      <c r="DA118" t="e">
        <f>AND(tecantrop!T110,"AAAAADL/nWg=")</f>
        <v>#VALUE!</v>
      </c>
      <c r="DB118" t="e">
        <f>AND(tecantrop!U110,"AAAAADL/nWk=")</f>
        <v>#VALUE!</v>
      </c>
      <c r="DC118" t="e">
        <f>AND(tecantrop!V110,"AAAAADL/nWo=")</f>
        <v>#VALUE!</v>
      </c>
      <c r="DD118" t="e">
        <f>AND(tecantrop!W110,"AAAAADL/nWs=")</f>
        <v>#VALUE!</v>
      </c>
      <c r="DE118" t="e">
        <f>AND(tecantrop!X110,"AAAAADL/nWw=")</f>
        <v>#VALUE!</v>
      </c>
      <c r="DF118">
        <f>IF(tecantrop!111:111,"AAAAADL/nW0=",0)</f>
        <v>0</v>
      </c>
      <c r="DG118" t="e">
        <f>AND(tecantrop!A111,"AAAAADL/nW4=")</f>
        <v>#VALUE!</v>
      </c>
      <c r="DH118" t="e">
        <f>AND(tecantrop!B111,"AAAAADL/nW8=")</f>
        <v>#VALUE!</v>
      </c>
      <c r="DI118" t="e">
        <f>AND(tecantrop!C111,"AAAAADL/nXA=")</f>
        <v>#VALUE!</v>
      </c>
      <c r="DJ118" t="e">
        <f>AND(tecantrop!D111,"AAAAADL/nXE=")</f>
        <v>#VALUE!</v>
      </c>
      <c r="DK118" t="e">
        <f>AND(tecantrop!E111,"AAAAADL/nXI=")</f>
        <v>#VALUE!</v>
      </c>
      <c r="DL118" t="e">
        <f>AND(tecantrop!F111,"AAAAADL/nXM=")</f>
        <v>#VALUE!</v>
      </c>
      <c r="DM118" t="e">
        <f>AND(tecantrop!G111,"AAAAADL/nXQ=")</f>
        <v>#VALUE!</v>
      </c>
      <c r="DN118" t="e">
        <f>AND(tecantrop!H111,"AAAAADL/nXU=")</f>
        <v>#VALUE!</v>
      </c>
      <c r="DO118" t="e">
        <f>AND(tecantrop!I111,"AAAAADL/nXY=")</f>
        <v>#VALUE!</v>
      </c>
      <c r="DP118" t="e">
        <f>AND(tecantrop!J111,"AAAAADL/nXc=")</f>
        <v>#VALUE!</v>
      </c>
      <c r="DQ118" t="e">
        <f>AND(tecantrop!K111,"AAAAADL/nXg=")</f>
        <v>#VALUE!</v>
      </c>
      <c r="DR118" t="e">
        <f>AND(tecantrop!L111,"AAAAADL/nXk=")</f>
        <v>#VALUE!</v>
      </c>
      <c r="DS118" t="e">
        <f>AND(tecantrop!M111,"AAAAADL/nXo=")</f>
        <v>#VALUE!</v>
      </c>
      <c r="DT118" t="e">
        <f>AND(tecantrop!N111,"AAAAADL/nXs=")</f>
        <v>#VALUE!</v>
      </c>
      <c r="DU118" t="e">
        <f>AND(tecantrop!O111,"AAAAADL/nXw=")</f>
        <v>#VALUE!</v>
      </c>
      <c r="DV118" t="e">
        <f>AND(tecantrop!P111,"AAAAADL/nX0=")</f>
        <v>#VALUE!</v>
      </c>
      <c r="DW118" t="e">
        <f>AND(tecantrop!Q111,"AAAAADL/nX4=")</f>
        <v>#VALUE!</v>
      </c>
      <c r="DX118" t="e">
        <f>AND(tecantrop!R111,"AAAAADL/nX8=")</f>
        <v>#VALUE!</v>
      </c>
      <c r="DY118" t="e">
        <f>AND(tecantrop!S111,"AAAAADL/nYA=")</f>
        <v>#VALUE!</v>
      </c>
      <c r="DZ118" t="e">
        <f>AND(tecantrop!T111,"AAAAADL/nYE=")</f>
        <v>#VALUE!</v>
      </c>
      <c r="EA118" t="e">
        <f>AND(tecantrop!U111,"AAAAADL/nYI=")</f>
        <v>#VALUE!</v>
      </c>
      <c r="EB118" t="e">
        <f>AND(tecantrop!V111,"AAAAADL/nYM=")</f>
        <v>#VALUE!</v>
      </c>
      <c r="EC118" t="e">
        <f>AND(tecantrop!W111,"AAAAADL/nYQ=")</f>
        <v>#VALUE!</v>
      </c>
      <c r="ED118" t="e">
        <f>AND(tecantrop!X111,"AAAAADL/nYU=")</f>
        <v>#VALUE!</v>
      </c>
      <c r="EE118">
        <f>IF(tecantrop!112:112,"AAAAADL/nYY=",0)</f>
        <v>0</v>
      </c>
      <c r="EF118" t="e">
        <f>AND(tecantrop!A112,"AAAAADL/nYc=")</f>
        <v>#VALUE!</v>
      </c>
      <c r="EG118" t="e">
        <f>AND(tecantrop!B112,"AAAAADL/nYg=")</f>
        <v>#VALUE!</v>
      </c>
      <c r="EH118" t="e">
        <f>AND(tecantrop!C112,"AAAAADL/nYk=")</f>
        <v>#VALUE!</v>
      </c>
      <c r="EI118" t="e">
        <f>AND(tecantrop!D112,"AAAAADL/nYo=")</f>
        <v>#VALUE!</v>
      </c>
      <c r="EJ118" t="e">
        <f>AND(tecantrop!E112,"AAAAADL/nYs=")</f>
        <v>#VALUE!</v>
      </c>
      <c r="EK118" t="e">
        <f>AND(tecantrop!F112,"AAAAADL/nYw=")</f>
        <v>#VALUE!</v>
      </c>
      <c r="EL118" t="e">
        <f>AND(tecantrop!G112,"AAAAADL/nY0=")</f>
        <v>#VALUE!</v>
      </c>
      <c r="EM118" t="e">
        <f>AND(tecantrop!H112,"AAAAADL/nY4=")</f>
        <v>#VALUE!</v>
      </c>
      <c r="EN118" t="e">
        <f>AND(tecantrop!I112,"AAAAADL/nY8=")</f>
        <v>#VALUE!</v>
      </c>
      <c r="EO118" t="e">
        <f>AND(tecantrop!J112,"AAAAADL/nZA=")</f>
        <v>#VALUE!</v>
      </c>
      <c r="EP118" t="e">
        <f>AND(tecantrop!K112,"AAAAADL/nZE=")</f>
        <v>#VALUE!</v>
      </c>
      <c r="EQ118" t="e">
        <f>AND(tecantrop!L112,"AAAAADL/nZI=")</f>
        <v>#VALUE!</v>
      </c>
      <c r="ER118" t="e">
        <f>AND(tecantrop!M112,"AAAAADL/nZM=")</f>
        <v>#VALUE!</v>
      </c>
      <c r="ES118" t="e">
        <f>AND(tecantrop!N112,"AAAAADL/nZQ=")</f>
        <v>#VALUE!</v>
      </c>
      <c r="ET118" t="e">
        <f>AND(tecantrop!O112,"AAAAADL/nZU=")</f>
        <v>#VALUE!</v>
      </c>
      <c r="EU118" t="e">
        <f>AND(tecantrop!P112,"AAAAADL/nZY=")</f>
        <v>#VALUE!</v>
      </c>
      <c r="EV118" t="e">
        <f>AND(tecantrop!Q112,"AAAAADL/nZc=")</f>
        <v>#VALUE!</v>
      </c>
      <c r="EW118" t="e">
        <f>AND(tecantrop!R112,"AAAAADL/nZg=")</f>
        <v>#VALUE!</v>
      </c>
      <c r="EX118" t="e">
        <f>AND(tecantrop!S112,"AAAAADL/nZk=")</f>
        <v>#VALUE!</v>
      </c>
      <c r="EY118" t="e">
        <f>AND(tecantrop!T112,"AAAAADL/nZo=")</f>
        <v>#VALUE!</v>
      </c>
      <c r="EZ118" t="e">
        <f>AND(tecantrop!U112,"AAAAADL/nZs=")</f>
        <v>#VALUE!</v>
      </c>
      <c r="FA118" t="e">
        <f>AND(tecantrop!V112,"AAAAADL/nZw=")</f>
        <v>#VALUE!</v>
      </c>
      <c r="FB118" t="e">
        <f>AND(tecantrop!W112,"AAAAADL/nZ0=")</f>
        <v>#VALUE!</v>
      </c>
      <c r="FC118" t="e">
        <f>AND(tecantrop!X112,"AAAAADL/nZ4=")</f>
        <v>#VALUE!</v>
      </c>
      <c r="FD118">
        <f>IF(tecantrop!113:113,"AAAAADL/nZ8=",0)</f>
        <v>0</v>
      </c>
      <c r="FE118" t="e">
        <f>AND(tecantrop!A113,"AAAAADL/naA=")</f>
        <v>#VALUE!</v>
      </c>
      <c r="FF118" t="e">
        <f>AND(tecantrop!B113,"AAAAADL/naE=")</f>
        <v>#VALUE!</v>
      </c>
      <c r="FG118" t="e">
        <f>AND(tecantrop!C113,"AAAAADL/naI=")</f>
        <v>#VALUE!</v>
      </c>
      <c r="FH118" t="e">
        <f>AND(tecantrop!D113,"AAAAADL/naM=")</f>
        <v>#VALUE!</v>
      </c>
      <c r="FI118" t="e">
        <f>AND(tecantrop!E113,"AAAAADL/naQ=")</f>
        <v>#VALUE!</v>
      </c>
      <c r="FJ118" t="e">
        <f>AND(tecantrop!F113,"AAAAADL/naU=")</f>
        <v>#VALUE!</v>
      </c>
      <c r="FK118" t="e">
        <f>AND(tecantrop!G113,"AAAAADL/naY=")</f>
        <v>#VALUE!</v>
      </c>
      <c r="FL118" t="e">
        <f>AND(tecantrop!H113,"AAAAADL/nac=")</f>
        <v>#VALUE!</v>
      </c>
      <c r="FM118" t="e">
        <f>AND(tecantrop!I113,"AAAAADL/nag=")</f>
        <v>#VALUE!</v>
      </c>
      <c r="FN118" t="e">
        <f>AND(tecantrop!J113,"AAAAADL/nak=")</f>
        <v>#VALUE!</v>
      </c>
      <c r="FO118" t="e">
        <f>AND(tecantrop!K113,"AAAAADL/nao=")</f>
        <v>#VALUE!</v>
      </c>
      <c r="FP118" t="e">
        <f>AND(tecantrop!L113,"AAAAADL/nas=")</f>
        <v>#VALUE!</v>
      </c>
      <c r="FQ118" t="e">
        <f>AND(tecantrop!M113,"AAAAADL/naw=")</f>
        <v>#VALUE!</v>
      </c>
      <c r="FR118" t="e">
        <f>AND(tecantrop!N113,"AAAAADL/na0=")</f>
        <v>#VALUE!</v>
      </c>
      <c r="FS118" t="e">
        <f>AND(tecantrop!O113,"AAAAADL/na4=")</f>
        <v>#VALUE!</v>
      </c>
      <c r="FT118" t="e">
        <f>AND(tecantrop!P113,"AAAAADL/na8=")</f>
        <v>#VALUE!</v>
      </c>
      <c r="FU118" t="e">
        <f>AND(tecantrop!Q113,"AAAAADL/nbA=")</f>
        <v>#VALUE!</v>
      </c>
      <c r="FV118" t="e">
        <f>AND(tecantrop!R113,"AAAAADL/nbE=")</f>
        <v>#VALUE!</v>
      </c>
      <c r="FW118" t="e">
        <f>AND(tecantrop!S113,"AAAAADL/nbI=")</f>
        <v>#VALUE!</v>
      </c>
      <c r="FX118" t="e">
        <f>AND(tecantrop!T113,"AAAAADL/nbM=")</f>
        <v>#VALUE!</v>
      </c>
      <c r="FY118" t="e">
        <f>AND(tecantrop!U113,"AAAAADL/nbQ=")</f>
        <v>#VALUE!</v>
      </c>
      <c r="FZ118" t="e">
        <f>AND(tecantrop!V113,"AAAAADL/nbU=")</f>
        <v>#VALUE!</v>
      </c>
      <c r="GA118" t="e">
        <f>AND(tecantrop!W113,"AAAAADL/nbY=")</f>
        <v>#VALUE!</v>
      </c>
      <c r="GB118" t="e">
        <f>AND(tecantrop!X113,"AAAAADL/nbc=")</f>
        <v>#VALUE!</v>
      </c>
      <c r="GC118">
        <f>IF(tecantrop!114:114,"AAAAADL/nbg=",0)</f>
        <v>0</v>
      </c>
      <c r="GD118" t="e">
        <f>AND(tecantrop!A114,"AAAAADL/nbk=")</f>
        <v>#VALUE!</v>
      </c>
      <c r="GE118" t="e">
        <f>AND(tecantrop!B114,"AAAAADL/nbo=")</f>
        <v>#VALUE!</v>
      </c>
      <c r="GF118" t="e">
        <f>AND(tecantrop!C114,"AAAAADL/nbs=")</f>
        <v>#VALUE!</v>
      </c>
      <c r="GG118" t="e">
        <f>AND(tecantrop!D114,"AAAAADL/nbw=")</f>
        <v>#VALUE!</v>
      </c>
      <c r="GH118" t="e">
        <f>AND(tecantrop!E114,"AAAAADL/nb0=")</f>
        <v>#VALUE!</v>
      </c>
      <c r="GI118" t="e">
        <f>AND(tecantrop!F114,"AAAAADL/nb4=")</f>
        <v>#VALUE!</v>
      </c>
      <c r="GJ118" t="e">
        <f>AND(tecantrop!G114,"AAAAADL/nb8=")</f>
        <v>#VALUE!</v>
      </c>
      <c r="GK118" t="e">
        <f>AND(tecantrop!H114,"AAAAADL/ncA=")</f>
        <v>#VALUE!</v>
      </c>
      <c r="GL118" t="e">
        <f>AND(tecantrop!I114,"AAAAADL/ncE=")</f>
        <v>#VALUE!</v>
      </c>
      <c r="GM118" t="e">
        <f>AND(tecantrop!J114,"AAAAADL/ncI=")</f>
        <v>#VALUE!</v>
      </c>
      <c r="GN118" t="e">
        <f>AND(tecantrop!K114,"AAAAADL/ncM=")</f>
        <v>#VALUE!</v>
      </c>
      <c r="GO118" t="e">
        <f>AND(tecantrop!L114,"AAAAADL/ncQ=")</f>
        <v>#VALUE!</v>
      </c>
      <c r="GP118" t="e">
        <f>AND(tecantrop!M114,"AAAAADL/ncU=")</f>
        <v>#VALUE!</v>
      </c>
      <c r="GQ118" t="e">
        <f>AND(tecantrop!N114,"AAAAADL/ncY=")</f>
        <v>#VALUE!</v>
      </c>
      <c r="GR118" t="e">
        <f>AND(tecantrop!O114,"AAAAADL/ncc=")</f>
        <v>#VALUE!</v>
      </c>
      <c r="GS118" t="e">
        <f>AND(tecantrop!P114,"AAAAADL/ncg=")</f>
        <v>#VALUE!</v>
      </c>
      <c r="GT118" t="e">
        <f>AND(tecantrop!Q114,"AAAAADL/nck=")</f>
        <v>#VALUE!</v>
      </c>
      <c r="GU118" t="e">
        <f>AND(tecantrop!R114,"AAAAADL/nco=")</f>
        <v>#VALUE!</v>
      </c>
      <c r="GV118" t="e">
        <f>AND(tecantrop!S114,"AAAAADL/ncs=")</f>
        <v>#VALUE!</v>
      </c>
      <c r="GW118" t="e">
        <f>AND(tecantrop!T114,"AAAAADL/ncw=")</f>
        <v>#VALUE!</v>
      </c>
      <c r="GX118" t="e">
        <f>AND(tecantrop!U114,"AAAAADL/nc0=")</f>
        <v>#VALUE!</v>
      </c>
      <c r="GY118" t="e">
        <f>AND(tecantrop!V114,"AAAAADL/nc4=")</f>
        <v>#VALUE!</v>
      </c>
      <c r="GZ118" t="e">
        <f>AND(tecantrop!W114,"AAAAADL/nc8=")</f>
        <v>#VALUE!</v>
      </c>
      <c r="HA118" t="e">
        <f>AND(tecantrop!X114,"AAAAADL/ndA=")</f>
        <v>#VALUE!</v>
      </c>
      <c r="HB118">
        <f>IF(tecantrop!115:115,"AAAAADL/ndE=",0)</f>
        <v>0</v>
      </c>
      <c r="HC118" t="e">
        <f>AND(tecantrop!A115,"AAAAADL/ndI=")</f>
        <v>#VALUE!</v>
      </c>
      <c r="HD118" t="e">
        <f>AND(tecantrop!B115,"AAAAADL/ndM=")</f>
        <v>#VALUE!</v>
      </c>
      <c r="HE118" t="e">
        <f>AND(tecantrop!C115,"AAAAADL/ndQ=")</f>
        <v>#VALUE!</v>
      </c>
      <c r="HF118" t="e">
        <f>AND(tecantrop!D115,"AAAAADL/ndU=")</f>
        <v>#VALUE!</v>
      </c>
      <c r="HG118" t="e">
        <f>AND(tecantrop!E115,"AAAAADL/ndY=")</f>
        <v>#VALUE!</v>
      </c>
      <c r="HH118" t="e">
        <f>AND(tecantrop!F115,"AAAAADL/ndc=")</f>
        <v>#VALUE!</v>
      </c>
      <c r="HI118" t="e">
        <f>AND(tecantrop!G115,"AAAAADL/ndg=")</f>
        <v>#VALUE!</v>
      </c>
      <c r="HJ118" t="e">
        <f>AND(tecantrop!H115,"AAAAADL/ndk=")</f>
        <v>#VALUE!</v>
      </c>
      <c r="HK118" t="e">
        <f>AND(tecantrop!I115,"AAAAADL/ndo=")</f>
        <v>#VALUE!</v>
      </c>
      <c r="HL118" t="e">
        <f>AND(tecantrop!J115,"AAAAADL/nds=")</f>
        <v>#VALUE!</v>
      </c>
      <c r="HM118" t="e">
        <f>AND(tecantrop!K115,"AAAAADL/ndw=")</f>
        <v>#VALUE!</v>
      </c>
      <c r="HN118" t="e">
        <f>AND(tecantrop!L115,"AAAAADL/nd0=")</f>
        <v>#VALUE!</v>
      </c>
      <c r="HO118" t="e">
        <f>AND(tecantrop!M115,"AAAAADL/nd4=")</f>
        <v>#VALUE!</v>
      </c>
      <c r="HP118" t="e">
        <f>AND(tecantrop!N115,"AAAAADL/nd8=")</f>
        <v>#VALUE!</v>
      </c>
      <c r="HQ118" t="e">
        <f>AND(tecantrop!O115,"AAAAADL/neA=")</f>
        <v>#VALUE!</v>
      </c>
      <c r="HR118" t="e">
        <f>AND(tecantrop!P115,"AAAAADL/neE=")</f>
        <v>#VALUE!</v>
      </c>
      <c r="HS118" t="e">
        <f>AND(tecantrop!Q115,"AAAAADL/neI=")</f>
        <v>#VALUE!</v>
      </c>
      <c r="HT118" t="e">
        <f>AND(tecantrop!R115,"AAAAADL/neM=")</f>
        <v>#VALUE!</v>
      </c>
      <c r="HU118" t="e">
        <f>AND(tecantrop!S115,"AAAAADL/neQ=")</f>
        <v>#VALUE!</v>
      </c>
      <c r="HV118" t="e">
        <f>AND(tecantrop!T115,"AAAAADL/neU=")</f>
        <v>#VALUE!</v>
      </c>
      <c r="HW118" t="e">
        <f>AND(tecantrop!U115,"AAAAADL/neY=")</f>
        <v>#VALUE!</v>
      </c>
      <c r="HX118" t="e">
        <f>AND(tecantrop!V115,"AAAAADL/nec=")</f>
        <v>#VALUE!</v>
      </c>
      <c r="HY118" t="e">
        <f>AND(tecantrop!W115,"AAAAADL/neg=")</f>
        <v>#VALUE!</v>
      </c>
      <c r="HZ118" t="e">
        <f>AND(tecantrop!X115,"AAAAADL/nek=")</f>
        <v>#VALUE!</v>
      </c>
      <c r="IA118">
        <f>IF(tecantrop!116:116,"AAAAADL/neo=",0)</f>
        <v>0</v>
      </c>
      <c r="IB118" t="e">
        <f>AND(tecantrop!A116,"AAAAADL/nes=")</f>
        <v>#VALUE!</v>
      </c>
      <c r="IC118" t="e">
        <f>AND(tecantrop!B116,"AAAAADL/new=")</f>
        <v>#VALUE!</v>
      </c>
      <c r="ID118" t="e">
        <f>AND(tecantrop!C116,"AAAAADL/ne0=")</f>
        <v>#VALUE!</v>
      </c>
      <c r="IE118" t="e">
        <f>AND(tecantrop!D116,"AAAAADL/ne4=")</f>
        <v>#VALUE!</v>
      </c>
      <c r="IF118" t="e">
        <f>AND(tecantrop!E116,"AAAAADL/ne8=")</f>
        <v>#VALUE!</v>
      </c>
      <c r="IG118" t="e">
        <f>AND(tecantrop!F116,"AAAAADL/nfA=")</f>
        <v>#VALUE!</v>
      </c>
      <c r="IH118" t="e">
        <f>AND(tecantrop!G116,"AAAAADL/nfE=")</f>
        <v>#VALUE!</v>
      </c>
      <c r="II118" t="e">
        <f>AND(tecantrop!H116,"AAAAADL/nfI=")</f>
        <v>#VALUE!</v>
      </c>
      <c r="IJ118" t="e">
        <f>AND(tecantrop!I116,"AAAAADL/nfM=")</f>
        <v>#VALUE!</v>
      </c>
      <c r="IK118" t="e">
        <f>AND(tecantrop!J116,"AAAAADL/nfQ=")</f>
        <v>#VALUE!</v>
      </c>
      <c r="IL118" t="e">
        <f>AND(tecantrop!K116,"AAAAADL/nfU=")</f>
        <v>#VALUE!</v>
      </c>
      <c r="IM118" t="e">
        <f>AND(tecantrop!L116,"AAAAADL/nfY=")</f>
        <v>#VALUE!</v>
      </c>
      <c r="IN118" t="e">
        <f>AND(tecantrop!M116,"AAAAADL/nfc=")</f>
        <v>#VALUE!</v>
      </c>
      <c r="IO118" t="e">
        <f>AND(tecantrop!N116,"AAAAADL/nfg=")</f>
        <v>#VALUE!</v>
      </c>
      <c r="IP118" t="e">
        <f>AND(tecantrop!O116,"AAAAADL/nfk=")</f>
        <v>#VALUE!</v>
      </c>
      <c r="IQ118" t="e">
        <f>AND(tecantrop!P116,"AAAAADL/nfo=")</f>
        <v>#VALUE!</v>
      </c>
      <c r="IR118" t="e">
        <f>AND(tecantrop!Q116,"AAAAADL/nfs=")</f>
        <v>#VALUE!</v>
      </c>
      <c r="IS118" t="e">
        <f>AND(tecantrop!R116,"AAAAADL/nfw=")</f>
        <v>#VALUE!</v>
      </c>
      <c r="IT118" t="e">
        <f>AND(tecantrop!S116,"AAAAADL/nf0=")</f>
        <v>#VALUE!</v>
      </c>
      <c r="IU118" t="e">
        <f>AND(tecantrop!T116,"AAAAADL/nf4=")</f>
        <v>#VALUE!</v>
      </c>
      <c r="IV118" t="e">
        <f>AND(tecantrop!U116,"AAAAADL/nf8=")</f>
        <v>#VALUE!</v>
      </c>
    </row>
    <row r="119" spans="1:256" x14ac:dyDescent="0.2">
      <c r="A119" t="e">
        <f>AND(tecantrop!V116,"AAAAAHP/5wA=")</f>
        <v>#VALUE!</v>
      </c>
      <c r="B119" t="e">
        <f>AND(tecantrop!W116,"AAAAAHP/5wE=")</f>
        <v>#VALUE!</v>
      </c>
      <c r="C119" t="e">
        <f>AND(tecantrop!X116,"AAAAAHP/5wI=")</f>
        <v>#VALUE!</v>
      </c>
      <c r="D119">
        <f>IF(tecantrop!117:117,"AAAAAHP/5wM=",0)</f>
        <v>0</v>
      </c>
      <c r="E119" t="e">
        <f>AND(tecantrop!A117,"AAAAAHP/5wQ=")</f>
        <v>#VALUE!</v>
      </c>
      <c r="F119" t="e">
        <f>AND(tecantrop!B117,"AAAAAHP/5wU=")</f>
        <v>#VALUE!</v>
      </c>
      <c r="G119" t="e">
        <f>AND(tecantrop!C117,"AAAAAHP/5wY=")</f>
        <v>#VALUE!</v>
      </c>
      <c r="H119" t="e">
        <f>AND(tecantrop!D117,"AAAAAHP/5wc=")</f>
        <v>#VALUE!</v>
      </c>
      <c r="I119" t="e">
        <f>AND(tecantrop!E117,"AAAAAHP/5wg=")</f>
        <v>#VALUE!</v>
      </c>
      <c r="J119" t="e">
        <f>AND(tecantrop!F117,"AAAAAHP/5wk=")</f>
        <v>#VALUE!</v>
      </c>
      <c r="K119" t="e">
        <f>AND(tecantrop!G117,"AAAAAHP/5wo=")</f>
        <v>#VALUE!</v>
      </c>
      <c r="L119" t="e">
        <f>AND(tecantrop!H117,"AAAAAHP/5ws=")</f>
        <v>#VALUE!</v>
      </c>
      <c r="M119" t="e">
        <f>AND(tecantrop!I117,"AAAAAHP/5ww=")</f>
        <v>#VALUE!</v>
      </c>
      <c r="N119" t="e">
        <f>AND(tecantrop!J117,"AAAAAHP/5w0=")</f>
        <v>#VALUE!</v>
      </c>
      <c r="O119" t="e">
        <f>AND(tecantrop!K117,"AAAAAHP/5w4=")</f>
        <v>#VALUE!</v>
      </c>
      <c r="P119" t="e">
        <f>AND(tecantrop!L117,"AAAAAHP/5w8=")</f>
        <v>#VALUE!</v>
      </c>
      <c r="Q119" t="e">
        <f>AND(tecantrop!M117,"AAAAAHP/5xA=")</f>
        <v>#VALUE!</v>
      </c>
      <c r="R119" t="e">
        <f>AND(tecantrop!N117,"AAAAAHP/5xE=")</f>
        <v>#VALUE!</v>
      </c>
      <c r="S119" t="e">
        <f>AND(tecantrop!O117,"AAAAAHP/5xI=")</f>
        <v>#VALUE!</v>
      </c>
      <c r="T119" t="e">
        <f>AND(tecantrop!P117,"AAAAAHP/5xM=")</f>
        <v>#VALUE!</v>
      </c>
      <c r="U119" t="e">
        <f>AND(tecantrop!Q117,"AAAAAHP/5xQ=")</f>
        <v>#VALUE!</v>
      </c>
      <c r="V119" t="e">
        <f>AND(tecantrop!R117,"AAAAAHP/5xU=")</f>
        <v>#VALUE!</v>
      </c>
      <c r="W119" t="e">
        <f>AND(tecantrop!S117,"AAAAAHP/5xY=")</f>
        <v>#VALUE!</v>
      </c>
      <c r="X119" t="e">
        <f>AND(tecantrop!T117,"AAAAAHP/5xc=")</f>
        <v>#VALUE!</v>
      </c>
      <c r="Y119" t="e">
        <f>AND(tecantrop!U117,"AAAAAHP/5xg=")</f>
        <v>#VALUE!</v>
      </c>
      <c r="Z119" t="e">
        <f>AND(tecantrop!V117,"AAAAAHP/5xk=")</f>
        <v>#VALUE!</v>
      </c>
      <c r="AA119" t="e">
        <f>AND(tecantrop!W117,"AAAAAHP/5xo=")</f>
        <v>#VALUE!</v>
      </c>
      <c r="AB119" t="e">
        <f>AND(tecantrop!X117,"AAAAAHP/5xs=")</f>
        <v>#VALUE!</v>
      </c>
      <c r="AC119">
        <f>IF(tecantrop!118:118,"AAAAAHP/5xw=",0)</f>
        <v>0</v>
      </c>
      <c r="AD119" t="e">
        <f>AND(tecantrop!A118,"AAAAAHP/5x0=")</f>
        <v>#VALUE!</v>
      </c>
      <c r="AE119" t="e">
        <f>AND(tecantrop!B118,"AAAAAHP/5x4=")</f>
        <v>#VALUE!</v>
      </c>
      <c r="AF119" t="e">
        <f>AND(tecantrop!C118,"AAAAAHP/5x8=")</f>
        <v>#VALUE!</v>
      </c>
      <c r="AG119" t="e">
        <f>AND(tecantrop!D118,"AAAAAHP/5yA=")</f>
        <v>#VALUE!</v>
      </c>
      <c r="AH119" t="e">
        <f>AND(tecantrop!E118,"AAAAAHP/5yE=")</f>
        <v>#VALUE!</v>
      </c>
      <c r="AI119" t="e">
        <f>AND(tecantrop!F118,"AAAAAHP/5yI=")</f>
        <v>#VALUE!</v>
      </c>
      <c r="AJ119" t="e">
        <f>AND(tecantrop!G118,"AAAAAHP/5yM=")</f>
        <v>#VALUE!</v>
      </c>
      <c r="AK119" t="e">
        <f>AND(tecantrop!H118,"AAAAAHP/5yQ=")</f>
        <v>#VALUE!</v>
      </c>
      <c r="AL119" t="e">
        <f>AND(tecantrop!I118,"AAAAAHP/5yU=")</f>
        <v>#VALUE!</v>
      </c>
      <c r="AM119" t="e">
        <f>AND(tecantrop!J118,"AAAAAHP/5yY=")</f>
        <v>#VALUE!</v>
      </c>
      <c r="AN119" t="e">
        <f>AND(tecantrop!K118,"AAAAAHP/5yc=")</f>
        <v>#VALUE!</v>
      </c>
      <c r="AO119" t="e">
        <f>AND(tecantrop!L118,"AAAAAHP/5yg=")</f>
        <v>#VALUE!</v>
      </c>
      <c r="AP119" t="e">
        <f>AND(tecantrop!M118,"AAAAAHP/5yk=")</f>
        <v>#VALUE!</v>
      </c>
      <c r="AQ119" t="e">
        <f>AND(tecantrop!N118,"AAAAAHP/5yo=")</f>
        <v>#VALUE!</v>
      </c>
      <c r="AR119" t="e">
        <f>AND(tecantrop!O118,"AAAAAHP/5ys=")</f>
        <v>#VALUE!</v>
      </c>
      <c r="AS119" t="e">
        <f>AND(tecantrop!P118,"AAAAAHP/5yw=")</f>
        <v>#VALUE!</v>
      </c>
      <c r="AT119" t="e">
        <f>AND(tecantrop!Q118,"AAAAAHP/5y0=")</f>
        <v>#VALUE!</v>
      </c>
      <c r="AU119" t="e">
        <f>AND(tecantrop!R118,"AAAAAHP/5y4=")</f>
        <v>#VALUE!</v>
      </c>
      <c r="AV119" t="e">
        <f>AND(tecantrop!S118,"AAAAAHP/5y8=")</f>
        <v>#VALUE!</v>
      </c>
      <c r="AW119" t="e">
        <f>AND(tecantrop!T118,"AAAAAHP/5zA=")</f>
        <v>#VALUE!</v>
      </c>
      <c r="AX119" t="e">
        <f>AND(tecantrop!U118,"AAAAAHP/5zE=")</f>
        <v>#VALUE!</v>
      </c>
      <c r="AY119" t="e">
        <f>AND(tecantrop!V118,"AAAAAHP/5zI=")</f>
        <v>#VALUE!</v>
      </c>
      <c r="AZ119" t="e">
        <f>AND(tecantrop!W118,"AAAAAHP/5zM=")</f>
        <v>#VALUE!</v>
      </c>
      <c r="BA119" t="e">
        <f>AND(tecantrop!X118,"AAAAAHP/5zQ=")</f>
        <v>#VALUE!</v>
      </c>
      <c r="BB119">
        <f>IF(tecantrop!119:119,"AAAAAHP/5zU=",0)</f>
        <v>0</v>
      </c>
      <c r="BC119" t="e">
        <f>AND(tecantrop!A119,"AAAAAHP/5zY=")</f>
        <v>#VALUE!</v>
      </c>
      <c r="BD119" t="e">
        <f>AND(tecantrop!B119,"AAAAAHP/5zc=")</f>
        <v>#VALUE!</v>
      </c>
      <c r="BE119" t="e">
        <f>AND(tecantrop!C119,"AAAAAHP/5zg=")</f>
        <v>#VALUE!</v>
      </c>
      <c r="BF119" t="e">
        <f>AND(tecantrop!D119,"AAAAAHP/5zk=")</f>
        <v>#VALUE!</v>
      </c>
      <c r="BG119" t="e">
        <f>AND(tecantrop!E119,"AAAAAHP/5zo=")</f>
        <v>#VALUE!</v>
      </c>
      <c r="BH119" t="e">
        <f>AND(tecantrop!F119,"AAAAAHP/5zs=")</f>
        <v>#VALUE!</v>
      </c>
      <c r="BI119" t="e">
        <f>AND(tecantrop!G119,"AAAAAHP/5zw=")</f>
        <v>#VALUE!</v>
      </c>
      <c r="BJ119" t="e">
        <f>AND(tecantrop!H119,"AAAAAHP/5z0=")</f>
        <v>#VALUE!</v>
      </c>
      <c r="BK119" t="e">
        <f>AND(tecantrop!I119,"AAAAAHP/5z4=")</f>
        <v>#VALUE!</v>
      </c>
      <c r="BL119" t="e">
        <f>AND(tecantrop!J119,"AAAAAHP/5z8=")</f>
        <v>#VALUE!</v>
      </c>
      <c r="BM119" t="e">
        <f>AND(tecantrop!K119,"AAAAAHP/50A=")</f>
        <v>#VALUE!</v>
      </c>
      <c r="BN119" t="e">
        <f>AND(tecantrop!L119,"AAAAAHP/50E=")</f>
        <v>#VALUE!</v>
      </c>
      <c r="BO119" t="e">
        <f>AND(tecantrop!M119,"AAAAAHP/50I=")</f>
        <v>#VALUE!</v>
      </c>
      <c r="BP119" t="e">
        <f>AND(tecantrop!N119,"AAAAAHP/50M=")</f>
        <v>#VALUE!</v>
      </c>
      <c r="BQ119" t="e">
        <f>AND(tecantrop!O119,"AAAAAHP/50Q=")</f>
        <v>#VALUE!</v>
      </c>
      <c r="BR119" t="e">
        <f>AND(tecantrop!P119,"AAAAAHP/50U=")</f>
        <v>#VALUE!</v>
      </c>
      <c r="BS119" t="e">
        <f>AND(tecantrop!Q119,"AAAAAHP/50Y=")</f>
        <v>#VALUE!</v>
      </c>
      <c r="BT119" t="e">
        <f>AND(tecantrop!R119,"AAAAAHP/50c=")</f>
        <v>#VALUE!</v>
      </c>
      <c r="BU119" t="e">
        <f>AND(tecantrop!S119,"AAAAAHP/50g=")</f>
        <v>#VALUE!</v>
      </c>
      <c r="BV119" t="e">
        <f>AND(tecantrop!T119,"AAAAAHP/50k=")</f>
        <v>#VALUE!</v>
      </c>
      <c r="BW119" t="e">
        <f>AND(tecantrop!U119,"AAAAAHP/50o=")</f>
        <v>#VALUE!</v>
      </c>
      <c r="BX119" t="e">
        <f>AND(tecantrop!V119,"AAAAAHP/50s=")</f>
        <v>#VALUE!</v>
      </c>
      <c r="BY119" t="e">
        <f>AND(tecantrop!W119,"AAAAAHP/50w=")</f>
        <v>#VALUE!</v>
      </c>
      <c r="BZ119" t="e">
        <f>AND(tecantrop!X119,"AAAAAHP/500=")</f>
        <v>#VALUE!</v>
      </c>
      <c r="CA119">
        <f>IF(tecantrop!120:120,"AAAAAHP/504=",0)</f>
        <v>0</v>
      </c>
      <c r="CB119" t="e">
        <f>AND(tecantrop!A120,"AAAAAHP/508=")</f>
        <v>#VALUE!</v>
      </c>
      <c r="CC119" t="e">
        <f>AND(tecantrop!B120,"AAAAAHP/51A=")</f>
        <v>#VALUE!</v>
      </c>
      <c r="CD119" t="e">
        <f>AND(tecantrop!C120,"AAAAAHP/51E=")</f>
        <v>#VALUE!</v>
      </c>
      <c r="CE119" t="e">
        <f>AND(tecantrop!D120,"AAAAAHP/51I=")</f>
        <v>#VALUE!</v>
      </c>
      <c r="CF119" t="e">
        <f>AND(tecantrop!E120,"AAAAAHP/51M=")</f>
        <v>#VALUE!</v>
      </c>
      <c r="CG119" t="e">
        <f>AND(tecantrop!F120,"AAAAAHP/51Q=")</f>
        <v>#VALUE!</v>
      </c>
      <c r="CH119" t="e">
        <f>AND(tecantrop!G120,"AAAAAHP/51U=")</f>
        <v>#VALUE!</v>
      </c>
      <c r="CI119" t="e">
        <f>AND(tecantrop!H120,"AAAAAHP/51Y=")</f>
        <v>#VALUE!</v>
      </c>
      <c r="CJ119" t="e">
        <f>AND(tecantrop!I120,"AAAAAHP/51c=")</f>
        <v>#VALUE!</v>
      </c>
      <c r="CK119" t="e">
        <f>AND(tecantrop!J120,"AAAAAHP/51g=")</f>
        <v>#VALUE!</v>
      </c>
      <c r="CL119" t="e">
        <f>AND(tecantrop!K120,"AAAAAHP/51k=")</f>
        <v>#VALUE!</v>
      </c>
      <c r="CM119" t="e">
        <f>AND(tecantrop!L120,"AAAAAHP/51o=")</f>
        <v>#VALUE!</v>
      </c>
      <c r="CN119" t="e">
        <f>AND(tecantrop!M120,"AAAAAHP/51s=")</f>
        <v>#VALUE!</v>
      </c>
      <c r="CO119" t="e">
        <f>AND(tecantrop!N120,"AAAAAHP/51w=")</f>
        <v>#VALUE!</v>
      </c>
      <c r="CP119" t="e">
        <f>AND(tecantrop!O120,"AAAAAHP/510=")</f>
        <v>#VALUE!</v>
      </c>
      <c r="CQ119" t="e">
        <f>AND(tecantrop!P120,"AAAAAHP/514=")</f>
        <v>#VALUE!</v>
      </c>
      <c r="CR119" t="e">
        <f>AND(tecantrop!Q120,"AAAAAHP/518=")</f>
        <v>#VALUE!</v>
      </c>
      <c r="CS119" t="e">
        <f>AND(tecantrop!R120,"AAAAAHP/52A=")</f>
        <v>#VALUE!</v>
      </c>
      <c r="CT119" t="e">
        <f>AND(tecantrop!S120,"AAAAAHP/52E=")</f>
        <v>#VALUE!</v>
      </c>
      <c r="CU119" t="e">
        <f>AND(tecantrop!T120,"AAAAAHP/52I=")</f>
        <v>#VALUE!</v>
      </c>
      <c r="CV119" t="e">
        <f>AND(tecantrop!U120,"AAAAAHP/52M=")</f>
        <v>#VALUE!</v>
      </c>
      <c r="CW119" t="e">
        <f>AND(tecantrop!V120,"AAAAAHP/52Q=")</f>
        <v>#VALUE!</v>
      </c>
      <c r="CX119" t="e">
        <f>AND(tecantrop!W120,"AAAAAHP/52U=")</f>
        <v>#VALUE!</v>
      </c>
      <c r="CY119" t="e">
        <f>AND(tecantrop!X120,"AAAAAHP/52Y=")</f>
        <v>#VALUE!</v>
      </c>
      <c r="CZ119">
        <f>IF(tecantrop!121:121,"AAAAAHP/52c=",0)</f>
        <v>0</v>
      </c>
      <c r="DA119" t="e">
        <f>AND(tecantrop!A121,"AAAAAHP/52g=")</f>
        <v>#VALUE!</v>
      </c>
      <c r="DB119" t="e">
        <f>AND(tecantrop!B121,"AAAAAHP/52k=")</f>
        <v>#VALUE!</v>
      </c>
      <c r="DC119" t="e">
        <f>AND(tecantrop!C121,"AAAAAHP/52o=")</f>
        <v>#VALUE!</v>
      </c>
      <c r="DD119" t="e">
        <f>AND(tecantrop!D121,"AAAAAHP/52s=")</f>
        <v>#VALUE!</v>
      </c>
      <c r="DE119" t="e">
        <f>AND(tecantrop!E121,"AAAAAHP/52w=")</f>
        <v>#VALUE!</v>
      </c>
      <c r="DF119" t="e">
        <f>AND(tecantrop!F121,"AAAAAHP/520=")</f>
        <v>#VALUE!</v>
      </c>
      <c r="DG119" t="e">
        <f>AND(tecantrop!G121,"AAAAAHP/524=")</f>
        <v>#VALUE!</v>
      </c>
      <c r="DH119" t="e">
        <f>AND(tecantrop!H121,"AAAAAHP/528=")</f>
        <v>#VALUE!</v>
      </c>
      <c r="DI119" t="e">
        <f>AND(tecantrop!I121,"AAAAAHP/53A=")</f>
        <v>#VALUE!</v>
      </c>
      <c r="DJ119" t="e">
        <f>AND(tecantrop!J121,"AAAAAHP/53E=")</f>
        <v>#VALUE!</v>
      </c>
      <c r="DK119" t="e">
        <f>AND(tecantrop!K121,"AAAAAHP/53I=")</f>
        <v>#VALUE!</v>
      </c>
      <c r="DL119" t="e">
        <f>AND(tecantrop!L121,"AAAAAHP/53M=")</f>
        <v>#VALUE!</v>
      </c>
      <c r="DM119" t="e">
        <f>AND(tecantrop!M121,"AAAAAHP/53Q=")</f>
        <v>#VALUE!</v>
      </c>
      <c r="DN119" t="e">
        <f>AND(tecantrop!N121,"AAAAAHP/53U=")</f>
        <v>#VALUE!</v>
      </c>
      <c r="DO119" t="e">
        <f>AND(tecantrop!O121,"AAAAAHP/53Y=")</f>
        <v>#VALUE!</v>
      </c>
      <c r="DP119" t="e">
        <f>AND(tecantrop!P121,"AAAAAHP/53c=")</f>
        <v>#VALUE!</v>
      </c>
      <c r="DQ119" t="e">
        <f>AND(tecantrop!Q121,"AAAAAHP/53g=")</f>
        <v>#VALUE!</v>
      </c>
      <c r="DR119" t="e">
        <f>AND(tecantrop!R121,"AAAAAHP/53k=")</f>
        <v>#VALUE!</v>
      </c>
      <c r="DS119" t="e">
        <f>AND(tecantrop!S121,"AAAAAHP/53o=")</f>
        <v>#VALUE!</v>
      </c>
      <c r="DT119" t="e">
        <f>AND(tecantrop!T121,"AAAAAHP/53s=")</f>
        <v>#VALUE!</v>
      </c>
      <c r="DU119" t="e">
        <f>AND(tecantrop!U121,"AAAAAHP/53w=")</f>
        <v>#VALUE!</v>
      </c>
      <c r="DV119" t="e">
        <f>AND(tecantrop!V121,"AAAAAHP/530=")</f>
        <v>#VALUE!</v>
      </c>
      <c r="DW119" t="e">
        <f>AND(tecantrop!W121,"AAAAAHP/534=")</f>
        <v>#VALUE!</v>
      </c>
      <c r="DX119" t="e">
        <f>AND(tecantrop!X121,"AAAAAHP/538=")</f>
        <v>#VALUE!</v>
      </c>
      <c r="DY119">
        <f>IF(tecantrop!122:122,"AAAAAHP/54A=",0)</f>
        <v>0</v>
      </c>
      <c r="DZ119" t="e">
        <f>AND(tecantrop!A122,"AAAAAHP/54E=")</f>
        <v>#VALUE!</v>
      </c>
      <c r="EA119" t="e">
        <f>AND(tecantrop!B122,"AAAAAHP/54I=")</f>
        <v>#VALUE!</v>
      </c>
      <c r="EB119" t="e">
        <f>AND(tecantrop!C122,"AAAAAHP/54M=")</f>
        <v>#VALUE!</v>
      </c>
      <c r="EC119" t="e">
        <f>AND(tecantrop!D122,"AAAAAHP/54Q=")</f>
        <v>#VALUE!</v>
      </c>
      <c r="ED119" t="e">
        <f>AND(tecantrop!E122,"AAAAAHP/54U=")</f>
        <v>#VALUE!</v>
      </c>
      <c r="EE119" t="e">
        <f>AND(tecantrop!F122,"AAAAAHP/54Y=")</f>
        <v>#VALUE!</v>
      </c>
      <c r="EF119" t="e">
        <f>AND(tecantrop!G122,"AAAAAHP/54c=")</f>
        <v>#VALUE!</v>
      </c>
      <c r="EG119" t="e">
        <f>AND(tecantrop!H122,"AAAAAHP/54g=")</f>
        <v>#VALUE!</v>
      </c>
      <c r="EH119" t="e">
        <f>AND(tecantrop!I122,"AAAAAHP/54k=")</f>
        <v>#VALUE!</v>
      </c>
      <c r="EI119" t="e">
        <f>AND(tecantrop!J122,"AAAAAHP/54o=")</f>
        <v>#VALUE!</v>
      </c>
      <c r="EJ119" t="e">
        <f>AND(tecantrop!K122,"AAAAAHP/54s=")</f>
        <v>#VALUE!</v>
      </c>
      <c r="EK119" t="e">
        <f>AND(tecantrop!L122,"AAAAAHP/54w=")</f>
        <v>#VALUE!</v>
      </c>
      <c r="EL119" t="e">
        <f>AND(tecantrop!M122,"AAAAAHP/540=")</f>
        <v>#VALUE!</v>
      </c>
      <c r="EM119" t="e">
        <f>AND(tecantrop!N122,"AAAAAHP/544=")</f>
        <v>#VALUE!</v>
      </c>
      <c r="EN119" t="e">
        <f>AND(tecantrop!O122,"AAAAAHP/548=")</f>
        <v>#VALUE!</v>
      </c>
      <c r="EO119" t="e">
        <f>AND(tecantrop!P122,"AAAAAHP/55A=")</f>
        <v>#VALUE!</v>
      </c>
      <c r="EP119" t="e">
        <f>AND(tecantrop!Q122,"AAAAAHP/55E=")</f>
        <v>#VALUE!</v>
      </c>
      <c r="EQ119" t="e">
        <f>AND(tecantrop!R122,"AAAAAHP/55I=")</f>
        <v>#VALUE!</v>
      </c>
      <c r="ER119" t="e">
        <f>AND(tecantrop!S122,"AAAAAHP/55M=")</f>
        <v>#VALUE!</v>
      </c>
      <c r="ES119" t="e">
        <f>AND(tecantrop!T122,"AAAAAHP/55Q=")</f>
        <v>#VALUE!</v>
      </c>
      <c r="ET119" t="e">
        <f>AND(tecantrop!U122,"AAAAAHP/55U=")</f>
        <v>#VALUE!</v>
      </c>
      <c r="EU119" t="e">
        <f>AND(tecantrop!V122,"AAAAAHP/55Y=")</f>
        <v>#VALUE!</v>
      </c>
      <c r="EV119" t="e">
        <f>AND(tecantrop!W122,"AAAAAHP/55c=")</f>
        <v>#VALUE!</v>
      </c>
      <c r="EW119" t="e">
        <f>AND(tecantrop!X122,"AAAAAHP/55g=")</f>
        <v>#VALUE!</v>
      </c>
      <c r="EX119">
        <f>IF(tecantrop!123:123,"AAAAAHP/55k=",0)</f>
        <v>0</v>
      </c>
      <c r="EY119" t="e">
        <f>AND(tecantrop!A123,"AAAAAHP/55o=")</f>
        <v>#VALUE!</v>
      </c>
      <c r="EZ119" t="e">
        <f>AND(tecantrop!B123,"AAAAAHP/55s=")</f>
        <v>#VALUE!</v>
      </c>
      <c r="FA119" t="e">
        <f>AND(tecantrop!C123,"AAAAAHP/55w=")</f>
        <v>#VALUE!</v>
      </c>
      <c r="FB119" t="e">
        <f>AND(tecantrop!D123,"AAAAAHP/550=")</f>
        <v>#VALUE!</v>
      </c>
      <c r="FC119" t="e">
        <f>AND(tecantrop!E123,"AAAAAHP/554=")</f>
        <v>#VALUE!</v>
      </c>
      <c r="FD119" t="e">
        <f>AND(tecantrop!F123,"AAAAAHP/558=")</f>
        <v>#VALUE!</v>
      </c>
      <c r="FE119" t="e">
        <f>AND(tecantrop!G123,"AAAAAHP/56A=")</f>
        <v>#VALUE!</v>
      </c>
      <c r="FF119" t="e">
        <f>AND(tecantrop!H123,"AAAAAHP/56E=")</f>
        <v>#VALUE!</v>
      </c>
      <c r="FG119" t="e">
        <f>AND(tecantrop!I123,"AAAAAHP/56I=")</f>
        <v>#VALUE!</v>
      </c>
      <c r="FH119" t="e">
        <f>AND(tecantrop!J123,"AAAAAHP/56M=")</f>
        <v>#VALUE!</v>
      </c>
      <c r="FI119" t="e">
        <f>AND(tecantrop!K123,"AAAAAHP/56Q=")</f>
        <v>#VALUE!</v>
      </c>
      <c r="FJ119" t="e">
        <f>AND(tecantrop!L123,"AAAAAHP/56U=")</f>
        <v>#VALUE!</v>
      </c>
      <c r="FK119" t="e">
        <f>AND(tecantrop!M123,"AAAAAHP/56Y=")</f>
        <v>#VALUE!</v>
      </c>
      <c r="FL119" t="e">
        <f>AND(tecantrop!N123,"AAAAAHP/56c=")</f>
        <v>#VALUE!</v>
      </c>
      <c r="FM119" t="e">
        <f>AND(tecantrop!O123,"AAAAAHP/56g=")</f>
        <v>#VALUE!</v>
      </c>
      <c r="FN119" t="e">
        <f>AND(tecantrop!P123,"AAAAAHP/56k=")</f>
        <v>#VALUE!</v>
      </c>
      <c r="FO119" t="e">
        <f>AND(tecantrop!Q123,"AAAAAHP/56o=")</f>
        <v>#VALUE!</v>
      </c>
      <c r="FP119" t="e">
        <f>AND(tecantrop!R123,"AAAAAHP/56s=")</f>
        <v>#VALUE!</v>
      </c>
      <c r="FQ119" t="e">
        <f>AND(tecantrop!S123,"AAAAAHP/56w=")</f>
        <v>#VALUE!</v>
      </c>
      <c r="FR119" t="e">
        <f>AND(tecantrop!T123,"AAAAAHP/560=")</f>
        <v>#VALUE!</v>
      </c>
      <c r="FS119" t="e">
        <f>AND(tecantrop!U123,"AAAAAHP/564=")</f>
        <v>#VALUE!</v>
      </c>
      <c r="FT119" t="e">
        <f>AND(tecantrop!V123,"AAAAAHP/568=")</f>
        <v>#VALUE!</v>
      </c>
      <c r="FU119" t="e">
        <f>AND(tecantrop!W123,"AAAAAHP/57A=")</f>
        <v>#VALUE!</v>
      </c>
      <c r="FV119" t="e">
        <f>AND(tecantrop!X123,"AAAAAHP/57E=")</f>
        <v>#VALUE!</v>
      </c>
      <c r="FW119">
        <f>IF(tecantrop!124:124,"AAAAAHP/57I=",0)</f>
        <v>0</v>
      </c>
      <c r="FX119" t="e">
        <f>AND(tecantrop!A124,"AAAAAHP/57M=")</f>
        <v>#VALUE!</v>
      </c>
      <c r="FY119" t="e">
        <f>AND(tecantrop!B124,"AAAAAHP/57Q=")</f>
        <v>#VALUE!</v>
      </c>
      <c r="FZ119" t="e">
        <f>AND(tecantrop!C124,"AAAAAHP/57U=")</f>
        <v>#VALUE!</v>
      </c>
      <c r="GA119" t="e">
        <f>AND(tecantrop!D124,"AAAAAHP/57Y=")</f>
        <v>#VALUE!</v>
      </c>
      <c r="GB119" t="e">
        <f>AND(tecantrop!E124,"AAAAAHP/57c=")</f>
        <v>#VALUE!</v>
      </c>
      <c r="GC119" t="e">
        <f>AND(tecantrop!F124,"AAAAAHP/57g=")</f>
        <v>#VALUE!</v>
      </c>
      <c r="GD119" t="e">
        <f>AND(tecantrop!G124,"AAAAAHP/57k=")</f>
        <v>#VALUE!</v>
      </c>
      <c r="GE119" t="e">
        <f>AND(tecantrop!H124,"AAAAAHP/57o=")</f>
        <v>#VALUE!</v>
      </c>
      <c r="GF119" t="e">
        <f>AND(tecantrop!I124,"AAAAAHP/57s=")</f>
        <v>#VALUE!</v>
      </c>
      <c r="GG119" t="e">
        <f>AND(tecantrop!J124,"AAAAAHP/57w=")</f>
        <v>#VALUE!</v>
      </c>
      <c r="GH119" t="e">
        <f>AND(tecantrop!K124,"AAAAAHP/570=")</f>
        <v>#VALUE!</v>
      </c>
      <c r="GI119" t="e">
        <f>AND(tecantrop!L124,"AAAAAHP/574=")</f>
        <v>#VALUE!</v>
      </c>
      <c r="GJ119" t="e">
        <f>AND(tecantrop!M124,"AAAAAHP/578=")</f>
        <v>#VALUE!</v>
      </c>
      <c r="GK119" t="e">
        <f>AND(tecantrop!N124,"AAAAAHP/58A=")</f>
        <v>#VALUE!</v>
      </c>
      <c r="GL119" t="e">
        <f>AND(tecantrop!O124,"AAAAAHP/58E=")</f>
        <v>#VALUE!</v>
      </c>
      <c r="GM119" t="e">
        <f>AND(tecantrop!P124,"AAAAAHP/58I=")</f>
        <v>#VALUE!</v>
      </c>
      <c r="GN119" t="e">
        <f>AND(tecantrop!Q124,"AAAAAHP/58M=")</f>
        <v>#VALUE!</v>
      </c>
      <c r="GO119" t="e">
        <f>AND(tecantrop!R124,"AAAAAHP/58Q=")</f>
        <v>#VALUE!</v>
      </c>
      <c r="GP119" t="e">
        <f>AND(tecantrop!S124,"AAAAAHP/58U=")</f>
        <v>#VALUE!</v>
      </c>
      <c r="GQ119" t="e">
        <f>AND(tecantrop!T124,"AAAAAHP/58Y=")</f>
        <v>#VALUE!</v>
      </c>
      <c r="GR119" t="e">
        <f>AND(tecantrop!U124,"AAAAAHP/58c=")</f>
        <v>#VALUE!</v>
      </c>
      <c r="GS119" t="e">
        <f>AND(tecantrop!V124,"AAAAAHP/58g=")</f>
        <v>#VALUE!</v>
      </c>
      <c r="GT119" t="e">
        <f>AND(tecantrop!W124,"AAAAAHP/58k=")</f>
        <v>#VALUE!</v>
      </c>
      <c r="GU119" t="e">
        <f>AND(tecantrop!X124,"AAAAAHP/58o=")</f>
        <v>#VALUE!</v>
      </c>
      <c r="GV119">
        <f>IF(tecantrop!125:125,"AAAAAHP/58s=",0)</f>
        <v>0</v>
      </c>
      <c r="GW119" t="e">
        <f>AND(tecantrop!A125,"AAAAAHP/58w=")</f>
        <v>#VALUE!</v>
      </c>
      <c r="GX119" t="e">
        <f>AND(tecantrop!B125,"AAAAAHP/580=")</f>
        <v>#VALUE!</v>
      </c>
      <c r="GY119" t="e">
        <f>AND(tecantrop!C125,"AAAAAHP/584=")</f>
        <v>#VALUE!</v>
      </c>
      <c r="GZ119" t="e">
        <f>AND(tecantrop!D125,"AAAAAHP/588=")</f>
        <v>#VALUE!</v>
      </c>
      <c r="HA119" t="e">
        <f>AND(tecantrop!E125,"AAAAAHP/59A=")</f>
        <v>#VALUE!</v>
      </c>
      <c r="HB119" t="e">
        <f>AND(tecantrop!F125,"AAAAAHP/59E=")</f>
        <v>#VALUE!</v>
      </c>
      <c r="HC119" t="e">
        <f>AND(tecantrop!G125,"AAAAAHP/59I=")</f>
        <v>#VALUE!</v>
      </c>
      <c r="HD119" t="e">
        <f>AND(tecantrop!H125,"AAAAAHP/59M=")</f>
        <v>#VALUE!</v>
      </c>
      <c r="HE119" t="e">
        <f>AND(tecantrop!I125,"AAAAAHP/59Q=")</f>
        <v>#VALUE!</v>
      </c>
      <c r="HF119" t="e">
        <f>AND(tecantrop!J125,"AAAAAHP/59U=")</f>
        <v>#VALUE!</v>
      </c>
      <c r="HG119" t="e">
        <f>AND(tecantrop!K125,"AAAAAHP/59Y=")</f>
        <v>#VALUE!</v>
      </c>
      <c r="HH119" t="e">
        <f>AND(tecantrop!L125,"AAAAAHP/59c=")</f>
        <v>#VALUE!</v>
      </c>
      <c r="HI119" t="e">
        <f>AND(tecantrop!M125,"AAAAAHP/59g=")</f>
        <v>#VALUE!</v>
      </c>
      <c r="HJ119" t="e">
        <f>AND(tecantrop!N125,"AAAAAHP/59k=")</f>
        <v>#VALUE!</v>
      </c>
      <c r="HK119" t="e">
        <f>AND(tecantrop!O125,"AAAAAHP/59o=")</f>
        <v>#VALUE!</v>
      </c>
      <c r="HL119" t="e">
        <f>AND(tecantrop!P125,"AAAAAHP/59s=")</f>
        <v>#VALUE!</v>
      </c>
      <c r="HM119" t="e">
        <f>AND(tecantrop!Q125,"AAAAAHP/59w=")</f>
        <v>#VALUE!</v>
      </c>
      <c r="HN119" t="e">
        <f>AND(tecantrop!R125,"AAAAAHP/590=")</f>
        <v>#VALUE!</v>
      </c>
      <c r="HO119" t="e">
        <f>AND(tecantrop!S125,"AAAAAHP/594=")</f>
        <v>#VALUE!</v>
      </c>
      <c r="HP119" t="e">
        <f>AND(tecantrop!T125,"AAAAAHP/598=")</f>
        <v>#VALUE!</v>
      </c>
      <c r="HQ119" t="e">
        <f>AND(tecantrop!U125,"AAAAAHP/5+A=")</f>
        <v>#VALUE!</v>
      </c>
      <c r="HR119" t="e">
        <f>AND(tecantrop!V125,"AAAAAHP/5+E=")</f>
        <v>#VALUE!</v>
      </c>
      <c r="HS119" t="e">
        <f>AND(tecantrop!W125,"AAAAAHP/5+I=")</f>
        <v>#VALUE!</v>
      </c>
      <c r="HT119" t="e">
        <f>AND(tecantrop!X125,"AAAAAHP/5+M=")</f>
        <v>#VALUE!</v>
      </c>
      <c r="HU119">
        <f>IF(tecantrop!126:126,"AAAAAHP/5+Q=",0)</f>
        <v>0</v>
      </c>
      <c r="HV119" t="e">
        <f>AND(tecantrop!A126,"AAAAAHP/5+U=")</f>
        <v>#VALUE!</v>
      </c>
      <c r="HW119" t="e">
        <f>AND(tecantrop!B126,"AAAAAHP/5+Y=")</f>
        <v>#VALUE!</v>
      </c>
      <c r="HX119" t="e">
        <f>AND(tecantrop!C126,"AAAAAHP/5+c=")</f>
        <v>#VALUE!</v>
      </c>
      <c r="HY119" t="e">
        <f>AND(tecantrop!D126,"AAAAAHP/5+g=")</f>
        <v>#VALUE!</v>
      </c>
      <c r="HZ119" t="e">
        <f>AND(tecantrop!E126,"AAAAAHP/5+k=")</f>
        <v>#VALUE!</v>
      </c>
      <c r="IA119" t="e">
        <f>AND(tecantrop!F126,"AAAAAHP/5+o=")</f>
        <v>#VALUE!</v>
      </c>
      <c r="IB119" t="e">
        <f>AND(tecantrop!G126,"AAAAAHP/5+s=")</f>
        <v>#VALUE!</v>
      </c>
      <c r="IC119" t="e">
        <f>AND(tecantrop!H126,"AAAAAHP/5+w=")</f>
        <v>#VALUE!</v>
      </c>
      <c r="ID119" t="e">
        <f>AND(tecantrop!I126,"AAAAAHP/5+0=")</f>
        <v>#VALUE!</v>
      </c>
      <c r="IE119" t="e">
        <f>AND(tecantrop!J126,"AAAAAHP/5+4=")</f>
        <v>#VALUE!</v>
      </c>
      <c r="IF119" t="e">
        <f>AND(tecantrop!K126,"AAAAAHP/5+8=")</f>
        <v>#VALUE!</v>
      </c>
      <c r="IG119" t="e">
        <f>AND(tecantrop!L126,"AAAAAHP/5/A=")</f>
        <v>#VALUE!</v>
      </c>
      <c r="IH119" t="e">
        <f>AND(tecantrop!M126,"AAAAAHP/5/E=")</f>
        <v>#VALUE!</v>
      </c>
      <c r="II119" t="e">
        <f>AND(tecantrop!N126,"AAAAAHP/5/I=")</f>
        <v>#VALUE!</v>
      </c>
      <c r="IJ119" t="e">
        <f>AND(tecantrop!O126,"AAAAAHP/5/M=")</f>
        <v>#VALUE!</v>
      </c>
      <c r="IK119" t="e">
        <f>AND(tecantrop!P126,"AAAAAHP/5/Q=")</f>
        <v>#VALUE!</v>
      </c>
      <c r="IL119" t="e">
        <f>AND(tecantrop!Q126,"AAAAAHP/5/U=")</f>
        <v>#VALUE!</v>
      </c>
      <c r="IM119" t="e">
        <f>AND(tecantrop!R126,"AAAAAHP/5/Y=")</f>
        <v>#VALUE!</v>
      </c>
      <c r="IN119" t="e">
        <f>AND(tecantrop!S126,"AAAAAHP/5/c=")</f>
        <v>#VALUE!</v>
      </c>
      <c r="IO119" t="e">
        <f>AND(tecantrop!T126,"AAAAAHP/5/g=")</f>
        <v>#VALUE!</v>
      </c>
      <c r="IP119" t="e">
        <f>AND(tecantrop!U126,"AAAAAHP/5/k=")</f>
        <v>#VALUE!</v>
      </c>
      <c r="IQ119" t="e">
        <f>AND(tecantrop!V126,"AAAAAHP/5/o=")</f>
        <v>#VALUE!</v>
      </c>
      <c r="IR119" t="e">
        <f>AND(tecantrop!W126,"AAAAAHP/5/s=")</f>
        <v>#VALUE!</v>
      </c>
      <c r="IS119" t="e">
        <f>AND(tecantrop!X126,"AAAAAHP/5/w=")</f>
        <v>#VALUE!</v>
      </c>
      <c r="IT119">
        <f>IF(tecantrop!127:127,"AAAAAHP/5/0=",0)</f>
        <v>0</v>
      </c>
      <c r="IU119" t="e">
        <f>AND(tecantrop!A127,"AAAAAHP/5/4=")</f>
        <v>#VALUE!</v>
      </c>
      <c r="IV119" t="e">
        <f>AND(tecantrop!B127,"AAAAAHP/5/8=")</f>
        <v>#VALUE!</v>
      </c>
    </row>
    <row r="120" spans="1:256" x14ac:dyDescent="0.2">
      <c r="A120" t="e">
        <f>AND(tecantrop!C127,"AAAAAD/nnQA=")</f>
        <v>#VALUE!</v>
      </c>
      <c r="B120" t="e">
        <f>AND(tecantrop!D127,"AAAAAD/nnQE=")</f>
        <v>#VALUE!</v>
      </c>
      <c r="C120" t="e">
        <f>AND(tecantrop!E127,"AAAAAD/nnQI=")</f>
        <v>#VALUE!</v>
      </c>
      <c r="D120" t="e">
        <f>AND(tecantrop!F127,"AAAAAD/nnQM=")</f>
        <v>#VALUE!</v>
      </c>
      <c r="E120" t="e">
        <f>AND(tecantrop!G127,"AAAAAD/nnQQ=")</f>
        <v>#VALUE!</v>
      </c>
      <c r="F120" t="e">
        <f>AND(tecantrop!H127,"AAAAAD/nnQU=")</f>
        <v>#VALUE!</v>
      </c>
      <c r="G120" t="e">
        <f>AND(tecantrop!I127,"AAAAAD/nnQY=")</f>
        <v>#VALUE!</v>
      </c>
      <c r="H120" t="e">
        <f>AND(tecantrop!J127,"AAAAAD/nnQc=")</f>
        <v>#VALUE!</v>
      </c>
      <c r="I120" t="e">
        <f>AND(tecantrop!K127,"AAAAAD/nnQg=")</f>
        <v>#VALUE!</v>
      </c>
      <c r="J120" t="e">
        <f>AND(tecantrop!L127,"AAAAAD/nnQk=")</f>
        <v>#VALUE!</v>
      </c>
      <c r="K120" t="e">
        <f>AND(tecantrop!M127,"AAAAAD/nnQo=")</f>
        <v>#VALUE!</v>
      </c>
      <c r="L120" t="e">
        <f>AND(tecantrop!N127,"AAAAAD/nnQs=")</f>
        <v>#VALUE!</v>
      </c>
      <c r="M120" t="e">
        <f>AND(tecantrop!O127,"AAAAAD/nnQw=")</f>
        <v>#VALUE!</v>
      </c>
      <c r="N120" t="e">
        <f>AND(tecantrop!P127,"AAAAAD/nnQ0=")</f>
        <v>#VALUE!</v>
      </c>
      <c r="O120" t="e">
        <f>AND(tecantrop!Q127,"AAAAAD/nnQ4=")</f>
        <v>#VALUE!</v>
      </c>
      <c r="P120" t="e">
        <f>AND(tecantrop!R127,"AAAAAD/nnQ8=")</f>
        <v>#VALUE!</v>
      </c>
      <c r="Q120" t="e">
        <f>AND(tecantrop!S127,"AAAAAD/nnRA=")</f>
        <v>#VALUE!</v>
      </c>
      <c r="R120" t="e">
        <f>AND(tecantrop!T127,"AAAAAD/nnRE=")</f>
        <v>#VALUE!</v>
      </c>
      <c r="S120" t="e">
        <f>AND(tecantrop!U127,"AAAAAD/nnRI=")</f>
        <v>#VALUE!</v>
      </c>
      <c r="T120" t="e">
        <f>AND(tecantrop!V127,"AAAAAD/nnRM=")</f>
        <v>#VALUE!</v>
      </c>
      <c r="U120" t="e">
        <f>AND(tecantrop!W127,"AAAAAD/nnRQ=")</f>
        <v>#VALUE!</v>
      </c>
      <c r="V120" t="e">
        <f>AND(tecantrop!X127,"AAAAAD/nnRU=")</f>
        <v>#VALUE!</v>
      </c>
      <c r="W120">
        <f>IF(tecantrop!128:128,"AAAAAD/nnRY=",0)</f>
        <v>0</v>
      </c>
      <c r="X120" t="e">
        <f>AND(tecantrop!A128,"AAAAAD/nnRc=")</f>
        <v>#VALUE!</v>
      </c>
      <c r="Y120" t="e">
        <f>AND(tecantrop!B128,"AAAAAD/nnRg=")</f>
        <v>#VALUE!</v>
      </c>
      <c r="Z120" t="e">
        <f>AND(tecantrop!C128,"AAAAAD/nnRk=")</f>
        <v>#VALUE!</v>
      </c>
      <c r="AA120" t="e">
        <f>AND(tecantrop!D128,"AAAAAD/nnRo=")</f>
        <v>#VALUE!</v>
      </c>
      <c r="AB120" t="e">
        <f>AND(tecantrop!E128,"AAAAAD/nnRs=")</f>
        <v>#VALUE!</v>
      </c>
      <c r="AC120" t="e">
        <f>AND(tecantrop!F128,"AAAAAD/nnRw=")</f>
        <v>#VALUE!</v>
      </c>
      <c r="AD120" t="e">
        <f>AND(tecantrop!G128,"AAAAAD/nnR0=")</f>
        <v>#VALUE!</v>
      </c>
      <c r="AE120" t="e">
        <f>AND(tecantrop!H128,"AAAAAD/nnR4=")</f>
        <v>#VALUE!</v>
      </c>
      <c r="AF120" t="e">
        <f>AND(tecantrop!I128,"AAAAAD/nnR8=")</f>
        <v>#VALUE!</v>
      </c>
      <c r="AG120" t="e">
        <f>AND(tecantrop!J128,"AAAAAD/nnSA=")</f>
        <v>#VALUE!</v>
      </c>
      <c r="AH120" t="e">
        <f>AND(tecantrop!K128,"AAAAAD/nnSE=")</f>
        <v>#VALUE!</v>
      </c>
      <c r="AI120" t="e">
        <f>AND(tecantrop!L128,"AAAAAD/nnSI=")</f>
        <v>#VALUE!</v>
      </c>
      <c r="AJ120" t="e">
        <f>AND(tecantrop!M128,"AAAAAD/nnSM=")</f>
        <v>#VALUE!</v>
      </c>
      <c r="AK120" t="e">
        <f>AND(tecantrop!N128,"AAAAAD/nnSQ=")</f>
        <v>#VALUE!</v>
      </c>
      <c r="AL120" t="e">
        <f>AND(tecantrop!O128,"AAAAAD/nnSU=")</f>
        <v>#VALUE!</v>
      </c>
      <c r="AM120" t="e">
        <f>AND(tecantrop!P128,"AAAAAD/nnSY=")</f>
        <v>#VALUE!</v>
      </c>
      <c r="AN120" t="e">
        <f>AND(tecantrop!Q128,"AAAAAD/nnSc=")</f>
        <v>#VALUE!</v>
      </c>
      <c r="AO120" t="e">
        <f>AND(tecantrop!R128,"AAAAAD/nnSg=")</f>
        <v>#VALUE!</v>
      </c>
      <c r="AP120" t="e">
        <f>AND(tecantrop!S128,"AAAAAD/nnSk=")</f>
        <v>#VALUE!</v>
      </c>
      <c r="AQ120" t="e">
        <f>AND(tecantrop!T128,"AAAAAD/nnSo=")</f>
        <v>#VALUE!</v>
      </c>
      <c r="AR120" t="e">
        <f>AND(tecantrop!U128,"AAAAAD/nnSs=")</f>
        <v>#VALUE!</v>
      </c>
      <c r="AS120" t="e">
        <f>AND(tecantrop!V128,"AAAAAD/nnSw=")</f>
        <v>#VALUE!</v>
      </c>
      <c r="AT120" t="e">
        <f>AND(tecantrop!W128,"AAAAAD/nnS0=")</f>
        <v>#VALUE!</v>
      </c>
      <c r="AU120" t="e">
        <f>AND(tecantrop!X128,"AAAAAD/nnS4=")</f>
        <v>#VALUE!</v>
      </c>
      <c r="AV120">
        <f>IF(tecantrop!129:129,"AAAAAD/nnS8=",0)</f>
        <v>0</v>
      </c>
      <c r="AW120" t="e">
        <f>AND(tecantrop!A129,"AAAAAD/nnTA=")</f>
        <v>#VALUE!</v>
      </c>
      <c r="AX120" t="e">
        <f>AND(tecantrop!B129,"AAAAAD/nnTE=")</f>
        <v>#VALUE!</v>
      </c>
      <c r="AY120" t="e">
        <f>AND(tecantrop!C129,"AAAAAD/nnTI=")</f>
        <v>#VALUE!</v>
      </c>
      <c r="AZ120" t="e">
        <f>AND(tecantrop!D129,"AAAAAD/nnTM=")</f>
        <v>#VALUE!</v>
      </c>
      <c r="BA120" t="e">
        <f>AND(tecantrop!E129,"AAAAAD/nnTQ=")</f>
        <v>#VALUE!</v>
      </c>
      <c r="BB120" t="e">
        <f>AND(tecantrop!F129,"AAAAAD/nnTU=")</f>
        <v>#VALUE!</v>
      </c>
      <c r="BC120" t="e">
        <f>AND(tecantrop!G129,"AAAAAD/nnTY=")</f>
        <v>#VALUE!</v>
      </c>
      <c r="BD120" t="e">
        <f>AND(tecantrop!H129,"AAAAAD/nnTc=")</f>
        <v>#VALUE!</v>
      </c>
      <c r="BE120" t="e">
        <f>AND(tecantrop!I129,"AAAAAD/nnTg=")</f>
        <v>#VALUE!</v>
      </c>
      <c r="BF120" t="e">
        <f>AND(tecantrop!J129,"AAAAAD/nnTk=")</f>
        <v>#VALUE!</v>
      </c>
      <c r="BG120" t="e">
        <f>AND(tecantrop!K129,"AAAAAD/nnTo=")</f>
        <v>#VALUE!</v>
      </c>
      <c r="BH120" t="e">
        <f>AND(tecantrop!L129,"AAAAAD/nnTs=")</f>
        <v>#VALUE!</v>
      </c>
      <c r="BI120" t="e">
        <f>AND(tecantrop!M129,"AAAAAD/nnTw=")</f>
        <v>#VALUE!</v>
      </c>
      <c r="BJ120" t="e">
        <f>AND(tecantrop!N129,"AAAAAD/nnT0=")</f>
        <v>#VALUE!</v>
      </c>
      <c r="BK120" t="e">
        <f>AND(tecantrop!O129,"AAAAAD/nnT4=")</f>
        <v>#VALUE!</v>
      </c>
      <c r="BL120" t="e">
        <f>AND(tecantrop!P129,"AAAAAD/nnT8=")</f>
        <v>#VALUE!</v>
      </c>
      <c r="BM120" t="e">
        <f>AND(tecantrop!Q129,"AAAAAD/nnUA=")</f>
        <v>#VALUE!</v>
      </c>
      <c r="BN120" t="e">
        <f>AND(tecantrop!R129,"AAAAAD/nnUE=")</f>
        <v>#VALUE!</v>
      </c>
      <c r="BO120" t="e">
        <f>AND(tecantrop!S129,"AAAAAD/nnUI=")</f>
        <v>#VALUE!</v>
      </c>
      <c r="BP120" t="e">
        <f>AND(tecantrop!T129,"AAAAAD/nnUM=")</f>
        <v>#VALUE!</v>
      </c>
      <c r="BQ120" t="e">
        <f>AND(tecantrop!U129,"AAAAAD/nnUQ=")</f>
        <v>#VALUE!</v>
      </c>
      <c r="BR120" t="e">
        <f>AND(tecantrop!V129,"AAAAAD/nnUU=")</f>
        <v>#VALUE!</v>
      </c>
      <c r="BS120" t="e">
        <f>AND(tecantrop!W129,"AAAAAD/nnUY=")</f>
        <v>#VALUE!</v>
      </c>
      <c r="BT120" t="e">
        <f>AND(tecantrop!X129,"AAAAAD/nnUc=")</f>
        <v>#VALUE!</v>
      </c>
      <c r="BU120">
        <f>IF(tecantrop!130:130,"AAAAAD/nnUg=",0)</f>
        <v>0</v>
      </c>
      <c r="BV120" t="e">
        <f>AND(tecantrop!A130,"AAAAAD/nnUk=")</f>
        <v>#VALUE!</v>
      </c>
      <c r="BW120" t="e">
        <f>AND(tecantrop!B130,"AAAAAD/nnUo=")</f>
        <v>#VALUE!</v>
      </c>
      <c r="BX120" t="e">
        <f>AND(tecantrop!C130,"AAAAAD/nnUs=")</f>
        <v>#VALUE!</v>
      </c>
      <c r="BY120" t="e">
        <f>AND(tecantrop!D130,"AAAAAD/nnUw=")</f>
        <v>#VALUE!</v>
      </c>
      <c r="BZ120" t="e">
        <f>AND(tecantrop!E130,"AAAAAD/nnU0=")</f>
        <v>#VALUE!</v>
      </c>
      <c r="CA120" t="e">
        <f>AND(tecantrop!F130,"AAAAAD/nnU4=")</f>
        <v>#VALUE!</v>
      </c>
      <c r="CB120" t="e">
        <f>AND(tecantrop!G130,"AAAAAD/nnU8=")</f>
        <v>#VALUE!</v>
      </c>
      <c r="CC120" t="e">
        <f>AND(tecantrop!H130,"AAAAAD/nnVA=")</f>
        <v>#VALUE!</v>
      </c>
      <c r="CD120" t="e">
        <f>AND(tecantrop!I130,"AAAAAD/nnVE=")</f>
        <v>#VALUE!</v>
      </c>
      <c r="CE120" t="e">
        <f>AND(tecantrop!J130,"AAAAAD/nnVI=")</f>
        <v>#VALUE!</v>
      </c>
      <c r="CF120" t="e">
        <f>AND(tecantrop!K130,"AAAAAD/nnVM=")</f>
        <v>#VALUE!</v>
      </c>
      <c r="CG120" t="e">
        <f>AND(tecantrop!L130,"AAAAAD/nnVQ=")</f>
        <v>#VALUE!</v>
      </c>
      <c r="CH120" t="e">
        <f>AND(tecantrop!M130,"AAAAAD/nnVU=")</f>
        <v>#VALUE!</v>
      </c>
      <c r="CI120" t="e">
        <f>AND(tecantrop!N130,"AAAAAD/nnVY=")</f>
        <v>#VALUE!</v>
      </c>
      <c r="CJ120" t="e">
        <f>AND(tecantrop!O130,"AAAAAD/nnVc=")</f>
        <v>#VALUE!</v>
      </c>
      <c r="CK120" t="e">
        <f>AND(tecantrop!P130,"AAAAAD/nnVg=")</f>
        <v>#VALUE!</v>
      </c>
      <c r="CL120" t="e">
        <f>AND(tecantrop!Q130,"AAAAAD/nnVk=")</f>
        <v>#VALUE!</v>
      </c>
      <c r="CM120" t="e">
        <f>AND(tecantrop!R130,"AAAAAD/nnVo=")</f>
        <v>#VALUE!</v>
      </c>
      <c r="CN120" t="e">
        <f>AND(tecantrop!S130,"AAAAAD/nnVs=")</f>
        <v>#VALUE!</v>
      </c>
      <c r="CO120" t="e">
        <f>AND(tecantrop!T130,"AAAAAD/nnVw=")</f>
        <v>#VALUE!</v>
      </c>
      <c r="CP120" t="e">
        <f>AND(tecantrop!U130,"AAAAAD/nnV0=")</f>
        <v>#VALUE!</v>
      </c>
      <c r="CQ120" t="e">
        <f>AND(tecantrop!V130,"AAAAAD/nnV4=")</f>
        <v>#VALUE!</v>
      </c>
      <c r="CR120" t="e">
        <f>AND(tecantrop!W130,"AAAAAD/nnV8=")</f>
        <v>#VALUE!</v>
      </c>
      <c r="CS120" t="e">
        <f>AND(tecantrop!X130,"AAAAAD/nnWA=")</f>
        <v>#VALUE!</v>
      </c>
      <c r="CT120">
        <f>IF(tecantrop!131:131,"AAAAAD/nnWE=",0)</f>
        <v>0</v>
      </c>
      <c r="CU120" t="e">
        <f>AND(tecantrop!A131,"AAAAAD/nnWI=")</f>
        <v>#VALUE!</v>
      </c>
      <c r="CV120" t="e">
        <f>AND(tecantrop!B131,"AAAAAD/nnWM=")</f>
        <v>#VALUE!</v>
      </c>
      <c r="CW120" t="e">
        <f>AND(tecantrop!C131,"AAAAAD/nnWQ=")</f>
        <v>#VALUE!</v>
      </c>
      <c r="CX120" t="e">
        <f>AND(tecantrop!D131,"AAAAAD/nnWU=")</f>
        <v>#VALUE!</v>
      </c>
      <c r="CY120" t="e">
        <f>AND(tecantrop!E131,"AAAAAD/nnWY=")</f>
        <v>#VALUE!</v>
      </c>
      <c r="CZ120" t="e">
        <f>AND(tecantrop!F131,"AAAAAD/nnWc=")</f>
        <v>#VALUE!</v>
      </c>
      <c r="DA120" t="e">
        <f>AND(tecantrop!G131,"AAAAAD/nnWg=")</f>
        <v>#VALUE!</v>
      </c>
      <c r="DB120" t="e">
        <f>AND(tecantrop!H131,"AAAAAD/nnWk=")</f>
        <v>#VALUE!</v>
      </c>
      <c r="DC120" t="e">
        <f>AND(tecantrop!I131,"AAAAAD/nnWo=")</f>
        <v>#VALUE!</v>
      </c>
      <c r="DD120" t="e">
        <f>AND(tecantrop!J131,"AAAAAD/nnWs=")</f>
        <v>#VALUE!</v>
      </c>
      <c r="DE120" t="e">
        <f>AND(tecantrop!K131,"AAAAAD/nnWw=")</f>
        <v>#VALUE!</v>
      </c>
      <c r="DF120" t="e">
        <f>AND(tecantrop!L131,"AAAAAD/nnW0=")</f>
        <v>#VALUE!</v>
      </c>
      <c r="DG120" t="e">
        <f>AND(tecantrop!M131,"AAAAAD/nnW4=")</f>
        <v>#VALUE!</v>
      </c>
      <c r="DH120" t="e">
        <f>AND(tecantrop!N131,"AAAAAD/nnW8=")</f>
        <v>#VALUE!</v>
      </c>
      <c r="DI120" t="e">
        <f>AND(tecantrop!O131,"AAAAAD/nnXA=")</f>
        <v>#VALUE!</v>
      </c>
      <c r="DJ120" t="e">
        <f>AND(tecantrop!P131,"AAAAAD/nnXE=")</f>
        <v>#VALUE!</v>
      </c>
      <c r="DK120" t="e">
        <f>AND(tecantrop!Q131,"AAAAAD/nnXI=")</f>
        <v>#VALUE!</v>
      </c>
      <c r="DL120" t="e">
        <f>AND(tecantrop!R131,"AAAAAD/nnXM=")</f>
        <v>#VALUE!</v>
      </c>
      <c r="DM120" t="e">
        <f>AND(tecantrop!S131,"AAAAAD/nnXQ=")</f>
        <v>#VALUE!</v>
      </c>
      <c r="DN120" t="e">
        <f>AND(tecantrop!T131,"AAAAAD/nnXU=")</f>
        <v>#VALUE!</v>
      </c>
      <c r="DO120" t="e">
        <f>AND(tecantrop!U131,"AAAAAD/nnXY=")</f>
        <v>#VALUE!</v>
      </c>
      <c r="DP120" t="e">
        <f>AND(tecantrop!V131,"AAAAAD/nnXc=")</f>
        <v>#VALUE!</v>
      </c>
      <c r="DQ120" t="e">
        <f>AND(tecantrop!W131,"AAAAAD/nnXg=")</f>
        <v>#VALUE!</v>
      </c>
      <c r="DR120" t="e">
        <f>AND(tecantrop!X131,"AAAAAD/nnXk=")</f>
        <v>#VALUE!</v>
      </c>
      <c r="DS120">
        <f>IF(tecantrop!132:132,"AAAAAD/nnXo=",0)</f>
        <v>0</v>
      </c>
      <c r="DT120" t="e">
        <f>AND(tecantrop!A132,"AAAAAD/nnXs=")</f>
        <v>#VALUE!</v>
      </c>
      <c r="DU120" t="e">
        <f>AND(tecantrop!B132,"AAAAAD/nnXw=")</f>
        <v>#VALUE!</v>
      </c>
      <c r="DV120" t="e">
        <f>AND(tecantrop!C132,"AAAAAD/nnX0=")</f>
        <v>#VALUE!</v>
      </c>
      <c r="DW120" t="e">
        <f>AND(tecantrop!D132,"AAAAAD/nnX4=")</f>
        <v>#VALUE!</v>
      </c>
      <c r="DX120" t="e">
        <f>AND(tecantrop!E132,"AAAAAD/nnX8=")</f>
        <v>#VALUE!</v>
      </c>
      <c r="DY120" t="e">
        <f>AND(tecantrop!F132,"AAAAAD/nnYA=")</f>
        <v>#VALUE!</v>
      </c>
      <c r="DZ120" t="e">
        <f>AND(tecantrop!G132,"AAAAAD/nnYE=")</f>
        <v>#VALUE!</v>
      </c>
      <c r="EA120" t="e">
        <f>AND(tecantrop!H132,"AAAAAD/nnYI=")</f>
        <v>#VALUE!</v>
      </c>
      <c r="EB120" t="e">
        <f>AND(tecantrop!I132,"AAAAAD/nnYM=")</f>
        <v>#VALUE!</v>
      </c>
      <c r="EC120" t="e">
        <f>AND(tecantrop!J132,"AAAAAD/nnYQ=")</f>
        <v>#VALUE!</v>
      </c>
      <c r="ED120" t="e">
        <f>AND(tecantrop!K132,"AAAAAD/nnYU=")</f>
        <v>#VALUE!</v>
      </c>
      <c r="EE120" t="e">
        <f>AND(tecantrop!L132,"AAAAAD/nnYY=")</f>
        <v>#VALUE!</v>
      </c>
      <c r="EF120" t="e">
        <f>AND(tecantrop!M132,"AAAAAD/nnYc=")</f>
        <v>#VALUE!</v>
      </c>
      <c r="EG120" t="e">
        <f>AND(tecantrop!N132,"AAAAAD/nnYg=")</f>
        <v>#VALUE!</v>
      </c>
      <c r="EH120" t="e">
        <f>AND(tecantrop!O132,"AAAAAD/nnYk=")</f>
        <v>#VALUE!</v>
      </c>
      <c r="EI120" t="e">
        <f>AND(tecantrop!P132,"AAAAAD/nnYo=")</f>
        <v>#VALUE!</v>
      </c>
      <c r="EJ120" t="e">
        <f>AND(tecantrop!Q132,"AAAAAD/nnYs=")</f>
        <v>#VALUE!</v>
      </c>
      <c r="EK120" t="e">
        <f>AND(tecantrop!R132,"AAAAAD/nnYw=")</f>
        <v>#VALUE!</v>
      </c>
      <c r="EL120" t="e">
        <f>AND(tecantrop!S132,"AAAAAD/nnY0=")</f>
        <v>#VALUE!</v>
      </c>
      <c r="EM120" t="e">
        <f>AND(tecantrop!T132,"AAAAAD/nnY4=")</f>
        <v>#VALUE!</v>
      </c>
      <c r="EN120" t="e">
        <f>AND(tecantrop!U132,"AAAAAD/nnY8=")</f>
        <v>#VALUE!</v>
      </c>
      <c r="EO120" t="e">
        <f>AND(tecantrop!V132,"AAAAAD/nnZA=")</f>
        <v>#VALUE!</v>
      </c>
      <c r="EP120" t="e">
        <f>AND(tecantrop!W132,"AAAAAD/nnZE=")</f>
        <v>#VALUE!</v>
      </c>
      <c r="EQ120" t="e">
        <f>AND(tecantrop!X132,"AAAAAD/nnZI=")</f>
        <v>#VALUE!</v>
      </c>
      <c r="ER120">
        <f>IF(tecantrop!133:133,"AAAAAD/nnZM=",0)</f>
        <v>0</v>
      </c>
      <c r="ES120" t="e">
        <f>AND(tecantrop!A133,"AAAAAD/nnZQ=")</f>
        <v>#VALUE!</v>
      </c>
      <c r="ET120" t="e">
        <f>AND(tecantrop!B133,"AAAAAD/nnZU=")</f>
        <v>#VALUE!</v>
      </c>
      <c r="EU120" t="e">
        <f>AND(tecantrop!C133,"AAAAAD/nnZY=")</f>
        <v>#VALUE!</v>
      </c>
      <c r="EV120" t="e">
        <f>AND(tecantrop!D133,"AAAAAD/nnZc=")</f>
        <v>#VALUE!</v>
      </c>
      <c r="EW120" t="e">
        <f>AND(tecantrop!E133,"AAAAAD/nnZg=")</f>
        <v>#VALUE!</v>
      </c>
      <c r="EX120" t="e">
        <f>AND(tecantrop!F133,"AAAAAD/nnZk=")</f>
        <v>#VALUE!</v>
      </c>
      <c r="EY120" t="e">
        <f>AND(tecantrop!G133,"AAAAAD/nnZo=")</f>
        <v>#VALUE!</v>
      </c>
      <c r="EZ120" t="e">
        <f>AND(tecantrop!H133,"AAAAAD/nnZs=")</f>
        <v>#VALUE!</v>
      </c>
      <c r="FA120" t="e">
        <f>AND(tecantrop!I133,"AAAAAD/nnZw=")</f>
        <v>#VALUE!</v>
      </c>
      <c r="FB120" t="e">
        <f>AND(tecantrop!J133,"AAAAAD/nnZ0=")</f>
        <v>#VALUE!</v>
      </c>
      <c r="FC120" t="e">
        <f>AND(tecantrop!K133,"AAAAAD/nnZ4=")</f>
        <v>#VALUE!</v>
      </c>
      <c r="FD120" t="e">
        <f>AND(tecantrop!L133,"AAAAAD/nnZ8=")</f>
        <v>#VALUE!</v>
      </c>
      <c r="FE120" t="e">
        <f>AND(tecantrop!M133,"AAAAAD/nnaA=")</f>
        <v>#VALUE!</v>
      </c>
      <c r="FF120" t="e">
        <f>AND(tecantrop!N133,"AAAAAD/nnaE=")</f>
        <v>#VALUE!</v>
      </c>
      <c r="FG120" t="e">
        <f>AND(tecantrop!O133,"AAAAAD/nnaI=")</f>
        <v>#VALUE!</v>
      </c>
      <c r="FH120" t="e">
        <f>AND(tecantrop!P133,"AAAAAD/nnaM=")</f>
        <v>#VALUE!</v>
      </c>
      <c r="FI120" t="e">
        <f>AND(tecantrop!Q133,"AAAAAD/nnaQ=")</f>
        <v>#VALUE!</v>
      </c>
      <c r="FJ120" t="e">
        <f>AND(tecantrop!R133,"AAAAAD/nnaU=")</f>
        <v>#VALUE!</v>
      </c>
      <c r="FK120" t="e">
        <f>AND(tecantrop!S133,"AAAAAD/nnaY=")</f>
        <v>#VALUE!</v>
      </c>
      <c r="FL120" t="e">
        <f>AND(tecantrop!T133,"AAAAAD/nnac=")</f>
        <v>#VALUE!</v>
      </c>
      <c r="FM120" t="e">
        <f>AND(tecantrop!U133,"AAAAAD/nnag=")</f>
        <v>#VALUE!</v>
      </c>
      <c r="FN120" t="e">
        <f>AND(tecantrop!V133,"AAAAAD/nnak=")</f>
        <v>#VALUE!</v>
      </c>
      <c r="FO120" t="e">
        <f>AND(tecantrop!W133,"AAAAAD/nnao=")</f>
        <v>#VALUE!</v>
      </c>
      <c r="FP120" t="e">
        <f>AND(tecantrop!X133,"AAAAAD/nnas=")</f>
        <v>#VALUE!</v>
      </c>
      <c r="FQ120">
        <f>IF(tecantrop!134:134,"AAAAAD/nnaw=",0)</f>
        <v>0</v>
      </c>
      <c r="FR120" t="e">
        <f>AND(tecantrop!A134,"AAAAAD/nna0=")</f>
        <v>#VALUE!</v>
      </c>
      <c r="FS120" t="e">
        <f>AND(tecantrop!B134,"AAAAAD/nna4=")</f>
        <v>#VALUE!</v>
      </c>
      <c r="FT120" t="e">
        <f>AND(tecantrop!C134,"AAAAAD/nna8=")</f>
        <v>#VALUE!</v>
      </c>
      <c r="FU120" t="e">
        <f>AND(tecantrop!D134,"AAAAAD/nnbA=")</f>
        <v>#VALUE!</v>
      </c>
      <c r="FV120" t="e">
        <f>AND(tecantrop!E134,"AAAAAD/nnbE=")</f>
        <v>#VALUE!</v>
      </c>
      <c r="FW120" t="e">
        <f>AND(tecantrop!F134,"AAAAAD/nnbI=")</f>
        <v>#VALUE!</v>
      </c>
      <c r="FX120" t="e">
        <f>AND(tecantrop!G134,"AAAAAD/nnbM=")</f>
        <v>#VALUE!</v>
      </c>
      <c r="FY120" t="e">
        <f>AND(tecantrop!H134,"AAAAAD/nnbQ=")</f>
        <v>#VALUE!</v>
      </c>
      <c r="FZ120" t="e">
        <f>AND(tecantrop!I134,"AAAAAD/nnbU=")</f>
        <v>#VALUE!</v>
      </c>
      <c r="GA120" t="e">
        <f>AND(tecantrop!J134,"AAAAAD/nnbY=")</f>
        <v>#VALUE!</v>
      </c>
      <c r="GB120" t="e">
        <f>AND(tecantrop!K134,"AAAAAD/nnbc=")</f>
        <v>#VALUE!</v>
      </c>
      <c r="GC120" t="e">
        <f>AND(tecantrop!L134,"AAAAAD/nnbg=")</f>
        <v>#VALUE!</v>
      </c>
      <c r="GD120" t="e">
        <f>AND(tecantrop!M134,"AAAAAD/nnbk=")</f>
        <v>#VALUE!</v>
      </c>
      <c r="GE120" t="e">
        <f>AND(tecantrop!N134,"AAAAAD/nnbo=")</f>
        <v>#VALUE!</v>
      </c>
      <c r="GF120" t="e">
        <f>AND(tecantrop!O134,"AAAAAD/nnbs=")</f>
        <v>#VALUE!</v>
      </c>
      <c r="GG120" t="e">
        <f>AND(tecantrop!P134,"AAAAAD/nnbw=")</f>
        <v>#VALUE!</v>
      </c>
      <c r="GH120" t="e">
        <f>AND(tecantrop!Q134,"AAAAAD/nnb0=")</f>
        <v>#VALUE!</v>
      </c>
      <c r="GI120" t="e">
        <f>AND(tecantrop!R134,"AAAAAD/nnb4=")</f>
        <v>#VALUE!</v>
      </c>
      <c r="GJ120" t="e">
        <f>AND(tecantrop!S134,"AAAAAD/nnb8=")</f>
        <v>#VALUE!</v>
      </c>
      <c r="GK120" t="e">
        <f>AND(tecantrop!T134,"AAAAAD/nncA=")</f>
        <v>#VALUE!</v>
      </c>
      <c r="GL120" t="e">
        <f>AND(tecantrop!U134,"AAAAAD/nncE=")</f>
        <v>#VALUE!</v>
      </c>
      <c r="GM120" t="e">
        <f>AND(tecantrop!V134,"AAAAAD/nncI=")</f>
        <v>#VALUE!</v>
      </c>
      <c r="GN120" t="e">
        <f>AND(tecantrop!W134,"AAAAAD/nncM=")</f>
        <v>#VALUE!</v>
      </c>
      <c r="GO120" t="e">
        <f>AND(tecantrop!X134,"AAAAAD/nncQ=")</f>
        <v>#VALUE!</v>
      </c>
      <c r="GP120">
        <f>IF(tecantrop!135:135,"AAAAAD/nncU=",0)</f>
        <v>0</v>
      </c>
      <c r="GQ120" t="e">
        <f>AND(tecantrop!A135,"AAAAAD/nncY=")</f>
        <v>#VALUE!</v>
      </c>
      <c r="GR120" t="e">
        <f>AND(tecantrop!B135,"AAAAAD/nncc=")</f>
        <v>#VALUE!</v>
      </c>
      <c r="GS120" t="e">
        <f>AND(tecantrop!C135,"AAAAAD/nncg=")</f>
        <v>#VALUE!</v>
      </c>
      <c r="GT120" t="e">
        <f>AND(tecantrop!D135,"AAAAAD/nnck=")</f>
        <v>#VALUE!</v>
      </c>
      <c r="GU120" t="e">
        <f>AND(tecantrop!E135,"AAAAAD/nnco=")</f>
        <v>#VALUE!</v>
      </c>
      <c r="GV120" t="e">
        <f>AND(tecantrop!F135,"AAAAAD/nncs=")</f>
        <v>#VALUE!</v>
      </c>
      <c r="GW120" t="e">
        <f>AND(tecantrop!G135,"AAAAAD/nncw=")</f>
        <v>#VALUE!</v>
      </c>
      <c r="GX120" t="e">
        <f>AND(tecantrop!H135,"AAAAAD/nnc0=")</f>
        <v>#VALUE!</v>
      </c>
      <c r="GY120" t="e">
        <f>AND(tecantrop!I135,"AAAAAD/nnc4=")</f>
        <v>#VALUE!</v>
      </c>
      <c r="GZ120" t="e">
        <f>AND(tecantrop!J135,"AAAAAD/nnc8=")</f>
        <v>#VALUE!</v>
      </c>
      <c r="HA120" t="e">
        <f>AND(tecantrop!K135,"AAAAAD/nndA=")</f>
        <v>#VALUE!</v>
      </c>
      <c r="HB120" t="e">
        <f>AND(tecantrop!L135,"AAAAAD/nndE=")</f>
        <v>#VALUE!</v>
      </c>
      <c r="HC120" t="e">
        <f>AND(tecantrop!M135,"AAAAAD/nndI=")</f>
        <v>#VALUE!</v>
      </c>
      <c r="HD120" t="e">
        <f>AND(tecantrop!N135,"AAAAAD/nndM=")</f>
        <v>#VALUE!</v>
      </c>
      <c r="HE120" t="e">
        <f>AND(tecantrop!O135,"AAAAAD/nndQ=")</f>
        <v>#VALUE!</v>
      </c>
      <c r="HF120" t="e">
        <f>AND(tecantrop!P135,"AAAAAD/nndU=")</f>
        <v>#VALUE!</v>
      </c>
      <c r="HG120" t="e">
        <f>AND(tecantrop!Q135,"AAAAAD/nndY=")</f>
        <v>#VALUE!</v>
      </c>
      <c r="HH120" t="e">
        <f>AND(tecantrop!R135,"AAAAAD/nndc=")</f>
        <v>#VALUE!</v>
      </c>
      <c r="HI120" t="e">
        <f>AND(tecantrop!S135,"AAAAAD/nndg=")</f>
        <v>#VALUE!</v>
      </c>
      <c r="HJ120" t="e">
        <f>AND(tecantrop!T135,"AAAAAD/nndk=")</f>
        <v>#VALUE!</v>
      </c>
      <c r="HK120" t="e">
        <f>AND(tecantrop!U135,"AAAAAD/nndo=")</f>
        <v>#VALUE!</v>
      </c>
      <c r="HL120" t="e">
        <f>AND(tecantrop!V135,"AAAAAD/nnds=")</f>
        <v>#VALUE!</v>
      </c>
      <c r="HM120" t="e">
        <f>AND(tecantrop!W135,"AAAAAD/nndw=")</f>
        <v>#VALUE!</v>
      </c>
      <c r="HN120" t="e">
        <f>AND(tecantrop!X135,"AAAAAD/nnd0=")</f>
        <v>#VALUE!</v>
      </c>
      <c r="HO120">
        <f>IF(tecantrop!136:136,"AAAAAD/nnd4=",0)</f>
        <v>0</v>
      </c>
      <c r="HP120" t="e">
        <f>AND(tecantrop!A136,"AAAAAD/nnd8=")</f>
        <v>#VALUE!</v>
      </c>
      <c r="HQ120" t="e">
        <f>AND(tecantrop!B136,"AAAAAD/nneA=")</f>
        <v>#VALUE!</v>
      </c>
      <c r="HR120" t="e">
        <f>AND(tecantrop!C136,"AAAAAD/nneE=")</f>
        <v>#VALUE!</v>
      </c>
      <c r="HS120" t="e">
        <f>AND(tecantrop!D136,"AAAAAD/nneI=")</f>
        <v>#VALUE!</v>
      </c>
      <c r="HT120" t="e">
        <f>AND(tecantrop!E136,"AAAAAD/nneM=")</f>
        <v>#VALUE!</v>
      </c>
      <c r="HU120" t="e">
        <f>AND(tecantrop!F136,"AAAAAD/nneQ=")</f>
        <v>#VALUE!</v>
      </c>
      <c r="HV120" t="e">
        <f>AND(tecantrop!G136,"AAAAAD/nneU=")</f>
        <v>#VALUE!</v>
      </c>
      <c r="HW120" t="e">
        <f>AND(tecantrop!H136,"AAAAAD/nneY=")</f>
        <v>#VALUE!</v>
      </c>
      <c r="HX120" t="e">
        <f>AND(tecantrop!I136,"AAAAAD/nnec=")</f>
        <v>#VALUE!</v>
      </c>
      <c r="HY120" t="e">
        <f>AND(tecantrop!J136,"AAAAAD/nneg=")</f>
        <v>#VALUE!</v>
      </c>
      <c r="HZ120" t="e">
        <f>AND(tecantrop!K136,"AAAAAD/nnek=")</f>
        <v>#VALUE!</v>
      </c>
      <c r="IA120" t="e">
        <f>AND(tecantrop!L136,"AAAAAD/nneo=")</f>
        <v>#VALUE!</v>
      </c>
      <c r="IB120" t="e">
        <f>AND(tecantrop!M136,"AAAAAD/nnes=")</f>
        <v>#VALUE!</v>
      </c>
      <c r="IC120" t="e">
        <f>AND(tecantrop!N136,"AAAAAD/nnew=")</f>
        <v>#VALUE!</v>
      </c>
      <c r="ID120" t="e">
        <f>AND(tecantrop!O136,"AAAAAD/nne0=")</f>
        <v>#VALUE!</v>
      </c>
      <c r="IE120" t="e">
        <f>AND(tecantrop!P136,"AAAAAD/nne4=")</f>
        <v>#VALUE!</v>
      </c>
      <c r="IF120" t="e">
        <f>AND(tecantrop!Q136,"AAAAAD/nne8=")</f>
        <v>#VALUE!</v>
      </c>
      <c r="IG120" t="e">
        <f>AND(tecantrop!R136,"AAAAAD/nnfA=")</f>
        <v>#VALUE!</v>
      </c>
      <c r="IH120" t="e">
        <f>AND(tecantrop!S136,"AAAAAD/nnfE=")</f>
        <v>#VALUE!</v>
      </c>
      <c r="II120" t="e">
        <f>AND(tecantrop!T136,"AAAAAD/nnfI=")</f>
        <v>#VALUE!</v>
      </c>
      <c r="IJ120" t="e">
        <f>AND(tecantrop!U136,"AAAAAD/nnfM=")</f>
        <v>#VALUE!</v>
      </c>
      <c r="IK120" t="e">
        <f>AND(tecantrop!V136,"AAAAAD/nnfQ=")</f>
        <v>#VALUE!</v>
      </c>
      <c r="IL120" t="e">
        <f>AND(tecantrop!W136,"AAAAAD/nnfU=")</f>
        <v>#VALUE!</v>
      </c>
      <c r="IM120" t="e">
        <f>AND(tecantrop!X136,"AAAAAD/nnfY=")</f>
        <v>#VALUE!</v>
      </c>
      <c r="IN120">
        <f>IF(tecantrop!137:137,"AAAAAD/nnfc=",0)</f>
        <v>0</v>
      </c>
      <c r="IO120" t="e">
        <f>AND(tecantrop!A137,"AAAAAD/nnfg=")</f>
        <v>#VALUE!</v>
      </c>
      <c r="IP120" t="e">
        <f>AND(tecantrop!B137,"AAAAAD/nnfk=")</f>
        <v>#VALUE!</v>
      </c>
      <c r="IQ120" t="e">
        <f>AND(tecantrop!C137,"AAAAAD/nnfo=")</f>
        <v>#VALUE!</v>
      </c>
      <c r="IR120" t="e">
        <f>AND(tecantrop!D137,"AAAAAD/nnfs=")</f>
        <v>#VALUE!</v>
      </c>
      <c r="IS120" t="e">
        <f>AND(tecantrop!E137,"AAAAAD/nnfw=")</f>
        <v>#VALUE!</v>
      </c>
      <c r="IT120" t="e">
        <f>AND(tecantrop!F137,"AAAAAD/nnf0=")</f>
        <v>#VALUE!</v>
      </c>
      <c r="IU120" t="e">
        <f>AND(tecantrop!G137,"AAAAAD/nnf4=")</f>
        <v>#VALUE!</v>
      </c>
      <c r="IV120" t="e">
        <f>AND(tecantrop!H137,"AAAAAD/nnf8=")</f>
        <v>#VALUE!</v>
      </c>
    </row>
    <row r="121" spans="1:256" x14ac:dyDescent="0.2">
      <c r="A121" t="e">
        <f>AND(tecantrop!I137,"AAAAACfnnwA=")</f>
        <v>#VALUE!</v>
      </c>
      <c r="B121" t="e">
        <f>AND(tecantrop!J137,"AAAAACfnnwE=")</f>
        <v>#VALUE!</v>
      </c>
      <c r="C121" t="e">
        <f>AND(tecantrop!K137,"AAAAACfnnwI=")</f>
        <v>#VALUE!</v>
      </c>
      <c r="D121" t="e">
        <f>AND(tecantrop!L137,"AAAAACfnnwM=")</f>
        <v>#VALUE!</v>
      </c>
      <c r="E121" t="e">
        <f>AND(tecantrop!M137,"AAAAACfnnwQ=")</f>
        <v>#VALUE!</v>
      </c>
      <c r="F121" t="e">
        <f>AND(tecantrop!N137,"AAAAACfnnwU=")</f>
        <v>#VALUE!</v>
      </c>
      <c r="G121" t="e">
        <f>AND(tecantrop!O137,"AAAAACfnnwY=")</f>
        <v>#VALUE!</v>
      </c>
      <c r="H121" t="e">
        <f>AND(tecantrop!P137,"AAAAACfnnwc=")</f>
        <v>#VALUE!</v>
      </c>
      <c r="I121" t="e">
        <f>AND(tecantrop!Q137,"AAAAACfnnwg=")</f>
        <v>#VALUE!</v>
      </c>
      <c r="J121" t="e">
        <f>AND(tecantrop!R137,"AAAAACfnnwk=")</f>
        <v>#VALUE!</v>
      </c>
      <c r="K121" t="e">
        <f>AND(tecantrop!S137,"AAAAACfnnwo=")</f>
        <v>#VALUE!</v>
      </c>
      <c r="L121" t="e">
        <f>AND(tecantrop!T137,"AAAAACfnnws=")</f>
        <v>#VALUE!</v>
      </c>
      <c r="M121" t="e">
        <f>AND(tecantrop!U137,"AAAAACfnnww=")</f>
        <v>#VALUE!</v>
      </c>
      <c r="N121" t="e">
        <f>AND(tecantrop!V137,"AAAAACfnnw0=")</f>
        <v>#VALUE!</v>
      </c>
      <c r="O121" t="e">
        <f>AND(tecantrop!W137,"AAAAACfnnw4=")</f>
        <v>#VALUE!</v>
      </c>
      <c r="P121" t="e">
        <f>AND(tecantrop!X137,"AAAAACfnnw8=")</f>
        <v>#VALUE!</v>
      </c>
      <c r="Q121">
        <f>IF(tecantrop!138:138,"AAAAACfnnxA=",0)</f>
        <v>0</v>
      </c>
      <c r="R121" t="e">
        <f>AND(tecantrop!A138,"AAAAACfnnxE=")</f>
        <v>#VALUE!</v>
      </c>
      <c r="S121" t="e">
        <f>AND(tecantrop!B138,"AAAAACfnnxI=")</f>
        <v>#VALUE!</v>
      </c>
      <c r="T121" t="e">
        <f>AND(tecantrop!C138,"AAAAACfnnxM=")</f>
        <v>#VALUE!</v>
      </c>
      <c r="U121" t="e">
        <f>AND(tecantrop!D138,"AAAAACfnnxQ=")</f>
        <v>#VALUE!</v>
      </c>
      <c r="V121" t="e">
        <f>AND(tecantrop!E138,"AAAAACfnnxU=")</f>
        <v>#VALUE!</v>
      </c>
      <c r="W121" t="e">
        <f>AND(tecantrop!F138,"AAAAACfnnxY=")</f>
        <v>#VALUE!</v>
      </c>
      <c r="X121" t="e">
        <f>AND(tecantrop!G138,"AAAAACfnnxc=")</f>
        <v>#VALUE!</v>
      </c>
      <c r="Y121" t="e">
        <f>AND(tecantrop!H138,"AAAAACfnnxg=")</f>
        <v>#VALUE!</v>
      </c>
      <c r="Z121" t="e">
        <f>AND(tecantrop!I138,"AAAAACfnnxk=")</f>
        <v>#VALUE!</v>
      </c>
      <c r="AA121" t="e">
        <f>AND(tecantrop!J138,"AAAAACfnnxo=")</f>
        <v>#VALUE!</v>
      </c>
      <c r="AB121" t="e">
        <f>AND(tecantrop!K138,"AAAAACfnnxs=")</f>
        <v>#VALUE!</v>
      </c>
      <c r="AC121" t="e">
        <f>AND(tecantrop!L138,"AAAAACfnnxw=")</f>
        <v>#VALUE!</v>
      </c>
      <c r="AD121" t="e">
        <f>AND(tecantrop!M138,"AAAAACfnnx0=")</f>
        <v>#VALUE!</v>
      </c>
      <c r="AE121" t="e">
        <f>AND(tecantrop!N138,"AAAAACfnnx4=")</f>
        <v>#VALUE!</v>
      </c>
      <c r="AF121" t="e">
        <f>AND(tecantrop!O138,"AAAAACfnnx8=")</f>
        <v>#VALUE!</v>
      </c>
      <c r="AG121" t="e">
        <f>AND(tecantrop!P138,"AAAAACfnnyA=")</f>
        <v>#VALUE!</v>
      </c>
      <c r="AH121" t="e">
        <f>AND(tecantrop!Q138,"AAAAACfnnyE=")</f>
        <v>#VALUE!</v>
      </c>
      <c r="AI121" t="e">
        <f>AND(tecantrop!R138,"AAAAACfnnyI=")</f>
        <v>#VALUE!</v>
      </c>
      <c r="AJ121" t="e">
        <f>AND(tecantrop!S138,"AAAAACfnnyM=")</f>
        <v>#VALUE!</v>
      </c>
      <c r="AK121" t="e">
        <f>AND(tecantrop!T138,"AAAAACfnnyQ=")</f>
        <v>#VALUE!</v>
      </c>
      <c r="AL121" t="e">
        <f>AND(tecantrop!U138,"AAAAACfnnyU=")</f>
        <v>#VALUE!</v>
      </c>
      <c r="AM121" t="e">
        <f>AND(tecantrop!V138,"AAAAACfnnyY=")</f>
        <v>#VALUE!</v>
      </c>
      <c r="AN121" t="e">
        <f>AND(tecantrop!W138,"AAAAACfnnyc=")</f>
        <v>#VALUE!</v>
      </c>
      <c r="AO121" t="e">
        <f>AND(tecantrop!X138,"AAAAACfnnyg=")</f>
        <v>#VALUE!</v>
      </c>
      <c r="AP121">
        <f>IF(tecantrop!139:139,"AAAAACfnnyk=",0)</f>
        <v>0</v>
      </c>
      <c r="AQ121" t="e">
        <f>AND(tecantrop!A139,"AAAAACfnnyo=")</f>
        <v>#VALUE!</v>
      </c>
      <c r="AR121" t="e">
        <f>AND(tecantrop!B139,"AAAAACfnnys=")</f>
        <v>#VALUE!</v>
      </c>
      <c r="AS121" t="e">
        <f>AND(tecantrop!C139,"AAAAACfnnyw=")</f>
        <v>#VALUE!</v>
      </c>
      <c r="AT121" t="e">
        <f>AND(tecantrop!D139,"AAAAACfnny0=")</f>
        <v>#VALUE!</v>
      </c>
      <c r="AU121" t="e">
        <f>AND(tecantrop!E139,"AAAAACfnny4=")</f>
        <v>#VALUE!</v>
      </c>
      <c r="AV121" t="e">
        <f>AND(tecantrop!F139,"AAAAACfnny8=")</f>
        <v>#VALUE!</v>
      </c>
      <c r="AW121" t="e">
        <f>AND(tecantrop!G139,"AAAAACfnnzA=")</f>
        <v>#VALUE!</v>
      </c>
      <c r="AX121" t="e">
        <f>AND(tecantrop!H139,"AAAAACfnnzE=")</f>
        <v>#VALUE!</v>
      </c>
      <c r="AY121" t="e">
        <f>AND(tecantrop!I139,"AAAAACfnnzI=")</f>
        <v>#VALUE!</v>
      </c>
      <c r="AZ121" t="e">
        <f>AND(tecantrop!J139,"AAAAACfnnzM=")</f>
        <v>#VALUE!</v>
      </c>
      <c r="BA121" t="e">
        <f>AND(tecantrop!K139,"AAAAACfnnzQ=")</f>
        <v>#VALUE!</v>
      </c>
      <c r="BB121" t="e">
        <f>AND(tecantrop!L139,"AAAAACfnnzU=")</f>
        <v>#VALUE!</v>
      </c>
      <c r="BC121" t="e">
        <f>AND(tecantrop!M139,"AAAAACfnnzY=")</f>
        <v>#VALUE!</v>
      </c>
      <c r="BD121" t="e">
        <f>AND(tecantrop!N139,"AAAAACfnnzc=")</f>
        <v>#VALUE!</v>
      </c>
      <c r="BE121" t="e">
        <f>AND(tecantrop!O139,"AAAAACfnnzg=")</f>
        <v>#VALUE!</v>
      </c>
      <c r="BF121" t="e">
        <f>AND(tecantrop!P139,"AAAAACfnnzk=")</f>
        <v>#VALUE!</v>
      </c>
      <c r="BG121" t="e">
        <f>AND(tecantrop!Q139,"AAAAACfnnzo=")</f>
        <v>#VALUE!</v>
      </c>
      <c r="BH121" t="e">
        <f>AND(tecantrop!R139,"AAAAACfnnzs=")</f>
        <v>#VALUE!</v>
      </c>
      <c r="BI121" t="e">
        <f>AND(tecantrop!S139,"AAAAACfnnzw=")</f>
        <v>#VALUE!</v>
      </c>
      <c r="BJ121" t="e">
        <f>AND(tecantrop!T139,"AAAAACfnnz0=")</f>
        <v>#VALUE!</v>
      </c>
      <c r="BK121" t="e">
        <f>AND(tecantrop!U139,"AAAAACfnnz4=")</f>
        <v>#VALUE!</v>
      </c>
      <c r="BL121" t="e">
        <f>AND(tecantrop!V139,"AAAAACfnnz8=")</f>
        <v>#VALUE!</v>
      </c>
      <c r="BM121" t="e">
        <f>AND(tecantrop!W139,"AAAAACfnn0A=")</f>
        <v>#VALUE!</v>
      </c>
      <c r="BN121" t="e">
        <f>AND(tecantrop!X139,"AAAAACfnn0E=")</f>
        <v>#VALUE!</v>
      </c>
      <c r="BO121">
        <f>IF(tecantrop!140:140,"AAAAACfnn0I=",0)</f>
        <v>0</v>
      </c>
      <c r="BP121" t="e">
        <f>AND(tecantrop!A140,"AAAAACfnn0M=")</f>
        <v>#VALUE!</v>
      </c>
      <c r="BQ121" t="e">
        <f>AND(tecantrop!B140,"AAAAACfnn0Q=")</f>
        <v>#VALUE!</v>
      </c>
      <c r="BR121" t="e">
        <f>AND(tecantrop!C140,"AAAAACfnn0U=")</f>
        <v>#VALUE!</v>
      </c>
      <c r="BS121" t="e">
        <f>AND(tecantrop!D140,"AAAAACfnn0Y=")</f>
        <v>#VALUE!</v>
      </c>
      <c r="BT121" t="e">
        <f>AND(tecantrop!E140,"AAAAACfnn0c=")</f>
        <v>#VALUE!</v>
      </c>
      <c r="BU121" t="e">
        <f>AND(tecantrop!F140,"AAAAACfnn0g=")</f>
        <v>#VALUE!</v>
      </c>
      <c r="BV121" t="e">
        <f>AND(tecantrop!G140,"AAAAACfnn0k=")</f>
        <v>#VALUE!</v>
      </c>
      <c r="BW121" t="e">
        <f>AND(tecantrop!H140,"AAAAACfnn0o=")</f>
        <v>#VALUE!</v>
      </c>
      <c r="BX121" t="e">
        <f>AND(tecantrop!I140,"AAAAACfnn0s=")</f>
        <v>#VALUE!</v>
      </c>
      <c r="BY121" t="e">
        <f>AND(tecantrop!J140,"AAAAACfnn0w=")</f>
        <v>#VALUE!</v>
      </c>
      <c r="BZ121" t="e">
        <f>AND(tecantrop!K140,"AAAAACfnn00=")</f>
        <v>#VALUE!</v>
      </c>
      <c r="CA121" t="e">
        <f>AND(tecantrop!L140,"AAAAACfnn04=")</f>
        <v>#VALUE!</v>
      </c>
      <c r="CB121" t="e">
        <f>AND(tecantrop!M140,"AAAAACfnn08=")</f>
        <v>#VALUE!</v>
      </c>
      <c r="CC121" t="e">
        <f>AND(tecantrop!N140,"AAAAACfnn1A=")</f>
        <v>#VALUE!</v>
      </c>
      <c r="CD121" t="e">
        <f>AND(tecantrop!O140,"AAAAACfnn1E=")</f>
        <v>#VALUE!</v>
      </c>
      <c r="CE121" t="e">
        <f>AND(tecantrop!P140,"AAAAACfnn1I=")</f>
        <v>#VALUE!</v>
      </c>
      <c r="CF121" t="e">
        <f>AND(tecantrop!Q140,"AAAAACfnn1M=")</f>
        <v>#VALUE!</v>
      </c>
      <c r="CG121" t="e">
        <f>AND(tecantrop!R140,"AAAAACfnn1Q=")</f>
        <v>#VALUE!</v>
      </c>
      <c r="CH121" t="e">
        <f>AND(tecantrop!S140,"AAAAACfnn1U=")</f>
        <v>#VALUE!</v>
      </c>
      <c r="CI121" t="e">
        <f>AND(tecantrop!T140,"AAAAACfnn1Y=")</f>
        <v>#VALUE!</v>
      </c>
      <c r="CJ121" t="e">
        <f>AND(tecantrop!U140,"AAAAACfnn1c=")</f>
        <v>#VALUE!</v>
      </c>
      <c r="CK121" t="e">
        <f>AND(tecantrop!V140,"AAAAACfnn1g=")</f>
        <v>#VALUE!</v>
      </c>
      <c r="CL121" t="e">
        <f>AND(tecantrop!W140,"AAAAACfnn1k=")</f>
        <v>#VALUE!</v>
      </c>
      <c r="CM121" t="e">
        <f>AND(tecantrop!X140,"AAAAACfnn1o=")</f>
        <v>#VALUE!</v>
      </c>
      <c r="CN121">
        <f>IF(tecantrop!141:141,"AAAAACfnn1s=",0)</f>
        <v>0</v>
      </c>
      <c r="CO121" t="e">
        <f>AND(tecantrop!A141,"AAAAACfnn1w=")</f>
        <v>#VALUE!</v>
      </c>
      <c r="CP121" t="e">
        <f>AND(tecantrop!B141,"AAAAACfnn10=")</f>
        <v>#VALUE!</v>
      </c>
      <c r="CQ121" t="e">
        <f>AND(tecantrop!C141,"AAAAACfnn14=")</f>
        <v>#VALUE!</v>
      </c>
      <c r="CR121" t="e">
        <f>AND(tecantrop!D141,"AAAAACfnn18=")</f>
        <v>#VALUE!</v>
      </c>
      <c r="CS121" t="e">
        <f>AND(tecantrop!E141,"AAAAACfnn2A=")</f>
        <v>#VALUE!</v>
      </c>
      <c r="CT121" t="e">
        <f>AND(tecantrop!F141,"AAAAACfnn2E=")</f>
        <v>#VALUE!</v>
      </c>
      <c r="CU121" t="e">
        <f>AND(tecantrop!G141,"AAAAACfnn2I=")</f>
        <v>#VALUE!</v>
      </c>
      <c r="CV121" t="e">
        <f>AND(tecantrop!H141,"AAAAACfnn2M=")</f>
        <v>#VALUE!</v>
      </c>
      <c r="CW121" t="e">
        <f>AND(tecantrop!I141,"AAAAACfnn2Q=")</f>
        <v>#VALUE!</v>
      </c>
      <c r="CX121" t="e">
        <f>AND(tecantrop!J141,"AAAAACfnn2U=")</f>
        <v>#VALUE!</v>
      </c>
      <c r="CY121" t="e">
        <f>AND(tecantrop!K141,"AAAAACfnn2Y=")</f>
        <v>#VALUE!</v>
      </c>
      <c r="CZ121" t="e">
        <f>AND(tecantrop!L141,"AAAAACfnn2c=")</f>
        <v>#VALUE!</v>
      </c>
      <c r="DA121" t="e">
        <f>AND(tecantrop!M141,"AAAAACfnn2g=")</f>
        <v>#VALUE!</v>
      </c>
      <c r="DB121" t="e">
        <f>AND(tecantrop!N141,"AAAAACfnn2k=")</f>
        <v>#VALUE!</v>
      </c>
      <c r="DC121" t="e">
        <f>AND(tecantrop!O141,"AAAAACfnn2o=")</f>
        <v>#VALUE!</v>
      </c>
      <c r="DD121" t="e">
        <f>AND(tecantrop!P141,"AAAAACfnn2s=")</f>
        <v>#VALUE!</v>
      </c>
      <c r="DE121" t="e">
        <f>AND(tecantrop!Q141,"AAAAACfnn2w=")</f>
        <v>#VALUE!</v>
      </c>
      <c r="DF121" t="e">
        <f>AND(tecantrop!R141,"AAAAACfnn20=")</f>
        <v>#VALUE!</v>
      </c>
      <c r="DG121" t="e">
        <f>AND(tecantrop!S141,"AAAAACfnn24=")</f>
        <v>#VALUE!</v>
      </c>
      <c r="DH121" t="e">
        <f>AND(tecantrop!T141,"AAAAACfnn28=")</f>
        <v>#VALUE!</v>
      </c>
      <c r="DI121" t="e">
        <f>AND(tecantrop!U141,"AAAAACfnn3A=")</f>
        <v>#VALUE!</v>
      </c>
      <c r="DJ121" t="e">
        <f>AND(tecantrop!V141,"AAAAACfnn3E=")</f>
        <v>#VALUE!</v>
      </c>
      <c r="DK121" t="e">
        <f>AND(tecantrop!W141,"AAAAACfnn3I=")</f>
        <v>#VALUE!</v>
      </c>
      <c r="DL121" t="e">
        <f>AND(tecantrop!X141,"AAAAACfnn3M=")</f>
        <v>#VALUE!</v>
      </c>
      <c r="DM121">
        <f>IF(tecantrop!142:142,"AAAAACfnn3Q=",0)</f>
        <v>0</v>
      </c>
      <c r="DN121" t="e">
        <f>AND(tecantrop!A142,"AAAAACfnn3U=")</f>
        <v>#VALUE!</v>
      </c>
      <c r="DO121" t="e">
        <f>AND(tecantrop!B142,"AAAAACfnn3Y=")</f>
        <v>#VALUE!</v>
      </c>
      <c r="DP121" t="e">
        <f>AND(tecantrop!C142,"AAAAACfnn3c=")</f>
        <v>#VALUE!</v>
      </c>
      <c r="DQ121" t="e">
        <f>AND(tecantrop!D142,"AAAAACfnn3g=")</f>
        <v>#VALUE!</v>
      </c>
      <c r="DR121" t="e">
        <f>AND(tecantrop!E142,"AAAAACfnn3k=")</f>
        <v>#VALUE!</v>
      </c>
      <c r="DS121" t="e">
        <f>AND(tecantrop!F142,"AAAAACfnn3o=")</f>
        <v>#VALUE!</v>
      </c>
      <c r="DT121" t="e">
        <f>AND(tecantrop!G142,"AAAAACfnn3s=")</f>
        <v>#VALUE!</v>
      </c>
      <c r="DU121" t="e">
        <f>AND(tecantrop!H142,"AAAAACfnn3w=")</f>
        <v>#VALUE!</v>
      </c>
      <c r="DV121" t="e">
        <f>AND(tecantrop!I142,"AAAAACfnn30=")</f>
        <v>#VALUE!</v>
      </c>
      <c r="DW121" t="e">
        <f>AND(tecantrop!J142,"AAAAACfnn34=")</f>
        <v>#VALUE!</v>
      </c>
      <c r="DX121" t="e">
        <f>AND(tecantrop!K142,"AAAAACfnn38=")</f>
        <v>#VALUE!</v>
      </c>
      <c r="DY121" t="e">
        <f>AND(tecantrop!L142,"AAAAACfnn4A=")</f>
        <v>#VALUE!</v>
      </c>
      <c r="DZ121" t="e">
        <f>AND(tecantrop!M142,"AAAAACfnn4E=")</f>
        <v>#VALUE!</v>
      </c>
      <c r="EA121" t="e">
        <f>AND(tecantrop!N142,"AAAAACfnn4I=")</f>
        <v>#VALUE!</v>
      </c>
      <c r="EB121" t="e">
        <f>AND(tecantrop!O142,"AAAAACfnn4M=")</f>
        <v>#VALUE!</v>
      </c>
      <c r="EC121" t="e">
        <f>AND(tecantrop!P142,"AAAAACfnn4Q=")</f>
        <v>#VALUE!</v>
      </c>
      <c r="ED121" t="e">
        <f>AND(tecantrop!Q142,"AAAAACfnn4U=")</f>
        <v>#VALUE!</v>
      </c>
      <c r="EE121" t="e">
        <f>AND(tecantrop!R142,"AAAAACfnn4Y=")</f>
        <v>#VALUE!</v>
      </c>
      <c r="EF121" t="e">
        <f>AND(tecantrop!S142,"AAAAACfnn4c=")</f>
        <v>#VALUE!</v>
      </c>
      <c r="EG121" t="e">
        <f>AND(tecantrop!T142,"AAAAACfnn4g=")</f>
        <v>#VALUE!</v>
      </c>
      <c r="EH121" t="e">
        <f>AND(tecantrop!U142,"AAAAACfnn4k=")</f>
        <v>#VALUE!</v>
      </c>
      <c r="EI121" t="e">
        <f>AND(tecantrop!V142,"AAAAACfnn4o=")</f>
        <v>#VALUE!</v>
      </c>
      <c r="EJ121" t="e">
        <f>AND(tecantrop!W142,"AAAAACfnn4s=")</f>
        <v>#VALUE!</v>
      </c>
      <c r="EK121" t="e">
        <f>AND(tecantrop!X142,"AAAAACfnn4w=")</f>
        <v>#VALUE!</v>
      </c>
      <c r="EL121">
        <f>IF(tecantrop!143:143,"AAAAACfnn40=",0)</f>
        <v>0</v>
      </c>
      <c r="EM121" t="e">
        <f>AND(tecantrop!A143,"AAAAACfnn44=")</f>
        <v>#VALUE!</v>
      </c>
      <c r="EN121" t="e">
        <f>AND(tecantrop!B143,"AAAAACfnn48=")</f>
        <v>#VALUE!</v>
      </c>
      <c r="EO121" t="e">
        <f>AND(tecantrop!C143,"AAAAACfnn5A=")</f>
        <v>#VALUE!</v>
      </c>
      <c r="EP121" t="e">
        <f>AND(tecantrop!D143,"AAAAACfnn5E=")</f>
        <v>#VALUE!</v>
      </c>
      <c r="EQ121" t="e">
        <f>AND(tecantrop!E143,"AAAAACfnn5I=")</f>
        <v>#VALUE!</v>
      </c>
      <c r="ER121" t="e">
        <f>AND(tecantrop!F143,"AAAAACfnn5M=")</f>
        <v>#VALUE!</v>
      </c>
      <c r="ES121" t="e">
        <f>AND(tecantrop!G143,"AAAAACfnn5Q=")</f>
        <v>#VALUE!</v>
      </c>
      <c r="ET121" t="e">
        <f>AND(tecantrop!H143,"AAAAACfnn5U=")</f>
        <v>#VALUE!</v>
      </c>
      <c r="EU121" t="e">
        <f>AND(tecantrop!I143,"AAAAACfnn5Y=")</f>
        <v>#VALUE!</v>
      </c>
      <c r="EV121" t="e">
        <f>AND(tecantrop!J143,"AAAAACfnn5c=")</f>
        <v>#VALUE!</v>
      </c>
      <c r="EW121" t="e">
        <f>AND(tecantrop!K143,"AAAAACfnn5g=")</f>
        <v>#VALUE!</v>
      </c>
      <c r="EX121" t="e">
        <f>AND(tecantrop!L143,"AAAAACfnn5k=")</f>
        <v>#VALUE!</v>
      </c>
      <c r="EY121" t="e">
        <f>AND(tecantrop!M143,"AAAAACfnn5o=")</f>
        <v>#VALUE!</v>
      </c>
      <c r="EZ121" t="e">
        <f>AND(tecantrop!N143,"AAAAACfnn5s=")</f>
        <v>#VALUE!</v>
      </c>
      <c r="FA121" t="e">
        <f>AND(tecantrop!O143,"AAAAACfnn5w=")</f>
        <v>#VALUE!</v>
      </c>
      <c r="FB121" t="e">
        <f>AND(tecantrop!P143,"AAAAACfnn50=")</f>
        <v>#VALUE!</v>
      </c>
      <c r="FC121" t="e">
        <f>AND(tecantrop!Q143,"AAAAACfnn54=")</f>
        <v>#VALUE!</v>
      </c>
      <c r="FD121" t="e">
        <f>AND(tecantrop!R143,"AAAAACfnn58=")</f>
        <v>#VALUE!</v>
      </c>
      <c r="FE121" t="e">
        <f>AND(tecantrop!S143,"AAAAACfnn6A=")</f>
        <v>#VALUE!</v>
      </c>
      <c r="FF121" t="e">
        <f>AND(tecantrop!T143,"AAAAACfnn6E=")</f>
        <v>#VALUE!</v>
      </c>
      <c r="FG121" t="e">
        <f>AND(tecantrop!U143,"AAAAACfnn6I=")</f>
        <v>#VALUE!</v>
      </c>
      <c r="FH121" t="e">
        <f>AND(tecantrop!V143,"AAAAACfnn6M=")</f>
        <v>#VALUE!</v>
      </c>
      <c r="FI121" t="e">
        <f>AND(tecantrop!W143,"AAAAACfnn6Q=")</f>
        <v>#VALUE!</v>
      </c>
      <c r="FJ121" t="e">
        <f>AND(tecantrop!X143,"AAAAACfnn6U=")</f>
        <v>#VALUE!</v>
      </c>
      <c r="FK121">
        <f>IF(tecantrop!144:144,"AAAAACfnn6Y=",0)</f>
        <v>0</v>
      </c>
      <c r="FL121" t="e">
        <f>AND(tecantrop!A144,"AAAAACfnn6c=")</f>
        <v>#VALUE!</v>
      </c>
      <c r="FM121" t="e">
        <f>AND(tecantrop!B144,"AAAAACfnn6g=")</f>
        <v>#VALUE!</v>
      </c>
      <c r="FN121" t="e">
        <f>AND(tecantrop!C144,"AAAAACfnn6k=")</f>
        <v>#VALUE!</v>
      </c>
      <c r="FO121" t="e">
        <f>AND(tecantrop!D144,"AAAAACfnn6o=")</f>
        <v>#VALUE!</v>
      </c>
      <c r="FP121" t="e">
        <f>AND(tecantrop!E144,"AAAAACfnn6s=")</f>
        <v>#VALUE!</v>
      </c>
      <c r="FQ121" t="e">
        <f>AND(tecantrop!F144,"AAAAACfnn6w=")</f>
        <v>#VALUE!</v>
      </c>
      <c r="FR121" t="e">
        <f>AND(tecantrop!G144,"AAAAACfnn60=")</f>
        <v>#VALUE!</v>
      </c>
      <c r="FS121" t="e">
        <f>AND(tecantrop!H144,"AAAAACfnn64=")</f>
        <v>#VALUE!</v>
      </c>
      <c r="FT121" t="e">
        <f>AND(tecantrop!I144,"AAAAACfnn68=")</f>
        <v>#VALUE!</v>
      </c>
      <c r="FU121" t="e">
        <f>AND(tecantrop!J144,"AAAAACfnn7A=")</f>
        <v>#VALUE!</v>
      </c>
      <c r="FV121" t="e">
        <f>AND(tecantrop!K144,"AAAAACfnn7E=")</f>
        <v>#VALUE!</v>
      </c>
      <c r="FW121" t="e">
        <f>AND(tecantrop!L144,"AAAAACfnn7I=")</f>
        <v>#VALUE!</v>
      </c>
      <c r="FX121" t="e">
        <f>AND(tecantrop!M144,"AAAAACfnn7M=")</f>
        <v>#VALUE!</v>
      </c>
      <c r="FY121" t="e">
        <f>AND(tecantrop!N144,"AAAAACfnn7Q=")</f>
        <v>#VALUE!</v>
      </c>
      <c r="FZ121" t="e">
        <f>AND(tecantrop!O144,"AAAAACfnn7U=")</f>
        <v>#VALUE!</v>
      </c>
      <c r="GA121" t="e">
        <f>AND(tecantrop!P144,"AAAAACfnn7Y=")</f>
        <v>#VALUE!</v>
      </c>
      <c r="GB121" t="e">
        <f>AND(tecantrop!Q144,"AAAAACfnn7c=")</f>
        <v>#VALUE!</v>
      </c>
      <c r="GC121" t="e">
        <f>AND(tecantrop!R144,"AAAAACfnn7g=")</f>
        <v>#VALUE!</v>
      </c>
      <c r="GD121" t="e">
        <f>AND(tecantrop!S144,"AAAAACfnn7k=")</f>
        <v>#VALUE!</v>
      </c>
      <c r="GE121" t="e">
        <f>AND(tecantrop!T144,"AAAAACfnn7o=")</f>
        <v>#VALUE!</v>
      </c>
      <c r="GF121" t="e">
        <f>AND(tecantrop!U144,"AAAAACfnn7s=")</f>
        <v>#VALUE!</v>
      </c>
      <c r="GG121" t="e">
        <f>AND(tecantrop!V144,"AAAAACfnn7w=")</f>
        <v>#VALUE!</v>
      </c>
      <c r="GH121" t="e">
        <f>AND(tecantrop!W144,"AAAAACfnn70=")</f>
        <v>#VALUE!</v>
      </c>
      <c r="GI121" t="e">
        <f>AND(tecantrop!X144,"AAAAACfnn74=")</f>
        <v>#VALUE!</v>
      </c>
      <c r="GJ121">
        <f>IF(tecantrop!145:145,"AAAAACfnn78=",0)</f>
        <v>0</v>
      </c>
      <c r="GK121" t="e">
        <f>AND(tecantrop!A145,"AAAAACfnn8A=")</f>
        <v>#VALUE!</v>
      </c>
      <c r="GL121" t="e">
        <f>AND(tecantrop!B145,"AAAAACfnn8E=")</f>
        <v>#VALUE!</v>
      </c>
      <c r="GM121" t="e">
        <f>AND(tecantrop!C145,"AAAAACfnn8I=")</f>
        <v>#VALUE!</v>
      </c>
      <c r="GN121" t="e">
        <f>AND(tecantrop!D145,"AAAAACfnn8M=")</f>
        <v>#VALUE!</v>
      </c>
      <c r="GO121" t="e">
        <f>AND(tecantrop!E145,"AAAAACfnn8Q=")</f>
        <v>#VALUE!</v>
      </c>
      <c r="GP121" t="e">
        <f>AND(tecantrop!F145,"AAAAACfnn8U=")</f>
        <v>#VALUE!</v>
      </c>
      <c r="GQ121" t="e">
        <f>AND(tecantrop!G145,"AAAAACfnn8Y=")</f>
        <v>#VALUE!</v>
      </c>
      <c r="GR121" t="e">
        <f>AND(tecantrop!H145,"AAAAACfnn8c=")</f>
        <v>#VALUE!</v>
      </c>
      <c r="GS121" t="e">
        <f>AND(tecantrop!I145,"AAAAACfnn8g=")</f>
        <v>#VALUE!</v>
      </c>
      <c r="GT121" t="e">
        <f>AND(tecantrop!J145,"AAAAACfnn8k=")</f>
        <v>#VALUE!</v>
      </c>
      <c r="GU121" t="e">
        <f>AND(tecantrop!K145,"AAAAACfnn8o=")</f>
        <v>#VALUE!</v>
      </c>
      <c r="GV121" t="e">
        <f>AND(tecantrop!L145,"AAAAACfnn8s=")</f>
        <v>#VALUE!</v>
      </c>
      <c r="GW121" t="e">
        <f>AND(tecantrop!M145,"AAAAACfnn8w=")</f>
        <v>#VALUE!</v>
      </c>
      <c r="GX121" t="e">
        <f>AND(tecantrop!N145,"AAAAACfnn80=")</f>
        <v>#VALUE!</v>
      </c>
      <c r="GY121" t="e">
        <f>AND(tecantrop!O145,"AAAAACfnn84=")</f>
        <v>#VALUE!</v>
      </c>
      <c r="GZ121" t="e">
        <f>AND(tecantrop!P145,"AAAAACfnn88=")</f>
        <v>#VALUE!</v>
      </c>
      <c r="HA121" t="e">
        <f>AND(tecantrop!Q145,"AAAAACfnn9A=")</f>
        <v>#VALUE!</v>
      </c>
      <c r="HB121" t="e">
        <f>AND(tecantrop!R145,"AAAAACfnn9E=")</f>
        <v>#VALUE!</v>
      </c>
      <c r="HC121" t="e">
        <f>AND(tecantrop!S145,"AAAAACfnn9I=")</f>
        <v>#VALUE!</v>
      </c>
      <c r="HD121" t="e">
        <f>AND(tecantrop!T145,"AAAAACfnn9M=")</f>
        <v>#VALUE!</v>
      </c>
      <c r="HE121" t="e">
        <f>AND(tecantrop!U145,"AAAAACfnn9Q=")</f>
        <v>#VALUE!</v>
      </c>
      <c r="HF121" t="e">
        <f>AND(tecantrop!V145,"AAAAACfnn9U=")</f>
        <v>#VALUE!</v>
      </c>
      <c r="HG121" t="e">
        <f>AND(tecantrop!W145,"AAAAACfnn9Y=")</f>
        <v>#VALUE!</v>
      </c>
      <c r="HH121" t="e">
        <f>AND(tecantrop!X145,"AAAAACfnn9c=")</f>
        <v>#VALUE!</v>
      </c>
      <c r="HI121">
        <f>IF(tecantrop!146:146,"AAAAACfnn9g=",0)</f>
        <v>0</v>
      </c>
      <c r="HJ121" t="e">
        <f>AND(tecantrop!A146,"AAAAACfnn9k=")</f>
        <v>#VALUE!</v>
      </c>
      <c r="HK121" t="e">
        <f>AND(tecantrop!B146,"AAAAACfnn9o=")</f>
        <v>#VALUE!</v>
      </c>
      <c r="HL121" t="e">
        <f>AND(tecantrop!C146,"AAAAACfnn9s=")</f>
        <v>#VALUE!</v>
      </c>
      <c r="HM121" t="e">
        <f>AND(tecantrop!D146,"AAAAACfnn9w=")</f>
        <v>#VALUE!</v>
      </c>
      <c r="HN121" t="e">
        <f>AND(tecantrop!E146,"AAAAACfnn90=")</f>
        <v>#VALUE!</v>
      </c>
      <c r="HO121" t="e">
        <f>AND(tecantrop!F146,"AAAAACfnn94=")</f>
        <v>#VALUE!</v>
      </c>
      <c r="HP121" t="e">
        <f>AND(tecantrop!G146,"AAAAACfnn98=")</f>
        <v>#VALUE!</v>
      </c>
      <c r="HQ121" t="e">
        <f>AND(tecantrop!H146,"AAAAACfnn+A=")</f>
        <v>#VALUE!</v>
      </c>
      <c r="HR121" t="e">
        <f>AND(tecantrop!I146,"AAAAACfnn+E=")</f>
        <v>#VALUE!</v>
      </c>
      <c r="HS121" t="e">
        <f>AND(tecantrop!J146,"AAAAACfnn+I=")</f>
        <v>#VALUE!</v>
      </c>
      <c r="HT121" t="e">
        <f>AND(tecantrop!K146,"AAAAACfnn+M=")</f>
        <v>#VALUE!</v>
      </c>
      <c r="HU121" t="e">
        <f>AND(tecantrop!L146,"AAAAACfnn+Q=")</f>
        <v>#VALUE!</v>
      </c>
      <c r="HV121" t="e">
        <f>AND(tecantrop!M146,"AAAAACfnn+U=")</f>
        <v>#VALUE!</v>
      </c>
      <c r="HW121" t="e">
        <f>AND(tecantrop!N146,"AAAAACfnn+Y=")</f>
        <v>#VALUE!</v>
      </c>
      <c r="HX121" t="e">
        <f>AND(tecantrop!O146,"AAAAACfnn+c=")</f>
        <v>#VALUE!</v>
      </c>
      <c r="HY121" t="e">
        <f>AND(tecantrop!P146,"AAAAACfnn+g=")</f>
        <v>#VALUE!</v>
      </c>
      <c r="HZ121" t="e">
        <f>AND(tecantrop!Q146,"AAAAACfnn+k=")</f>
        <v>#VALUE!</v>
      </c>
      <c r="IA121" t="e">
        <f>AND(tecantrop!R146,"AAAAACfnn+o=")</f>
        <v>#VALUE!</v>
      </c>
      <c r="IB121" t="e">
        <f>AND(tecantrop!S146,"AAAAACfnn+s=")</f>
        <v>#VALUE!</v>
      </c>
      <c r="IC121" t="e">
        <f>AND(tecantrop!T146,"AAAAACfnn+w=")</f>
        <v>#VALUE!</v>
      </c>
      <c r="ID121" t="e">
        <f>AND(tecantrop!U146,"AAAAACfnn+0=")</f>
        <v>#VALUE!</v>
      </c>
      <c r="IE121" t="e">
        <f>AND(tecantrop!V146,"AAAAACfnn+4=")</f>
        <v>#VALUE!</v>
      </c>
      <c r="IF121" t="e">
        <f>AND(tecantrop!W146,"AAAAACfnn+8=")</f>
        <v>#VALUE!</v>
      </c>
      <c r="IG121" t="e">
        <f>AND(tecantrop!X146,"AAAAACfnn/A=")</f>
        <v>#VALUE!</v>
      </c>
      <c r="IH121">
        <f>IF(tecantrop!147:147,"AAAAACfnn/E=",0)</f>
        <v>0</v>
      </c>
      <c r="II121" t="e">
        <f>AND(tecantrop!A147,"AAAAACfnn/I=")</f>
        <v>#VALUE!</v>
      </c>
      <c r="IJ121" t="e">
        <f>AND(tecantrop!B147,"AAAAACfnn/M=")</f>
        <v>#VALUE!</v>
      </c>
      <c r="IK121" t="e">
        <f>AND(tecantrop!C147,"AAAAACfnn/Q=")</f>
        <v>#VALUE!</v>
      </c>
      <c r="IL121" t="e">
        <f>AND(tecantrop!D147,"AAAAACfnn/U=")</f>
        <v>#VALUE!</v>
      </c>
      <c r="IM121" t="e">
        <f>AND(tecantrop!E147,"AAAAACfnn/Y=")</f>
        <v>#VALUE!</v>
      </c>
      <c r="IN121" t="e">
        <f>AND(tecantrop!F147,"AAAAACfnn/c=")</f>
        <v>#VALUE!</v>
      </c>
      <c r="IO121" t="e">
        <f>AND(tecantrop!G147,"AAAAACfnn/g=")</f>
        <v>#VALUE!</v>
      </c>
      <c r="IP121" t="e">
        <f>AND(tecantrop!H147,"AAAAACfnn/k=")</f>
        <v>#VALUE!</v>
      </c>
      <c r="IQ121" t="e">
        <f>AND(tecantrop!I147,"AAAAACfnn/o=")</f>
        <v>#VALUE!</v>
      </c>
      <c r="IR121" t="e">
        <f>AND(tecantrop!J147,"AAAAACfnn/s=")</f>
        <v>#VALUE!</v>
      </c>
      <c r="IS121" t="e">
        <f>AND(tecantrop!K147,"AAAAACfnn/w=")</f>
        <v>#VALUE!</v>
      </c>
      <c r="IT121" t="e">
        <f>AND(tecantrop!L147,"AAAAACfnn/0=")</f>
        <v>#VALUE!</v>
      </c>
      <c r="IU121" t="e">
        <f>AND(tecantrop!M147,"AAAAACfnn/4=")</f>
        <v>#VALUE!</v>
      </c>
      <c r="IV121" t="e">
        <f>AND(tecantrop!N147,"AAAAACfnn/8=")</f>
        <v>#VALUE!</v>
      </c>
    </row>
    <row r="122" spans="1:256" x14ac:dyDescent="0.2">
      <c r="A122" t="e">
        <f>AND(tecantrop!O147,"AAAAAH//GgA=")</f>
        <v>#VALUE!</v>
      </c>
      <c r="B122" t="e">
        <f>AND(tecantrop!P147,"AAAAAH//GgE=")</f>
        <v>#VALUE!</v>
      </c>
      <c r="C122" t="e">
        <f>AND(tecantrop!Q147,"AAAAAH//GgI=")</f>
        <v>#VALUE!</v>
      </c>
      <c r="D122" t="e">
        <f>AND(tecantrop!R147,"AAAAAH//GgM=")</f>
        <v>#VALUE!</v>
      </c>
      <c r="E122" t="e">
        <f>AND(tecantrop!S147,"AAAAAH//GgQ=")</f>
        <v>#VALUE!</v>
      </c>
      <c r="F122" t="e">
        <f>AND(tecantrop!T147,"AAAAAH//GgU=")</f>
        <v>#VALUE!</v>
      </c>
      <c r="G122" t="e">
        <f>AND(tecantrop!U147,"AAAAAH//GgY=")</f>
        <v>#VALUE!</v>
      </c>
      <c r="H122" t="e">
        <f>AND(tecantrop!V147,"AAAAAH//Ggc=")</f>
        <v>#VALUE!</v>
      </c>
      <c r="I122" t="e">
        <f>AND(tecantrop!W147,"AAAAAH//Ggg=")</f>
        <v>#VALUE!</v>
      </c>
      <c r="J122" t="e">
        <f>AND(tecantrop!X147,"AAAAAH//Ggk=")</f>
        <v>#VALUE!</v>
      </c>
      <c r="K122">
        <f>IF(tecantrop!148:148,"AAAAAH//Ggo=",0)</f>
        <v>0</v>
      </c>
      <c r="L122" t="e">
        <f>AND(tecantrop!A148,"AAAAAH//Ggs=")</f>
        <v>#VALUE!</v>
      </c>
      <c r="M122" t="e">
        <f>AND(tecantrop!B148,"AAAAAH//Ggw=")</f>
        <v>#VALUE!</v>
      </c>
      <c r="N122" t="e">
        <f>AND(tecantrop!C148,"AAAAAH//Gg0=")</f>
        <v>#VALUE!</v>
      </c>
      <c r="O122" t="e">
        <f>AND(tecantrop!D148,"AAAAAH//Gg4=")</f>
        <v>#VALUE!</v>
      </c>
      <c r="P122" t="e">
        <f>AND(tecantrop!E148,"AAAAAH//Gg8=")</f>
        <v>#VALUE!</v>
      </c>
      <c r="Q122" t="e">
        <f>AND(tecantrop!F148,"AAAAAH//GhA=")</f>
        <v>#VALUE!</v>
      </c>
      <c r="R122" t="e">
        <f>AND(tecantrop!G148,"AAAAAH//GhE=")</f>
        <v>#VALUE!</v>
      </c>
      <c r="S122" t="e">
        <f>AND(tecantrop!H148,"AAAAAH//GhI=")</f>
        <v>#VALUE!</v>
      </c>
      <c r="T122" t="e">
        <f>AND(tecantrop!I148,"AAAAAH//GhM=")</f>
        <v>#VALUE!</v>
      </c>
      <c r="U122" t="e">
        <f>AND(tecantrop!J148,"AAAAAH//GhQ=")</f>
        <v>#VALUE!</v>
      </c>
      <c r="V122" t="e">
        <f>AND(tecantrop!K148,"AAAAAH//GhU=")</f>
        <v>#VALUE!</v>
      </c>
      <c r="W122" t="e">
        <f>AND(tecantrop!L148,"AAAAAH//GhY=")</f>
        <v>#VALUE!</v>
      </c>
      <c r="X122" t="e">
        <f>AND(tecantrop!M148,"AAAAAH//Ghc=")</f>
        <v>#VALUE!</v>
      </c>
      <c r="Y122" t="e">
        <f>AND(tecantrop!N148,"AAAAAH//Ghg=")</f>
        <v>#VALUE!</v>
      </c>
      <c r="Z122" t="e">
        <f>AND(tecantrop!O148,"AAAAAH//Ghk=")</f>
        <v>#VALUE!</v>
      </c>
      <c r="AA122" t="e">
        <f>AND(tecantrop!P148,"AAAAAH//Gho=")</f>
        <v>#VALUE!</v>
      </c>
      <c r="AB122" t="e">
        <f>AND(tecantrop!Q148,"AAAAAH//Ghs=")</f>
        <v>#VALUE!</v>
      </c>
      <c r="AC122" t="e">
        <f>AND(tecantrop!R148,"AAAAAH//Ghw=")</f>
        <v>#VALUE!</v>
      </c>
      <c r="AD122" t="e">
        <f>AND(tecantrop!S148,"AAAAAH//Gh0=")</f>
        <v>#VALUE!</v>
      </c>
      <c r="AE122" t="e">
        <f>AND(tecantrop!T148,"AAAAAH//Gh4=")</f>
        <v>#VALUE!</v>
      </c>
      <c r="AF122" t="e">
        <f>AND(tecantrop!U148,"AAAAAH//Gh8=")</f>
        <v>#VALUE!</v>
      </c>
      <c r="AG122" t="e">
        <f>AND(tecantrop!V148,"AAAAAH//GiA=")</f>
        <v>#VALUE!</v>
      </c>
      <c r="AH122" t="e">
        <f>AND(tecantrop!W148,"AAAAAH//GiE=")</f>
        <v>#VALUE!</v>
      </c>
      <c r="AI122" t="e">
        <f>AND(tecantrop!X148,"AAAAAH//GiI=")</f>
        <v>#VALUE!</v>
      </c>
      <c r="AJ122">
        <f>IF(tecantrop!149:149,"AAAAAH//GiM=",0)</f>
        <v>0</v>
      </c>
      <c r="AK122" t="e">
        <f>AND(tecantrop!A149,"AAAAAH//GiQ=")</f>
        <v>#VALUE!</v>
      </c>
      <c r="AL122" t="e">
        <f>AND(tecantrop!B149,"AAAAAH//GiU=")</f>
        <v>#VALUE!</v>
      </c>
      <c r="AM122" t="e">
        <f>AND(tecantrop!C149,"AAAAAH//GiY=")</f>
        <v>#VALUE!</v>
      </c>
      <c r="AN122" t="e">
        <f>AND(tecantrop!D149,"AAAAAH//Gic=")</f>
        <v>#VALUE!</v>
      </c>
      <c r="AO122" t="e">
        <f>AND(tecantrop!E149,"AAAAAH//Gig=")</f>
        <v>#VALUE!</v>
      </c>
      <c r="AP122" t="e">
        <f>AND(tecantrop!F149,"AAAAAH//Gik=")</f>
        <v>#VALUE!</v>
      </c>
      <c r="AQ122" t="e">
        <f>AND(tecantrop!G149,"AAAAAH//Gio=")</f>
        <v>#VALUE!</v>
      </c>
      <c r="AR122" t="e">
        <f>AND(tecantrop!H149,"AAAAAH//Gis=")</f>
        <v>#VALUE!</v>
      </c>
      <c r="AS122" t="e">
        <f>AND(tecantrop!I149,"AAAAAH//Giw=")</f>
        <v>#VALUE!</v>
      </c>
      <c r="AT122" t="e">
        <f>AND(tecantrop!J149,"AAAAAH//Gi0=")</f>
        <v>#VALUE!</v>
      </c>
      <c r="AU122" t="e">
        <f>AND(tecantrop!K149,"AAAAAH//Gi4=")</f>
        <v>#VALUE!</v>
      </c>
      <c r="AV122" t="e">
        <f>AND(tecantrop!L149,"AAAAAH//Gi8=")</f>
        <v>#VALUE!</v>
      </c>
      <c r="AW122" t="e">
        <f>AND(tecantrop!M149,"AAAAAH//GjA=")</f>
        <v>#VALUE!</v>
      </c>
      <c r="AX122" t="e">
        <f>AND(tecantrop!N149,"AAAAAH//GjE=")</f>
        <v>#VALUE!</v>
      </c>
      <c r="AY122" t="e">
        <f>AND(tecantrop!O149,"AAAAAH//GjI=")</f>
        <v>#VALUE!</v>
      </c>
      <c r="AZ122" t="e">
        <f>AND(tecantrop!P149,"AAAAAH//GjM=")</f>
        <v>#VALUE!</v>
      </c>
      <c r="BA122" t="e">
        <f>AND(tecantrop!Q149,"AAAAAH//GjQ=")</f>
        <v>#VALUE!</v>
      </c>
      <c r="BB122" t="e">
        <f>AND(tecantrop!R149,"AAAAAH//GjU=")</f>
        <v>#VALUE!</v>
      </c>
      <c r="BC122" t="e">
        <f>AND(tecantrop!S149,"AAAAAH//GjY=")</f>
        <v>#VALUE!</v>
      </c>
      <c r="BD122" t="e">
        <f>AND(tecantrop!T149,"AAAAAH//Gjc=")</f>
        <v>#VALUE!</v>
      </c>
      <c r="BE122" t="e">
        <f>AND(tecantrop!U149,"AAAAAH//Gjg=")</f>
        <v>#VALUE!</v>
      </c>
      <c r="BF122" t="e">
        <f>AND(tecantrop!V149,"AAAAAH//Gjk=")</f>
        <v>#VALUE!</v>
      </c>
      <c r="BG122" t="e">
        <f>AND(tecantrop!W149,"AAAAAH//Gjo=")</f>
        <v>#VALUE!</v>
      </c>
      <c r="BH122" t="e">
        <f>AND(tecantrop!X149,"AAAAAH//Gjs=")</f>
        <v>#VALUE!</v>
      </c>
      <c r="BI122">
        <f>IF(tecantrop!150:150,"AAAAAH//Gjw=",0)</f>
        <v>0</v>
      </c>
      <c r="BJ122" t="e">
        <f>AND(tecantrop!A150,"AAAAAH//Gj0=")</f>
        <v>#VALUE!</v>
      </c>
      <c r="BK122" t="e">
        <f>AND(tecantrop!B150,"AAAAAH//Gj4=")</f>
        <v>#VALUE!</v>
      </c>
      <c r="BL122" t="e">
        <f>AND(tecantrop!C150,"AAAAAH//Gj8=")</f>
        <v>#VALUE!</v>
      </c>
      <c r="BM122" t="e">
        <f>AND(tecantrop!D150,"AAAAAH//GkA=")</f>
        <v>#VALUE!</v>
      </c>
      <c r="BN122" t="e">
        <f>AND(tecantrop!E150,"AAAAAH//GkE=")</f>
        <v>#VALUE!</v>
      </c>
      <c r="BO122" t="e">
        <f>AND(tecantrop!F150,"AAAAAH//GkI=")</f>
        <v>#VALUE!</v>
      </c>
      <c r="BP122" t="e">
        <f>AND(tecantrop!G150,"AAAAAH//GkM=")</f>
        <v>#VALUE!</v>
      </c>
      <c r="BQ122" t="e">
        <f>AND(tecantrop!H150,"AAAAAH//GkQ=")</f>
        <v>#VALUE!</v>
      </c>
      <c r="BR122" t="e">
        <f>AND(tecantrop!I150,"AAAAAH//GkU=")</f>
        <v>#VALUE!</v>
      </c>
      <c r="BS122" t="e">
        <f>AND(tecantrop!J150,"AAAAAH//GkY=")</f>
        <v>#VALUE!</v>
      </c>
      <c r="BT122" t="e">
        <f>AND(tecantrop!K150,"AAAAAH//Gkc=")</f>
        <v>#VALUE!</v>
      </c>
      <c r="BU122" t="e">
        <f>AND(tecantrop!L150,"AAAAAH//Gkg=")</f>
        <v>#VALUE!</v>
      </c>
      <c r="BV122" t="e">
        <f>AND(tecantrop!M150,"AAAAAH//Gkk=")</f>
        <v>#VALUE!</v>
      </c>
      <c r="BW122" t="e">
        <f>AND(tecantrop!N150,"AAAAAH//Gko=")</f>
        <v>#VALUE!</v>
      </c>
      <c r="BX122" t="e">
        <f>AND(tecantrop!O150,"AAAAAH//Gks=")</f>
        <v>#VALUE!</v>
      </c>
      <c r="BY122" t="e">
        <f>AND(tecantrop!P150,"AAAAAH//Gkw=")</f>
        <v>#VALUE!</v>
      </c>
      <c r="BZ122" t="e">
        <f>AND(tecantrop!Q150,"AAAAAH//Gk0=")</f>
        <v>#VALUE!</v>
      </c>
      <c r="CA122" t="e">
        <f>AND(tecantrop!R150,"AAAAAH//Gk4=")</f>
        <v>#VALUE!</v>
      </c>
      <c r="CB122" t="e">
        <f>AND(tecantrop!S150,"AAAAAH//Gk8=")</f>
        <v>#VALUE!</v>
      </c>
      <c r="CC122" t="e">
        <f>AND(tecantrop!T150,"AAAAAH//GlA=")</f>
        <v>#VALUE!</v>
      </c>
      <c r="CD122" t="e">
        <f>AND(tecantrop!U150,"AAAAAH//GlE=")</f>
        <v>#VALUE!</v>
      </c>
      <c r="CE122" t="e">
        <f>AND(tecantrop!V150,"AAAAAH//GlI=")</f>
        <v>#VALUE!</v>
      </c>
      <c r="CF122" t="e">
        <f>AND(tecantrop!W150,"AAAAAH//GlM=")</f>
        <v>#VALUE!</v>
      </c>
      <c r="CG122" t="e">
        <f>AND(tecantrop!X150,"AAAAAH//GlQ=")</f>
        <v>#VALUE!</v>
      </c>
      <c r="CH122">
        <f>IF(tecantrop!151:151,"AAAAAH//GlU=",0)</f>
        <v>0</v>
      </c>
      <c r="CI122" t="e">
        <f>AND(tecantrop!A151,"AAAAAH//GlY=")</f>
        <v>#VALUE!</v>
      </c>
      <c r="CJ122" t="e">
        <f>AND(tecantrop!B151,"AAAAAH//Glc=")</f>
        <v>#VALUE!</v>
      </c>
      <c r="CK122" t="e">
        <f>AND(tecantrop!C151,"AAAAAH//Glg=")</f>
        <v>#VALUE!</v>
      </c>
      <c r="CL122" t="e">
        <f>AND(tecantrop!D151,"AAAAAH//Glk=")</f>
        <v>#VALUE!</v>
      </c>
      <c r="CM122" t="e">
        <f>AND(tecantrop!E151,"AAAAAH//Glo=")</f>
        <v>#VALUE!</v>
      </c>
      <c r="CN122" t="e">
        <f>AND(tecantrop!F151,"AAAAAH//Gls=")</f>
        <v>#VALUE!</v>
      </c>
      <c r="CO122" t="e">
        <f>AND(tecantrop!G151,"AAAAAH//Glw=")</f>
        <v>#VALUE!</v>
      </c>
      <c r="CP122" t="e">
        <f>AND(tecantrop!H151,"AAAAAH//Gl0=")</f>
        <v>#VALUE!</v>
      </c>
      <c r="CQ122" t="e">
        <f>AND(tecantrop!I151,"AAAAAH//Gl4=")</f>
        <v>#VALUE!</v>
      </c>
      <c r="CR122" t="e">
        <f>AND(tecantrop!J151,"AAAAAH//Gl8=")</f>
        <v>#VALUE!</v>
      </c>
      <c r="CS122" t="e">
        <f>AND(tecantrop!K151,"AAAAAH//GmA=")</f>
        <v>#VALUE!</v>
      </c>
      <c r="CT122" t="e">
        <f>AND(tecantrop!L151,"AAAAAH//GmE=")</f>
        <v>#VALUE!</v>
      </c>
      <c r="CU122" t="e">
        <f>AND(tecantrop!M151,"AAAAAH//GmI=")</f>
        <v>#VALUE!</v>
      </c>
      <c r="CV122" t="e">
        <f>AND(tecantrop!N151,"AAAAAH//GmM=")</f>
        <v>#VALUE!</v>
      </c>
      <c r="CW122" t="e">
        <f>AND(tecantrop!O151,"AAAAAH//GmQ=")</f>
        <v>#VALUE!</v>
      </c>
      <c r="CX122" t="e">
        <f>AND(tecantrop!P151,"AAAAAH//GmU=")</f>
        <v>#VALUE!</v>
      </c>
      <c r="CY122" t="e">
        <f>AND(tecantrop!Q151,"AAAAAH//GmY=")</f>
        <v>#VALUE!</v>
      </c>
      <c r="CZ122" t="e">
        <f>AND(tecantrop!R151,"AAAAAH//Gmc=")</f>
        <v>#VALUE!</v>
      </c>
      <c r="DA122" t="e">
        <f>AND(tecantrop!S151,"AAAAAH//Gmg=")</f>
        <v>#VALUE!</v>
      </c>
      <c r="DB122" t="e">
        <f>AND(tecantrop!T151,"AAAAAH//Gmk=")</f>
        <v>#VALUE!</v>
      </c>
      <c r="DC122" t="e">
        <f>AND(tecantrop!U151,"AAAAAH//Gmo=")</f>
        <v>#VALUE!</v>
      </c>
      <c r="DD122" t="e">
        <f>AND(tecantrop!V151,"AAAAAH//Gms=")</f>
        <v>#VALUE!</v>
      </c>
      <c r="DE122" t="e">
        <f>AND(tecantrop!W151,"AAAAAH//Gmw=")</f>
        <v>#VALUE!</v>
      </c>
      <c r="DF122" t="e">
        <f>AND(tecantrop!X151,"AAAAAH//Gm0=")</f>
        <v>#VALUE!</v>
      </c>
      <c r="DG122">
        <f>IF(tecantrop!152:152,"AAAAAH//Gm4=",0)</f>
        <v>0</v>
      </c>
      <c r="DH122" t="e">
        <f>AND(tecantrop!A152,"AAAAAH//Gm8=")</f>
        <v>#VALUE!</v>
      </c>
      <c r="DI122" t="e">
        <f>AND(tecantrop!B152,"AAAAAH//GnA=")</f>
        <v>#VALUE!</v>
      </c>
      <c r="DJ122" t="e">
        <f>AND(tecantrop!C152,"AAAAAH//GnE=")</f>
        <v>#VALUE!</v>
      </c>
      <c r="DK122" t="e">
        <f>AND(tecantrop!D152,"AAAAAH//GnI=")</f>
        <v>#VALUE!</v>
      </c>
      <c r="DL122" t="e">
        <f>AND(tecantrop!E152,"AAAAAH//GnM=")</f>
        <v>#VALUE!</v>
      </c>
      <c r="DM122" t="e">
        <f>AND(tecantrop!F152,"AAAAAH//GnQ=")</f>
        <v>#VALUE!</v>
      </c>
      <c r="DN122" t="e">
        <f>AND(tecantrop!G152,"AAAAAH//GnU=")</f>
        <v>#VALUE!</v>
      </c>
      <c r="DO122" t="e">
        <f>AND(tecantrop!H152,"AAAAAH//GnY=")</f>
        <v>#VALUE!</v>
      </c>
      <c r="DP122" t="e">
        <f>AND(tecantrop!I152,"AAAAAH//Gnc=")</f>
        <v>#VALUE!</v>
      </c>
      <c r="DQ122" t="e">
        <f>AND(tecantrop!J152,"AAAAAH//Gng=")</f>
        <v>#VALUE!</v>
      </c>
      <c r="DR122" t="e">
        <f>AND(tecantrop!K152,"AAAAAH//Gnk=")</f>
        <v>#VALUE!</v>
      </c>
      <c r="DS122" t="e">
        <f>AND(tecantrop!L152,"AAAAAH//Gno=")</f>
        <v>#VALUE!</v>
      </c>
      <c r="DT122" t="e">
        <f>AND(tecantrop!M152,"AAAAAH//Gns=")</f>
        <v>#VALUE!</v>
      </c>
      <c r="DU122" t="e">
        <f>AND(tecantrop!N152,"AAAAAH//Gnw=")</f>
        <v>#VALUE!</v>
      </c>
      <c r="DV122" t="e">
        <f>AND(tecantrop!O152,"AAAAAH//Gn0=")</f>
        <v>#VALUE!</v>
      </c>
      <c r="DW122" t="e">
        <f>AND(tecantrop!P152,"AAAAAH//Gn4=")</f>
        <v>#VALUE!</v>
      </c>
      <c r="DX122" t="e">
        <f>AND(tecantrop!Q152,"AAAAAH//Gn8=")</f>
        <v>#VALUE!</v>
      </c>
      <c r="DY122" t="e">
        <f>AND(tecantrop!R152,"AAAAAH//GoA=")</f>
        <v>#VALUE!</v>
      </c>
      <c r="DZ122" t="e">
        <f>AND(tecantrop!S152,"AAAAAH//GoE=")</f>
        <v>#VALUE!</v>
      </c>
      <c r="EA122" t="e">
        <f>AND(tecantrop!T152,"AAAAAH//GoI=")</f>
        <v>#VALUE!</v>
      </c>
      <c r="EB122" t="e">
        <f>AND(tecantrop!U152,"AAAAAH//GoM=")</f>
        <v>#VALUE!</v>
      </c>
      <c r="EC122" t="e">
        <f>AND(tecantrop!V152,"AAAAAH//GoQ=")</f>
        <v>#VALUE!</v>
      </c>
      <c r="ED122" t="e">
        <f>AND(tecantrop!W152,"AAAAAH//GoU=")</f>
        <v>#VALUE!</v>
      </c>
      <c r="EE122" t="e">
        <f>AND(tecantrop!X152,"AAAAAH//GoY=")</f>
        <v>#VALUE!</v>
      </c>
      <c r="EF122">
        <f>IF(tecantrop!153:153,"AAAAAH//Goc=",0)</f>
        <v>0</v>
      </c>
      <c r="EG122" t="e">
        <f>AND(tecantrop!A153,"AAAAAH//Gog=")</f>
        <v>#VALUE!</v>
      </c>
      <c r="EH122" t="e">
        <f>AND(tecantrop!B153,"AAAAAH//Gok=")</f>
        <v>#VALUE!</v>
      </c>
      <c r="EI122" t="e">
        <f>AND(tecantrop!C153,"AAAAAH//Goo=")</f>
        <v>#VALUE!</v>
      </c>
      <c r="EJ122" t="e">
        <f>AND(tecantrop!D153,"AAAAAH//Gos=")</f>
        <v>#VALUE!</v>
      </c>
      <c r="EK122" t="e">
        <f>AND(tecantrop!E153,"AAAAAH//Gow=")</f>
        <v>#VALUE!</v>
      </c>
      <c r="EL122" t="e">
        <f>AND(tecantrop!F153,"AAAAAH//Go0=")</f>
        <v>#VALUE!</v>
      </c>
      <c r="EM122" t="e">
        <f>AND(tecantrop!G153,"AAAAAH//Go4=")</f>
        <v>#VALUE!</v>
      </c>
      <c r="EN122" t="e">
        <f>AND(tecantrop!H153,"AAAAAH//Go8=")</f>
        <v>#VALUE!</v>
      </c>
      <c r="EO122" t="e">
        <f>AND(tecantrop!I153,"AAAAAH//GpA=")</f>
        <v>#VALUE!</v>
      </c>
      <c r="EP122" t="e">
        <f>AND(tecantrop!J153,"AAAAAH//GpE=")</f>
        <v>#VALUE!</v>
      </c>
      <c r="EQ122" t="e">
        <f>AND(tecantrop!K153,"AAAAAH//GpI=")</f>
        <v>#VALUE!</v>
      </c>
      <c r="ER122" t="e">
        <f>AND(tecantrop!L153,"AAAAAH//GpM=")</f>
        <v>#VALUE!</v>
      </c>
      <c r="ES122" t="e">
        <f>AND(tecantrop!M153,"AAAAAH//GpQ=")</f>
        <v>#VALUE!</v>
      </c>
      <c r="ET122" t="e">
        <f>AND(tecantrop!N153,"AAAAAH//GpU=")</f>
        <v>#VALUE!</v>
      </c>
      <c r="EU122" t="e">
        <f>AND(tecantrop!O153,"AAAAAH//GpY=")</f>
        <v>#VALUE!</v>
      </c>
      <c r="EV122" t="e">
        <f>AND(tecantrop!P153,"AAAAAH//Gpc=")</f>
        <v>#VALUE!</v>
      </c>
      <c r="EW122" t="e">
        <f>AND(tecantrop!Q153,"AAAAAH//Gpg=")</f>
        <v>#VALUE!</v>
      </c>
      <c r="EX122" t="e">
        <f>AND(tecantrop!R153,"AAAAAH//Gpk=")</f>
        <v>#VALUE!</v>
      </c>
      <c r="EY122" t="e">
        <f>AND(tecantrop!S153,"AAAAAH//Gpo=")</f>
        <v>#VALUE!</v>
      </c>
      <c r="EZ122" t="e">
        <f>AND(tecantrop!T153,"AAAAAH//Gps=")</f>
        <v>#VALUE!</v>
      </c>
      <c r="FA122" t="e">
        <f>AND(tecantrop!U153,"AAAAAH//Gpw=")</f>
        <v>#VALUE!</v>
      </c>
      <c r="FB122" t="e">
        <f>AND(tecantrop!V153,"AAAAAH//Gp0=")</f>
        <v>#VALUE!</v>
      </c>
      <c r="FC122" t="e">
        <f>AND(tecantrop!W153,"AAAAAH//Gp4=")</f>
        <v>#VALUE!</v>
      </c>
      <c r="FD122" t="e">
        <f>AND(tecantrop!X153,"AAAAAH//Gp8=")</f>
        <v>#VALUE!</v>
      </c>
      <c r="FE122">
        <f>IF(tecantrop!154:154,"AAAAAH//GqA=",0)</f>
        <v>0</v>
      </c>
      <c r="FF122" t="e">
        <f>AND(tecantrop!A154,"AAAAAH//GqE=")</f>
        <v>#VALUE!</v>
      </c>
      <c r="FG122" t="e">
        <f>AND(tecantrop!B154,"AAAAAH//GqI=")</f>
        <v>#VALUE!</v>
      </c>
      <c r="FH122" t="e">
        <f>AND(tecantrop!C154,"AAAAAH//GqM=")</f>
        <v>#VALUE!</v>
      </c>
      <c r="FI122" t="e">
        <f>AND(tecantrop!D154,"AAAAAH//GqQ=")</f>
        <v>#VALUE!</v>
      </c>
      <c r="FJ122" t="e">
        <f>AND(tecantrop!E154,"AAAAAH//GqU=")</f>
        <v>#VALUE!</v>
      </c>
      <c r="FK122" t="e">
        <f>AND(tecantrop!F154,"AAAAAH//GqY=")</f>
        <v>#VALUE!</v>
      </c>
      <c r="FL122" t="e">
        <f>AND(tecantrop!G154,"AAAAAH//Gqc=")</f>
        <v>#VALUE!</v>
      </c>
      <c r="FM122" t="e">
        <f>AND(tecantrop!H154,"AAAAAH//Gqg=")</f>
        <v>#VALUE!</v>
      </c>
      <c r="FN122" t="e">
        <f>AND(tecantrop!I154,"AAAAAH//Gqk=")</f>
        <v>#VALUE!</v>
      </c>
      <c r="FO122" t="e">
        <f>AND(tecantrop!J154,"AAAAAH//Gqo=")</f>
        <v>#VALUE!</v>
      </c>
      <c r="FP122" t="e">
        <f>AND(tecantrop!K154,"AAAAAH//Gqs=")</f>
        <v>#VALUE!</v>
      </c>
      <c r="FQ122" t="e">
        <f>AND(tecantrop!L154,"AAAAAH//Gqw=")</f>
        <v>#VALUE!</v>
      </c>
      <c r="FR122" t="e">
        <f>AND(tecantrop!M154,"AAAAAH//Gq0=")</f>
        <v>#VALUE!</v>
      </c>
      <c r="FS122" t="e">
        <f>AND(tecantrop!N154,"AAAAAH//Gq4=")</f>
        <v>#VALUE!</v>
      </c>
      <c r="FT122" t="e">
        <f>AND(tecantrop!O154,"AAAAAH//Gq8=")</f>
        <v>#VALUE!</v>
      </c>
      <c r="FU122" t="e">
        <f>AND(tecantrop!P154,"AAAAAH//GrA=")</f>
        <v>#VALUE!</v>
      </c>
      <c r="FV122" t="e">
        <f>AND(tecantrop!Q154,"AAAAAH//GrE=")</f>
        <v>#VALUE!</v>
      </c>
      <c r="FW122" t="e">
        <f>AND(tecantrop!R154,"AAAAAH//GrI=")</f>
        <v>#VALUE!</v>
      </c>
      <c r="FX122" t="e">
        <f>AND(tecantrop!S154,"AAAAAH//GrM=")</f>
        <v>#VALUE!</v>
      </c>
      <c r="FY122" t="e">
        <f>AND(tecantrop!T154,"AAAAAH//GrQ=")</f>
        <v>#VALUE!</v>
      </c>
      <c r="FZ122" t="e">
        <f>AND(tecantrop!U154,"AAAAAH//GrU=")</f>
        <v>#VALUE!</v>
      </c>
      <c r="GA122" t="e">
        <f>AND(tecantrop!V154,"AAAAAH//GrY=")</f>
        <v>#VALUE!</v>
      </c>
      <c r="GB122" t="e">
        <f>AND(tecantrop!W154,"AAAAAH//Grc=")</f>
        <v>#VALUE!</v>
      </c>
      <c r="GC122" t="e">
        <f>AND(tecantrop!X154,"AAAAAH//Grg=")</f>
        <v>#VALUE!</v>
      </c>
      <c r="GD122">
        <f>IF(tecantrop!155:155,"AAAAAH//Grk=",0)</f>
        <v>0</v>
      </c>
      <c r="GE122" t="e">
        <f>AND(tecantrop!A155,"AAAAAH//Gro=")</f>
        <v>#VALUE!</v>
      </c>
      <c r="GF122" t="e">
        <f>AND(tecantrop!B155,"AAAAAH//Grs=")</f>
        <v>#VALUE!</v>
      </c>
      <c r="GG122" t="e">
        <f>AND(tecantrop!C155,"AAAAAH//Grw=")</f>
        <v>#VALUE!</v>
      </c>
      <c r="GH122" t="e">
        <f>AND(tecantrop!D155,"AAAAAH//Gr0=")</f>
        <v>#VALUE!</v>
      </c>
      <c r="GI122" t="e">
        <f>AND(tecantrop!E155,"AAAAAH//Gr4=")</f>
        <v>#VALUE!</v>
      </c>
      <c r="GJ122" t="e">
        <f>AND(tecantrop!F155,"AAAAAH//Gr8=")</f>
        <v>#VALUE!</v>
      </c>
      <c r="GK122" t="e">
        <f>AND(tecantrop!G155,"AAAAAH//GsA=")</f>
        <v>#VALUE!</v>
      </c>
      <c r="GL122" t="e">
        <f>AND(tecantrop!H155,"AAAAAH//GsE=")</f>
        <v>#VALUE!</v>
      </c>
      <c r="GM122" t="e">
        <f>AND(tecantrop!I155,"AAAAAH//GsI=")</f>
        <v>#VALUE!</v>
      </c>
      <c r="GN122" t="e">
        <f>AND(tecantrop!J155,"AAAAAH//GsM=")</f>
        <v>#VALUE!</v>
      </c>
      <c r="GO122" t="e">
        <f>AND(tecantrop!K155,"AAAAAH//GsQ=")</f>
        <v>#VALUE!</v>
      </c>
      <c r="GP122" t="e">
        <f>AND(tecantrop!L155,"AAAAAH//GsU=")</f>
        <v>#VALUE!</v>
      </c>
      <c r="GQ122" t="e">
        <f>AND(tecantrop!M155,"AAAAAH//GsY=")</f>
        <v>#VALUE!</v>
      </c>
      <c r="GR122" t="e">
        <f>AND(tecantrop!N155,"AAAAAH//Gsc=")</f>
        <v>#VALUE!</v>
      </c>
      <c r="GS122" t="e">
        <f>AND(tecantrop!O155,"AAAAAH//Gsg=")</f>
        <v>#VALUE!</v>
      </c>
      <c r="GT122" t="e">
        <f>AND(tecantrop!P155,"AAAAAH//Gsk=")</f>
        <v>#VALUE!</v>
      </c>
      <c r="GU122" t="e">
        <f>AND(tecantrop!Q155,"AAAAAH//Gso=")</f>
        <v>#VALUE!</v>
      </c>
      <c r="GV122" t="e">
        <f>AND(tecantrop!R155,"AAAAAH//Gss=")</f>
        <v>#VALUE!</v>
      </c>
      <c r="GW122" t="e">
        <f>AND(tecantrop!S155,"AAAAAH//Gsw=")</f>
        <v>#VALUE!</v>
      </c>
      <c r="GX122" t="e">
        <f>AND(tecantrop!T155,"AAAAAH//Gs0=")</f>
        <v>#VALUE!</v>
      </c>
      <c r="GY122" t="e">
        <f>AND(tecantrop!U155,"AAAAAH//Gs4=")</f>
        <v>#VALUE!</v>
      </c>
      <c r="GZ122" t="e">
        <f>AND(tecantrop!V155,"AAAAAH//Gs8=")</f>
        <v>#VALUE!</v>
      </c>
      <c r="HA122" t="e">
        <f>AND(tecantrop!W155,"AAAAAH//GtA=")</f>
        <v>#VALUE!</v>
      </c>
      <c r="HB122" t="e">
        <f>AND(tecantrop!X155,"AAAAAH//GtE=")</f>
        <v>#VALUE!</v>
      </c>
      <c r="HC122">
        <f>IF(tecantrop!156:156,"AAAAAH//GtI=",0)</f>
        <v>0</v>
      </c>
      <c r="HD122" t="e">
        <f>AND(tecantrop!A156,"AAAAAH//GtM=")</f>
        <v>#VALUE!</v>
      </c>
      <c r="HE122" t="e">
        <f>AND(tecantrop!B156,"AAAAAH//GtQ=")</f>
        <v>#VALUE!</v>
      </c>
      <c r="HF122" t="e">
        <f>AND(tecantrop!C156,"AAAAAH//GtU=")</f>
        <v>#VALUE!</v>
      </c>
      <c r="HG122" t="e">
        <f>AND(tecantrop!D156,"AAAAAH//GtY=")</f>
        <v>#VALUE!</v>
      </c>
      <c r="HH122" t="e">
        <f>AND(tecantrop!E156,"AAAAAH//Gtc=")</f>
        <v>#VALUE!</v>
      </c>
      <c r="HI122" t="e">
        <f>AND(tecantrop!F156,"AAAAAH//Gtg=")</f>
        <v>#VALUE!</v>
      </c>
      <c r="HJ122" t="e">
        <f>AND(tecantrop!G156,"AAAAAH//Gtk=")</f>
        <v>#VALUE!</v>
      </c>
      <c r="HK122" t="e">
        <f>AND(tecantrop!H156,"AAAAAH//Gto=")</f>
        <v>#VALUE!</v>
      </c>
      <c r="HL122" t="e">
        <f>AND(tecantrop!I156,"AAAAAH//Gts=")</f>
        <v>#VALUE!</v>
      </c>
      <c r="HM122" t="e">
        <f>AND(tecantrop!J156,"AAAAAH//Gtw=")</f>
        <v>#VALUE!</v>
      </c>
      <c r="HN122" t="e">
        <f>AND(tecantrop!K156,"AAAAAH//Gt0=")</f>
        <v>#VALUE!</v>
      </c>
      <c r="HO122" t="e">
        <f>AND(tecantrop!L156,"AAAAAH//Gt4=")</f>
        <v>#VALUE!</v>
      </c>
      <c r="HP122" t="e">
        <f>AND(tecantrop!M156,"AAAAAH//Gt8=")</f>
        <v>#VALUE!</v>
      </c>
      <c r="HQ122" t="e">
        <f>AND(tecantrop!N156,"AAAAAH//GuA=")</f>
        <v>#VALUE!</v>
      </c>
      <c r="HR122" t="e">
        <f>AND(tecantrop!O156,"AAAAAH//GuE=")</f>
        <v>#VALUE!</v>
      </c>
      <c r="HS122" t="e">
        <f>AND(tecantrop!P156,"AAAAAH//GuI=")</f>
        <v>#VALUE!</v>
      </c>
      <c r="HT122" t="e">
        <f>AND(tecantrop!Q156,"AAAAAH//GuM=")</f>
        <v>#VALUE!</v>
      </c>
      <c r="HU122" t="e">
        <f>AND(tecantrop!R156,"AAAAAH//GuQ=")</f>
        <v>#VALUE!</v>
      </c>
      <c r="HV122" t="e">
        <f>AND(tecantrop!S156,"AAAAAH//GuU=")</f>
        <v>#VALUE!</v>
      </c>
      <c r="HW122" t="e">
        <f>AND(tecantrop!T156,"AAAAAH//GuY=")</f>
        <v>#VALUE!</v>
      </c>
      <c r="HX122" t="e">
        <f>AND(tecantrop!U156,"AAAAAH//Guc=")</f>
        <v>#VALUE!</v>
      </c>
      <c r="HY122" t="e">
        <f>AND(tecantrop!V156,"AAAAAH//Gug=")</f>
        <v>#VALUE!</v>
      </c>
      <c r="HZ122" t="e">
        <f>AND(tecantrop!W156,"AAAAAH//Guk=")</f>
        <v>#VALUE!</v>
      </c>
      <c r="IA122" t="e">
        <f>AND(tecantrop!X156,"AAAAAH//Guo=")</f>
        <v>#VALUE!</v>
      </c>
      <c r="IB122">
        <f>IF(tecantrop!157:157,"AAAAAH//Gus=",0)</f>
        <v>0</v>
      </c>
      <c r="IC122" t="e">
        <f>AND(tecantrop!A157,"AAAAAH//Guw=")</f>
        <v>#VALUE!</v>
      </c>
      <c r="ID122" t="e">
        <f>AND(tecantrop!B157,"AAAAAH//Gu0=")</f>
        <v>#VALUE!</v>
      </c>
      <c r="IE122" t="e">
        <f>AND(tecantrop!C157,"AAAAAH//Gu4=")</f>
        <v>#VALUE!</v>
      </c>
      <c r="IF122" t="e">
        <f>AND(tecantrop!D157,"AAAAAH//Gu8=")</f>
        <v>#VALUE!</v>
      </c>
      <c r="IG122" t="e">
        <f>AND(tecantrop!E157,"AAAAAH//GvA=")</f>
        <v>#VALUE!</v>
      </c>
      <c r="IH122" t="e">
        <f>AND(tecantrop!F157,"AAAAAH//GvE=")</f>
        <v>#VALUE!</v>
      </c>
      <c r="II122" t="e">
        <f>AND(tecantrop!G157,"AAAAAH//GvI=")</f>
        <v>#VALUE!</v>
      </c>
      <c r="IJ122" t="e">
        <f>AND(tecantrop!H157,"AAAAAH//GvM=")</f>
        <v>#VALUE!</v>
      </c>
      <c r="IK122" t="e">
        <f>AND(tecantrop!I157,"AAAAAH//GvQ=")</f>
        <v>#VALUE!</v>
      </c>
      <c r="IL122" t="e">
        <f>AND(tecantrop!J157,"AAAAAH//GvU=")</f>
        <v>#VALUE!</v>
      </c>
      <c r="IM122" t="e">
        <f>AND(tecantrop!K157,"AAAAAH//GvY=")</f>
        <v>#VALUE!</v>
      </c>
      <c r="IN122" t="e">
        <f>AND(tecantrop!L157,"AAAAAH//Gvc=")</f>
        <v>#VALUE!</v>
      </c>
      <c r="IO122" t="e">
        <f>AND(tecantrop!M157,"AAAAAH//Gvg=")</f>
        <v>#VALUE!</v>
      </c>
      <c r="IP122" t="e">
        <f>AND(tecantrop!N157,"AAAAAH//Gvk=")</f>
        <v>#VALUE!</v>
      </c>
      <c r="IQ122" t="e">
        <f>AND(tecantrop!O157,"AAAAAH//Gvo=")</f>
        <v>#VALUE!</v>
      </c>
      <c r="IR122" t="e">
        <f>AND(tecantrop!P157,"AAAAAH//Gvs=")</f>
        <v>#VALUE!</v>
      </c>
      <c r="IS122" t="e">
        <f>AND(tecantrop!Q157,"AAAAAH//Gvw=")</f>
        <v>#VALUE!</v>
      </c>
      <c r="IT122" t="e">
        <f>AND(tecantrop!R157,"AAAAAH//Gv0=")</f>
        <v>#VALUE!</v>
      </c>
      <c r="IU122" t="e">
        <f>AND(tecantrop!S157,"AAAAAH//Gv4=")</f>
        <v>#VALUE!</v>
      </c>
      <c r="IV122" t="e">
        <f>AND(tecantrop!T157,"AAAAAH//Gv8=")</f>
        <v>#VALUE!</v>
      </c>
    </row>
    <row r="123" spans="1:256" x14ac:dyDescent="0.2">
      <c r="A123" t="e">
        <f>AND(tecantrop!U157,"AAAAAH7fPwA=")</f>
        <v>#VALUE!</v>
      </c>
      <c r="B123" t="e">
        <f>AND(tecantrop!V157,"AAAAAH7fPwE=")</f>
        <v>#VALUE!</v>
      </c>
      <c r="C123" t="e">
        <f>AND(tecantrop!W157,"AAAAAH7fPwI=")</f>
        <v>#VALUE!</v>
      </c>
      <c r="D123" t="e">
        <f>AND(tecantrop!X157,"AAAAAH7fPwM=")</f>
        <v>#VALUE!</v>
      </c>
      <c r="E123">
        <f>IF(tecantrop!158:158,"AAAAAH7fPwQ=",0)</f>
        <v>0</v>
      </c>
      <c r="F123" t="e">
        <f>AND(tecantrop!A158,"AAAAAH7fPwU=")</f>
        <v>#VALUE!</v>
      </c>
      <c r="G123" t="e">
        <f>AND(tecantrop!B158,"AAAAAH7fPwY=")</f>
        <v>#VALUE!</v>
      </c>
      <c r="H123" t="e">
        <f>AND(tecantrop!C158,"AAAAAH7fPwc=")</f>
        <v>#VALUE!</v>
      </c>
      <c r="I123" t="e">
        <f>AND(tecantrop!D158,"AAAAAH7fPwg=")</f>
        <v>#VALUE!</v>
      </c>
      <c r="J123" t="e">
        <f>AND(tecantrop!E158,"AAAAAH7fPwk=")</f>
        <v>#VALUE!</v>
      </c>
      <c r="K123" t="e">
        <f>AND(tecantrop!F158,"AAAAAH7fPwo=")</f>
        <v>#VALUE!</v>
      </c>
      <c r="L123" t="e">
        <f>AND(tecantrop!G158,"AAAAAH7fPws=")</f>
        <v>#VALUE!</v>
      </c>
      <c r="M123" t="e">
        <f>AND(tecantrop!H158,"AAAAAH7fPww=")</f>
        <v>#VALUE!</v>
      </c>
      <c r="N123" t="e">
        <f>AND(tecantrop!I158,"AAAAAH7fPw0=")</f>
        <v>#VALUE!</v>
      </c>
      <c r="O123" t="e">
        <f>AND(tecantrop!J158,"AAAAAH7fPw4=")</f>
        <v>#VALUE!</v>
      </c>
      <c r="P123" t="e">
        <f>AND(tecantrop!K158,"AAAAAH7fPw8=")</f>
        <v>#VALUE!</v>
      </c>
      <c r="Q123" t="e">
        <f>AND(tecantrop!L158,"AAAAAH7fPxA=")</f>
        <v>#VALUE!</v>
      </c>
      <c r="R123" t="e">
        <f>AND(tecantrop!M158,"AAAAAH7fPxE=")</f>
        <v>#VALUE!</v>
      </c>
      <c r="S123" t="e">
        <f>AND(tecantrop!N158,"AAAAAH7fPxI=")</f>
        <v>#VALUE!</v>
      </c>
      <c r="T123" t="e">
        <f>AND(tecantrop!O158,"AAAAAH7fPxM=")</f>
        <v>#VALUE!</v>
      </c>
      <c r="U123" t="e">
        <f>AND(tecantrop!P158,"AAAAAH7fPxQ=")</f>
        <v>#VALUE!</v>
      </c>
      <c r="V123" t="e">
        <f>AND(tecantrop!Q158,"AAAAAH7fPxU=")</f>
        <v>#VALUE!</v>
      </c>
      <c r="W123" t="e">
        <f>AND(tecantrop!R158,"AAAAAH7fPxY=")</f>
        <v>#VALUE!</v>
      </c>
      <c r="X123" t="e">
        <f>AND(tecantrop!S158,"AAAAAH7fPxc=")</f>
        <v>#VALUE!</v>
      </c>
      <c r="Y123" t="e">
        <f>AND(tecantrop!T158,"AAAAAH7fPxg=")</f>
        <v>#VALUE!</v>
      </c>
      <c r="Z123" t="e">
        <f>AND(tecantrop!U158,"AAAAAH7fPxk=")</f>
        <v>#VALUE!</v>
      </c>
      <c r="AA123" t="e">
        <f>AND(tecantrop!V158,"AAAAAH7fPxo=")</f>
        <v>#VALUE!</v>
      </c>
      <c r="AB123" t="e">
        <f>AND(tecantrop!W158,"AAAAAH7fPxs=")</f>
        <v>#VALUE!</v>
      </c>
      <c r="AC123" t="e">
        <f>AND(tecantrop!X158,"AAAAAH7fPxw=")</f>
        <v>#VALUE!</v>
      </c>
      <c r="AD123">
        <f>IF(tecantrop!159:159,"AAAAAH7fPx0=",0)</f>
        <v>0</v>
      </c>
      <c r="AE123" t="e">
        <f>AND(tecantrop!A159,"AAAAAH7fPx4=")</f>
        <v>#VALUE!</v>
      </c>
      <c r="AF123" t="e">
        <f>AND(tecantrop!B159,"AAAAAH7fPx8=")</f>
        <v>#VALUE!</v>
      </c>
      <c r="AG123" t="e">
        <f>AND(tecantrop!C159,"AAAAAH7fPyA=")</f>
        <v>#VALUE!</v>
      </c>
      <c r="AH123" t="e">
        <f>AND(tecantrop!D159,"AAAAAH7fPyE=")</f>
        <v>#VALUE!</v>
      </c>
      <c r="AI123" t="e">
        <f>AND(tecantrop!E159,"AAAAAH7fPyI=")</f>
        <v>#VALUE!</v>
      </c>
      <c r="AJ123" t="e">
        <f>AND(tecantrop!F159,"AAAAAH7fPyM=")</f>
        <v>#VALUE!</v>
      </c>
      <c r="AK123" t="e">
        <f>AND(tecantrop!G159,"AAAAAH7fPyQ=")</f>
        <v>#VALUE!</v>
      </c>
      <c r="AL123" t="e">
        <f>AND(tecantrop!H159,"AAAAAH7fPyU=")</f>
        <v>#VALUE!</v>
      </c>
      <c r="AM123" t="e">
        <f>AND(tecantrop!I159,"AAAAAH7fPyY=")</f>
        <v>#VALUE!</v>
      </c>
      <c r="AN123" t="e">
        <f>AND(tecantrop!J159,"AAAAAH7fPyc=")</f>
        <v>#VALUE!</v>
      </c>
      <c r="AO123" t="e">
        <f>AND(tecantrop!K159,"AAAAAH7fPyg=")</f>
        <v>#VALUE!</v>
      </c>
      <c r="AP123" t="e">
        <f>AND(tecantrop!L159,"AAAAAH7fPyk=")</f>
        <v>#VALUE!</v>
      </c>
      <c r="AQ123" t="e">
        <f>AND(tecantrop!M159,"AAAAAH7fPyo=")</f>
        <v>#VALUE!</v>
      </c>
      <c r="AR123" t="e">
        <f>AND(tecantrop!N159,"AAAAAH7fPys=")</f>
        <v>#VALUE!</v>
      </c>
      <c r="AS123" t="e">
        <f>AND(tecantrop!O159,"AAAAAH7fPyw=")</f>
        <v>#VALUE!</v>
      </c>
      <c r="AT123" t="e">
        <f>AND(tecantrop!P159,"AAAAAH7fPy0=")</f>
        <v>#VALUE!</v>
      </c>
      <c r="AU123" t="e">
        <f>AND(tecantrop!Q159,"AAAAAH7fPy4=")</f>
        <v>#VALUE!</v>
      </c>
      <c r="AV123" t="e">
        <f>AND(tecantrop!R159,"AAAAAH7fPy8=")</f>
        <v>#VALUE!</v>
      </c>
      <c r="AW123" t="e">
        <f>AND(tecantrop!S159,"AAAAAH7fPzA=")</f>
        <v>#VALUE!</v>
      </c>
      <c r="AX123" t="e">
        <f>AND(tecantrop!T159,"AAAAAH7fPzE=")</f>
        <v>#VALUE!</v>
      </c>
      <c r="AY123" t="e">
        <f>AND(tecantrop!U159,"AAAAAH7fPzI=")</f>
        <v>#VALUE!</v>
      </c>
      <c r="AZ123" t="e">
        <f>AND(tecantrop!V159,"AAAAAH7fPzM=")</f>
        <v>#VALUE!</v>
      </c>
      <c r="BA123" t="e">
        <f>AND(tecantrop!W159,"AAAAAH7fPzQ=")</f>
        <v>#VALUE!</v>
      </c>
      <c r="BB123" t="e">
        <f>AND(tecantrop!X159,"AAAAAH7fPzU=")</f>
        <v>#VALUE!</v>
      </c>
      <c r="BC123">
        <f>IF(tecantrop!160:160,"AAAAAH7fPzY=",0)</f>
        <v>0</v>
      </c>
      <c r="BD123" t="e">
        <f>AND(tecantrop!A160,"AAAAAH7fPzc=")</f>
        <v>#VALUE!</v>
      </c>
      <c r="BE123" t="e">
        <f>AND(tecantrop!B160,"AAAAAH7fPzg=")</f>
        <v>#VALUE!</v>
      </c>
      <c r="BF123" t="e">
        <f>AND(tecantrop!C160,"AAAAAH7fPzk=")</f>
        <v>#VALUE!</v>
      </c>
      <c r="BG123" t="e">
        <f>AND(tecantrop!D160,"AAAAAH7fPzo=")</f>
        <v>#VALUE!</v>
      </c>
      <c r="BH123" t="e">
        <f>AND(tecantrop!E160,"AAAAAH7fPzs=")</f>
        <v>#VALUE!</v>
      </c>
      <c r="BI123" t="e">
        <f>AND(tecantrop!F160,"AAAAAH7fPzw=")</f>
        <v>#VALUE!</v>
      </c>
      <c r="BJ123" t="e">
        <f>AND(tecantrop!G160,"AAAAAH7fPz0=")</f>
        <v>#VALUE!</v>
      </c>
      <c r="BK123" t="e">
        <f>AND(tecantrop!H160,"AAAAAH7fPz4=")</f>
        <v>#VALUE!</v>
      </c>
      <c r="BL123" t="e">
        <f>AND(tecantrop!I160,"AAAAAH7fPz8=")</f>
        <v>#VALUE!</v>
      </c>
      <c r="BM123" t="e">
        <f>AND(tecantrop!J160,"AAAAAH7fP0A=")</f>
        <v>#VALUE!</v>
      </c>
      <c r="BN123" t="e">
        <f>AND(tecantrop!K160,"AAAAAH7fP0E=")</f>
        <v>#VALUE!</v>
      </c>
      <c r="BO123" t="e">
        <f>AND(tecantrop!L160,"AAAAAH7fP0I=")</f>
        <v>#VALUE!</v>
      </c>
      <c r="BP123" t="e">
        <f>AND(tecantrop!M160,"AAAAAH7fP0M=")</f>
        <v>#VALUE!</v>
      </c>
      <c r="BQ123" t="e">
        <f>AND(tecantrop!N160,"AAAAAH7fP0Q=")</f>
        <v>#VALUE!</v>
      </c>
      <c r="BR123" t="e">
        <f>AND(tecantrop!O160,"AAAAAH7fP0U=")</f>
        <v>#VALUE!</v>
      </c>
      <c r="BS123" t="e">
        <f>AND(tecantrop!P160,"AAAAAH7fP0Y=")</f>
        <v>#VALUE!</v>
      </c>
      <c r="BT123" t="e">
        <f>AND(tecantrop!Q160,"AAAAAH7fP0c=")</f>
        <v>#VALUE!</v>
      </c>
      <c r="BU123" t="e">
        <f>AND(tecantrop!R160,"AAAAAH7fP0g=")</f>
        <v>#VALUE!</v>
      </c>
      <c r="BV123" t="e">
        <f>AND(tecantrop!S160,"AAAAAH7fP0k=")</f>
        <v>#VALUE!</v>
      </c>
      <c r="BW123" t="e">
        <f>AND(tecantrop!T160,"AAAAAH7fP0o=")</f>
        <v>#VALUE!</v>
      </c>
      <c r="BX123" t="e">
        <f>AND(tecantrop!U160,"AAAAAH7fP0s=")</f>
        <v>#VALUE!</v>
      </c>
      <c r="BY123" t="e">
        <f>AND(tecantrop!V160,"AAAAAH7fP0w=")</f>
        <v>#VALUE!</v>
      </c>
      <c r="BZ123" t="e">
        <f>AND(tecantrop!W160,"AAAAAH7fP00=")</f>
        <v>#VALUE!</v>
      </c>
      <c r="CA123" t="e">
        <f>AND(tecantrop!X160,"AAAAAH7fP04=")</f>
        <v>#VALUE!</v>
      </c>
      <c r="CB123">
        <f>IF(tecantrop!161:161,"AAAAAH7fP08=",0)</f>
        <v>0</v>
      </c>
      <c r="CC123" t="e">
        <f>AND(tecantrop!A161,"AAAAAH7fP1A=")</f>
        <v>#VALUE!</v>
      </c>
      <c r="CD123" t="e">
        <f>AND(tecantrop!B161,"AAAAAH7fP1E=")</f>
        <v>#VALUE!</v>
      </c>
      <c r="CE123" t="e">
        <f>AND(tecantrop!C161,"AAAAAH7fP1I=")</f>
        <v>#VALUE!</v>
      </c>
      <c r="CF123" t="e">
        <f>AND(tecantrop!D161,"AAAAAH7fP1M=")</f>
        <v>#VALUE!</v>
      </c>
      <c r="CG123" t="e">
        <f>AND(tecantrop!E161,"AAAAAH7fP1Q=")</f>
        <v>#VALUE!</v>
      </c>
      <c r="CH123" t="e">
        <f>AND(tecantrop!F161,"AAAAAH7fP1U=")</f>
        <v>#VALUE!</v>
      </c>
      <c r="CI123" t="e">
        <f>AND(tecantrop!G161,"AAAAAH7fP1Y=")</f>
        <v>#VALUE!</v>
      </c>
      <c r="CJ123" t="e">
        <f>AND(tecantrop!H161,"AAAAAH7fP1c=")</f>
        <v>#VALUE!</v>
      </c>
      <c r="CK123" t="e">
        <f>AND(tecantrop!I161,"AAAAAH7fP1g=")</f>
        <v>#VALUE!</v>
      </c>
      <c r="CL123" t="e">
        <f>AND(tecantrop!J161,"AAAAAH7fP1k=")</f>
        <v>#VALUE!</v>
      </c>
      <c r="CM123" t="e">
        <f>AND(tecantrop!K161,"AAAAAH7fP1o=")</f>
        <v>#VALUE!</v>
      </c>
      <c r="CN123" t="e">
        <f>AND(tecantrop!L161,"AAAAAH7fP1s=")</f>
        <v>#VALUE!</v>
      </c>
      <c r="CO123" t="e">
        <f>AND(tecantrop!M161,"AAAAAH7fP1w=")</f>
        <v>#VALUE!</v>
      </c>
      <c r="CP123" t="e">
        <f>AND(tecantrop!N161,"AAAAAH7fP10=")</f>
        <v>#VALUE!</v>
      </c>
      <c r="CQ123" t="e">
        <f>AND(tecantrop!O161,"AAAAAH7fP14=")</f>
        <v>#VALUE!</v>
      </c>
      <c r="CR123" t="e">
        <f>AND(tecantrop!P161,"AAAAAH7fP18=")</f>
        <v>#VALUE!</v>
      </c>
      <c r="CS123" t="e">
        <f>AND(tecantrop!Q161,"AAAAAH7fP2A=")</f>
        <v>#VALUE!</v>
      </c>
      <c r="CT123" t="e">
        <f>AND(tecantrop!R161,"AAAAAH7fP2E=")</f>
        <v>#VALUE!</v>
      </c>
      <c r="CU123" t="e">
        <f>AND(tecantrop!S161,"AAAAAH7fP2I=")</f>
        <v>#VALUE!</v>
      </c>
      <c r="CV123" t="e">
        <f>AND(tecantrop!T161,"AAAAAH7fP2M=")</f>
        <v>#VALUE!</v>
      </c>
      <c r="CW123" t="e">
        <f>AND(tecantrop!U161,"AAAAAH7fP2Q=")</f>
        <v>#VALUE!</v>
      </c>
      <c r="CX123" t="e">
        <f>AND(tecantrop!V161,"AAAAAH7fP2U=")</f>
        <v>#VALUE!</v>
      </c>
      <c r="CY123" t="e">
        <f>AND(tecantrop!W161,"AAAAAH7fP2Y=")</f>
        <v>#VALUE!</v>
      </c>
      <c r="CZ123" t="e">
        <f>AND(tecantrop!X161,"AAAAAH7fP2c=")</f>
        <v>#VALUE!</v>
      </c>
      <c r="DA123">
        <f>IF(tecantrop!162:162,"AAAAAH7fP2g=",0)</f>
        <v>0</v>
      </c>
      <c r="DB123" t="e">
        <f>AND(tecantrop!A162,"AAAAAH7fP2k=")</f>
        <v>#VALUE!</v>
      </c>
      <c r="DC123" t="e">
        <f>AND(tecantrop!B162,"AAAAAH7fP2o=")</f>
        <v>#VALUE!</v>
      </c>
      <c r="DD123" t="e">
        <f>AND(tecantrop!C162,"AAAAAH7fP2s=")</f>
        <v>#VALUE!</v>
      </c>
      <c r="DE123" t="e">
        <f>AND(tecantrop!D162,"AAAAAH7fP2w=")</f>
        <v>#VALUE!</v>
      </c>
      <c r="DF123" t="e">
        <f>AND(tecantrop!E162,"AAAAAH7fP20=")</f>
        <v>#VALUE!</v>
      </c>
      <c r="DG123" t="e">
        <f>AND(tecantrop!F162,"AAAAAH7fP24=")</f>
        <v>#VALUE!</v>
      </c>
      <c r="DH123" t="e">
        <f>AND(tecantrop!G162,"AAAAAH7fP28=")</f>
        <v>#VALUE!</v>
      </c>
      <c r="DI123" t="e">
        <f>AND(tecantrop!H162,"AAAAAH7fP3A=")</f>
        <v>#VALUE!</v>
      </c>
      <c r="DJ123" t="e">
        <f>AND(tecantrop!I162,"AAAAAH7fP3E=")</f>
        <v>#VALUE!</v>
      </c>
      <c r="DK123" t="e">
        <f>AND(tecantrop!J162,"AAAAAH7fP3I=")</f>
        <v>#VALUE!</v>
      </c>
      <c r="DL123" t="e">
        <f>AND(tecantrop!K162,"AAAAAH7fP3M=")</f>
        <v>#VALUE!</v>
      </c>
      <c r="DM123" t="e">
        <f>AND(tecantrop!L162,"AAAAAH7fP3Q=")</f>
        <v>#VALUE!</v>
      </c>
      <c r="DN123" t="e">
        <f>AND(tecantrop!M162,"AAAAAH7fP3U=")</f>
        <v>#VALUE!</v>
      </c>
      <c r="DO123" t="e">
        <f>AND(tecantrop!N162,"AAAAAH7fP3Y=")</f>
        <v>#VALUE!</v>
      </c>
      <c r="DP123" t="e">
        <f>AND(tecantrop!O162,"AAAAAH7fP3c=")</f>
        <v>#VALUE!</v>
      </c>
      <c r="DQ123" t="e">
        <f>AND(tecantrop!P162,"AAAAAH7fP3g=")</f>
        <v>#VALUE!</v>
      </c>
      <c r="DR123" t="e">
        <f>AND(tecantrop!Q162,"AAAAAH7fP3k=")</f>
        <v>#VALUE!</v>
      </c>
      <c r="DS123" t="e">
        <f>AND(tecantrop!R162,"AAAAAH7fP3o=")</f>
        <v>#VALUE!</v>
      </c>
      <c r="DT123" t="e">
        <f>AND(tecantrop!S162,"AAAAAH7fP3s=")</f>
        <v>#VALUE!</v>
      </c>
      <c r="DU123" t="e">
        <f>AND(tecantrop!T162,"AAAAAH7fP3w=")</f>
        <v>#VALUE!</v>
      </c>
      <c r="DV123" t="e">
        <f>AND(tecantrop!U162,"AAAAAH7fP30=")</f>
        <v>#VALUE!</v>
      </c>
      <c r="DW123" t="e">
        <f>AND(tecantrop!V162,"AAAAAH7fP34=")</f>
        <v>#VALUE!</v>
      </c>
      <c r="DX123" t="e">
        <f>AND(tecantrop!W162,"AAAAAH7fP38=")</f>
        <v>#VALUE!</v>
      </c>
      <c r="DY123" t="e">
        <f>AND(tecantrop!X162,"AAAAAH7fP4A=")</f>
        <v>#VALUE!</v>
      </c>
      <c r="DZ123">
        <f>IF(tecantrop!163:163,"AAAAAH7fP4E=",0)</f>
        <v>0</v>
      </c>
      <c r="EA123" t="e">
        <f>AND(tecantrop!A163,"AAAAAH7fP4I=")</f>
        <v>#VALUE!</v>
      </c>
      <c r="EB123" t="e">
        <f>AND(tecantrop!B163,"AAAAAH7fP4M=")</f>
        <v>#VALUE!</v>
      </c>
      <c r="EC123" t="e">
        <f>AND(tecantrop!C163,"AAAAAH7fP4Q=")</f>
        <v>#VALUE!</v>
      </c>
      <c r="ED123" t="e">
        <f>AND(tecantrop!D163,"AAAAAH7fP4U=")</f>
        <v>#VALUE!</v>
      </c>
      <c r="EE123" t="e">
        <f>AND(tecantrop!E163,"AAAAAH7fP4Y=")</f>
        <v>#VALUE!</v>
      </c>
      <c r="EF123" t="e">
        <f>AND(tecantrop!F163,"AAAAAH7fP4c=")</f>
        <v>#VALUE!</v>
      </c>
      <c r="EG123" t="e">
        <f>AND(tecantrop!G163,"AAAAAH7fP4g=")</f>
        <v>#VALUE!</v>
      </c>
      <c r="EH123" t="e">
        <f>AND(tecantrop!H163,"AAAAAH7fP4k=")</f>
        <v>#VALUE!</v>
      </c>
      <c r="EI123" t="e">
        <f>AND(tecantrop!I163,"AAAAAH7fP4o=")</f>
        <v>#VALUE!</v>
      </c>
      <c r="EJ123" t="e">
        <f>AND(tecantrop!J163,"AAAAAH7fP4s=")</f>
        <v>#VALUE!</v>
      </c>
      <c r="EK123" t="e">
        <f>AND(tecantrop!K163,"AAAAAH7fP4w=")</f>
        <v>#VALUE!</v>
      </c>
      <c r="EL123" t="e">
        <f>AND(tecantrop!L163,"AAAAAH7fP40=")</f>
        <v>#VALUE!</v>
      </c>
      <c r="EM123" t="e">
        <f>AND(tecantrop!M163,"AAAAAH7fP44=")</f>
        <v>#VALUE!</v>
      </c>
      <c r="EN123" t="e">
        <f>AND(tecantrop!N163,"AAAAAH7fP48=")</f>
        <v>#VALUE!</v>
      </c>
      <c r="EO123" t="e">
        <f>AND(tecantrop!O163,"AAAAAH7fP5A=")</f>
        <v>#VALUE!</v>
      </c>
      <c r="EP123" t="e">
        <f>AND(tecantrop!P163,"AAAAAH7fP5E=")</f>
        <v>#VALUE!</v>
      </c>
      <c r="EQ123" t="e">
        <f>AND(tecantrop!Q163,"AAAAAH7fP5I=")</f>
        <v>#VALUE!</v>
      </c>
      <c r="ER123" t="e">
        <f>AND(tecantrop!R163,"AAAAAH7fP5M=")</f>
        <v>#VALUE!</v>
      </c>
      <c r="ES123" t="e">
        <f>AND(tecantrop!S163,"AAAAAH7fP5Q=")</f>
        <v>#VALUE!</v>
      </c>
      <c r="ET123" t="e">
        <f>AND(tecantrop!T163,"AAAAAH7fP5U=")</f>
        <v>#VALUE!</v>
      </c>
      <c r="EU123" t="e">
        <f>AND(tecantrop!U163,"AAAAAH7fP5Y=")</f>
        <v>#VALUE!</v>
      </c>
      <c r="EV123" t="e">
        <f>AND(tecantrop!V163,"AAAAAH7fP5c=")</f>
        <v>#VALUE!</v>
      </c>
      <c r="EW123" t="e">
        <f>AND(tecantrop!W163,"AAAAAH7fP5g=")</f>
        <v>#VALUE!</v>
      </c>
      <c r="EX123" t="e">
        <f>AND(tecantrop!X163,"AAAAAH7fP5k=")</f>
        <v>#VALUE!</v>
      </c>
      <c r="EY123">
        <f>IF(tecantrop!164:164,"AAAAAH7fP5o=",0)</f>
        <v>0</v>
      </c>
      <c r="EZ123" t="e">
        <f>AND(tecantrop!A164,"AAAAAH7fP5s=")</f>
        <v>#VALUE!</v>
      </c>
      <c r="FA123" t="e">
        <f>AND(tecantrop!B164,"AAAAAH7fP5w=")</f>
        <v>#VALUE!</v>
      </c>
      <c r="FB123" t="e">
        <f>AND(tecantrop!C164,"AAAAAH7fP50=")</f>
        <v>#VALUE!</v>
      </c>
      <c r="FC123" t="e">
        <f>AND(tecantrop!D164,"AAAAAH7fP54=")</f>
        <v>#VALUE!</v>
      </c>
      <c r="FD123" t="e">
        <f>AND(tecantrop!E164,"AAAAAH7fP58=")</f>
        <v>#VALUE!</v>
      </c>
      <c r="FE123" t="e">
        <f>AND(tecantrop!F164,"AAAAAH7fP6A=")</f>
        <v>#VALUE!</v>
      </c>
      <c r="FF123" t="e">
        <f>AND(tecantrop!G164,"AAAAAH7fP6E=")</f>
        <v>#VALUE!</v>
      </c>
      <c r="FG123" t="e">
        <f>AND(tecantrop!H164,"AAAAAH7fP6I=")</f>
        <v>#VALUE!</v>
      </c>
      <c r="FH123" t="e">
        <f>AND(tecantrop!I164,"AAAAAH7fP6M=")</f>
        <v>#VALUE!</v>
      </c>
      <c r="FI123" t="e">
        <f>AND(tecantrop!J164,"AAAAAH7fP6Q=")</f>
        <v>#VALUE!</v>
      </c>
      <c r="FJ123" t="e">
        <f>AND(tecantrop!K164,"AAAAAH7fP6U=")</f>
        <v>#VALUE!</v>
      </c>
      <c r="FK123" t="e">
        <f>AND(tecantrop!L164,"AAAAAH7fP6Y=")</f>
        <v>#VALUE!</v>
      </c>
      <c r="FL123" t="e">
        <f>AND(tecantrop!M164,"AAAAAH7fP6c=")</f>
        <v>#VALUE!</v>
      </c>
      <c r="FM123" t="e">
        <f>AND(tecantrop!N164,"AAAAAH7fP6g=")</f>
        <v>#VALUE!</v>
      </c>
      <c r="FN123" t="e">
        <f>AND(tecantrop!O164,"AAAAAH7fP6k=")</f>
        <v>#VALUE!</v>
      </c>
      <c r="FO123" t="e">
        <f>AND(tecantrop!P164,"AAAAAH7fP6o=")</f>
        <v>#VALUE!</v>
      </c>
      <c r="FP123" t="e">
        <f>AND(tecantrop!Q164,"AAAAAH7fP6s=")</f>
        <v>#VALUE!</v>
      </c>
      <c r="FQ123" t="e">
        <f>AND(tecantrop!R164,"AAAAAH7fP6w=")</f>
        <v>#VALUE!</v>
      </c>
      <c r="FR123" t="e">
        <f>AND(tecantrop!S164,"AAAAAH7fP60=")</f>
        <v>#VALUE!</v>
      </c>
      <c r="FS123" t="e">
        <f>AND(tecantrop!T164,"AAAAAH7fP64=")</f>
        <v>#VALUE!</v>
      </c>
      <c r="FT123" t="e">
        <f>AND(tecantrop!U164,"AAAAAH7fP68=")</f>
        <v>#VALUE!</v>
      </c>
      <c r="FU123" t="e">
        <f>AND(tecantrop!V164,"AAAAAH7fP7A=")</f>
        <v>#VALUE!</v>
      </c>
      <c r="FV123" t="e">
        <f>AND(tecantrop!W164,"AAAAAH7fP7E=")</f>
        <v>#VALUE!</v>
      </c>
      <c r="FW123" t="e">
        <f>AND(tecantrop!X164,"AAAAAH7fP7I=")</f>
        <v>#VALUE!</v>
      </c>
      <c r="FX123">
        <f>IF(tecantrop!165:165,"AAAAAH7fP7M=",0)</f>
        <v>0</v>
      </c>
      <c r="FY123" t="e">
        <f>AND(tecantrop!A165,"AAAAAH7fP7Q=")</f>
        <v>#VALUE!</v>
      </c>
      <c r="FZ123" t="e">
        <f>AND(tecantrop!B165,"AAAAAH7fP7U=")</f>
        <v>#VALUE!</v>
      </c>
      <c r="GA123" t="e">
        <f>AND(tecantrop!C165,"AAAAAH7fP7Y=")</f>
        <v>#VALUE!</v>
      </c>
      <c r="GB123" t="e">
        <f>AND(tecantrop!D165,"AAAAAH7fP7c=")</f>
        <v>#VALUE!</v>
      </c>
      <c r="GC123" t="e">
        <f>AND(tecantrop!E165,"AAAAAH7fP7g=")</f>
        <v>#VALUE!</v>
      </c>
      <c r="GD123" t="e">
        <f>AND(tecantrop!F165,"AAAAAH7fP7k=")</f>
        <v>#VALUE!</v>
      </c>
      <c r="GE123" t="e">
        <f>AND(tecantrop!G165,"AAAAAH7fP7o=")</f>
        <v>#VALUE!</v>
      </c>
      <c r="GF123" t="e">
        <f>AND(tecantrop!H165,"AAAAAH7fP7s=")</f>
        <v>#VALUE!</v>
      </c>
      <c r="GG123" t="e">
        <f>AND(tecantrop!I165,"AAAAAH7fP7w=")</f>
        <v>#VALUE!</v>
      </c>
      <c r="GH123" t="e">
        <f>AND(tecantrop!J165,"AAAAAH7fP70=")</f>
        <v>#VALUE!</v>
      </c>
      <c r="GI123" t="e">
        <f>AND(tecantrop!K165,"AAAAAH7fP74=")</f>
        <v>#VALUE!</v>
      </c>
      <c r="GJ123" t="e">
        <f>AND(tecantrop!L165,"AAAAAH7fP78=")</f>
        <v>#VALUE!</v>
      </c>
      <c r="GK123" t="e">
        <f>AND(tecantrop!M165,"AAAAAH7fP8A=")</f>
        <v>#VALUE!</v>
      </c>
      <c r="GL123" t="e">
        <f>AND(tecantrop!N165,"AAAAAH7fP8E=")</f>
        <v>#VALUE!</v>
      </c>
      <c r="GM123" t="e">
        <f>AND(tecantrop!O165,"AAAAAH7fP8I=")</f>
        <v>#VALUE!</v>
      </c>
      <c r="GN123" t="e">
        <f>AND(tecantrop!P165,"AAAAAH7fP8M=")</f>
        <v>#VALUE!</v>
      </c>
      <c r="GO123" t="e">
        <f>AND(tecantrop!Q165,"AAAAAH7fP8Q=")</f>
        <v>#VALUE!</v>
      </c>
      <c r="GP123" t="e">
        <f>AND(tecantrop!R165,"AAAAAH7fP8U=")</f>
        <v>#VALUE!</v>
      </c>
      <c r="GQ123" t="e">
        <f>AND(tecantrop!S165,"AAAAAH7fP8Y=")</f>
        <v>#VALUE!</v>
      </c>
      <c r="GR123" t="e">
        <f>AND(tecantrop!T165,"AAAAAH7fP8c=")</f>
        <v>#VALUE!</v>
      </c>
      <c r="GS123" t="e">
        <f>AND(tecantrop!U165,"AAAAAH7fP8g=")</f>
        <v>#VALUE!</v>
      </c>
      <c r="GT123" t="e">
        <f>AND(tecantrop!V165,"AAAAAH7fP8k=")</f>
        <v>#VALUE!</v>
      </c>
      <c r="GU123" t="e">
        <f>AND(tecantrop!W165,"AAAAAH7fP8o=")</f>
        <v>#VALUE!</v>
      </c>
      <c r="GV123" t="e">
        <f>AND(tecantrop!X165,"AAAAAH7fP8s=")</f>
        <v>#VALUE!</v>
      </c>
      <c r="GW123">
        <f>IF(tecantrop!166:166,"AAAAAH7fP8w=",0)</f>
        <v>0</v>
      </c>
      <c r="GX123" t="e">
        <f>AND(tecantrop!A166,"AAAAAH7fP80=")</f>
        <v>#VALUE!</v>
      </c>
      <c r="GY123" t="e">
        <f>AND(tecantrop!B166,"AAAAAH7fP84=")</f>
        <v>#VALUE!</v>
      </c>
      <c r="GZ123" t="e">
        <f>AND(tecantrop!C166,"AAAAAH7fP88=")</f>
        <v>#VALUE!</v>
      </c>
      <c r="HA123" t="e">
        <f>AND(tecantrop!D166,"AAAAAH7fP9A=")</f>
        <v>#VALUE!</v>
      </c>
      <c r="HB123" t="e">
        <f>AND(tecantrop!E166,"AAAAAH7fP9E=")</f>
        <v>#VALUE!</v>
      </c>
      <c r="HC123" t="e">
        <f>AND(tecantrop!F166,"AAAAAH7fP9I=")</f>
        <v>#VALUE!</v>
      </c>
      <c r="HD123" t="e">
        <f>AND(tecantrop!G166,"AAAAAH7fP9M=")</f>
        <v>#VALUE!</v>
      </c>
      <c r="HE123" t="e">
        <f>AND(tecantrop!H166,"AAAAAH7fP9Q=")</f>
        <v>#VALUE!</v>
      </c>
      <c r="HF123" t="e">
        <f>AND(tecantrop!I166,"AAAAAH7fP9U=")</f>
        <v>#VALUE!</v>
      </c>
      <c r="HG123" t="e">
        <f>AND(tecantrop!J166,"AAAAAH7fP9Y=")</f>
        <v>#VALUE!</v>
      </c>
      <c r="HH123" t="e">
        <f>AND(tecantrop!K166,"AAAAAH7fP9c=")</f>
        <v>#VALUE!</v>
      </c>
      <c r="HI123" t="e">
        <f>AND(tecantrop!L166,"AAAAAH7fP9g=")</f>
        <v>#VALUE!</v>
      </c>
      <c r="HJ123" t="e">
        <f>AND(tecantrop!M166,"AAAAAH7fP9k=")</f>
        <v>#VALUE!</v>
      </c>
      <c r="HK123" t="e">
        <f>AND(tecantrop!N166,"AAAAAH7fP9o=")</f>
        <v>#VALUE!</v>
      </c>
      <c r="HL123" t="e">
        <f>AND(tecantrop!O166,"AAAAAH7fP9s=")</f>
        <v>#VALUE!</v>
      </c>
      <c r="HM123" t="e">
        <f>AND(tecantrop!P166,"AAAAAH7fP9w=")</f>
        <v>#VALUE!</v>
      </c>
      <c r="HN123" t="e">
        <f>AND(tecantrop!Q166,"AAAAAH7fP90=")</f>
        <v>#VALUE!</v>
      </c>
      <c r="HO123" t="e">
        <f>AND(tecantrop!R166,"AAAAAH7fP94=")</f>
        <v>#VALUE!</v>
      </c>
      <c r="HP123" t="e">
        <f>AND(tecantrop!S166,"AAAAAH7fP98=")</f>
        <v>#VALUE!</v>
      </c>
      <c r="HQ123" t="e">
        <f>AND(tecantrop!T166,"AAAAAH7fP+A=")</f>
        <v>#VALUE!</v>
      </c>
      <c r="HR123" t="e">
        <f>AND(tecantrop!U166,"AAAAAH7fP+E=")</f>
        <v>#VALUE!</v>
      </c>
      <c r="HS123" t="e">
        <f>AND(tecantrop!V166,"AAAAAH7fP+I=")</f>
        <v>#VALUE!</v>
      </c>
      <c r="HT123" t="e">
        <f>AND(tecantrop!W166,"AAAAAH7fP+M=")</f>
        <v>#VALUE!</v>
      </c>
      <c r="HU123" t="e">
        <f>AND(tecantrop!X166,"AAAAAH7fP+Q=")</f>
        <v>#VALUE!</v>
      </c>
      <c r="HV123">
        <f>IF(tecantrop!167:167,"AAAAAH7fP+U=",0)</f>
        <v>0</v>
      </c>
      <c r="HW123" t="e">
        <f>AND(tecantrop!A167,"AAAAAH7fP+Y=")</f>
        <v>#VALUE!</v>
      </c>
      <c r="HX123" t="e">
        <f>AND(tecantrop!B167,"AAAAAH7fP+c=")</f>
        <v>#VALUE!</v>
      </c>
      <c r="HY123" t="e">
        <f>AND(tecantrop!C167,"AAAAAH7fP+g=")</f>
        <v>#VALUE!</v>
      </c>
      <c r="HZ123" t="e">
        <f>AND(tecantrop!D167,"AAAAAH7fP+k=")</f>
        <v>#VALUE!</v>
      </c>
      <c r="IA123" t="e">
        <f>AND(tecantrop!E167,"AAAAAH7fP+o=")</f>
        <v>#VALUE!</v>
      </c>
      <c r="IB123" t="e">
        <f>AND(tecantrop!F167,"AAAAAH7fP+s=")</f>
        <v>#VALUE!</v>
      </c>
      <c r="IC123" t="e">
        <f>AND(tecantrop!G167,"AAAAAH7fP+w=")</f>
        <v>#VALUE!</v>
      </c>
      <c r="ID123" t="e">
        <f>AND(tecantrop!H167,"AAAAAH7fP+0=")</f>
        <v>#VALUE!</v>
      </c>
      <c r="IE123" t="e">
        <f>AND(tecantrop!I167,"AAAAAH7fP+4=")</f>
        <v>#VALUE!</v>
      </c>
      <c r="IF123" t="e">
        <f>AND(tecantrop!J167,"AAAAAH7fP+8=")</f>
        <v>#VALUE!</v>
      </c>
      <c r="IG123" t="e">
        <f>AND(tecantrop!K167,"AAAAAH7fP/A=")</f>
        <v>#VALUE!</v>
      </c>
      <c r="IH123" t="e">
        <f>AND(tecantrop!L167,"AAAAAH7fP/E=")</f>
        <v>#VALUE!</v>
      </c>
      <c r="II123" t="e">
        <f>AND(tecantrop!M167,"AAAAAH7fP/I=")</f>
        <v>#VALUE!</v>
      </c>
      <c r="IJ123" t="e">
        <f>AND(tecantrop!N167,"AAAAAH7fP/M=")</f>
        <v>#VALUE!</v>
      </c>
      <c r="IK123" t="e">
        <f>AND(tecantrop!O167,"AAAAAH7fP/Q=")</f>
        <v>#VALUE!</v>
      </c>
      <c r="IL123" t="e">
        <f>AND(tecantrop!P167,"AAAAAH7fP/U=")</f>
        <v>#VALUE!</v>
      </c>
      <c r="IM123" t="e">
        <f>AND(tecantrop!Q167,"AAAAAH7fP/Y=")</f>
        <v>#VALUE!</v>
      </c>
      <c r="IN123" t="e">
        <f>AND(tecantrop!R167,"AAAAAH7fP/c=")</f>
        <v>#VALUE!</v>
      </c>
      <c r="IO123" t="e">
        <f>AND(tecantrop!S167,"AAAAAH7fP/g=")</f>
        <v>#VALUE!</v>
      </c>
      <c r="IP123" t="e">
        <f>AND(tecantrop!T167,"AAAAAH7fP/k=")</f>
        <v>#VALUE!</v>
      </c>
      <c r="IQ123" t="e">
        <f>AND(tecantrop!U167,"AAAAAH7fP/o=")</f>
        <v>#VALUE!</v>
      </c>
      <c r="IR123" t="e">
        <f>AND(tecantrop!V167,"AAAAAH7fP/s=")</f>
        <v>#VALUE!</v>
      </c>
      <c r="IS123" t="e">
        <f>AND(tecantrop!W167,"AAAAAH7fP/w=")</f>
        <v>#VALUE!</v>
      </c>
      <c r="IT123" t="e">
        <f>AND(tecantrop!X167,"AAAAAH7fP/0=")</f>
        <v>#VALUE!</v>
      </c>
      <c r="IU123">
        <f>IF(tecantrop!168:168,"AAAAAH7fP/4=",0)</f>
        <v>0</v>
      </c>
      <c r="IV123" t="e">
        <f>AND(tecantrop!A168,"AAAAAH7fP/8=")</f>
        <v>#VALUE!</v>
      </c>
    </row>
    <row r="124" spans="1:256" x14ac:dyDescent="0.2">
      <c r="A124" t="e">
        <f>AND(tecantrop!B168,"AAAAAH133wA=")</f>
        <v>#VALUE!</v>
      </c>
      <c r="B124" t="e">
        <f>AND(tecantrop!C168,"AAAAAH133wE=")</f>
        <v>#VALUE!</v>
      </c>
      <c r="C124" t="e">
        <f>AND(tecantrop!D168,"AAAAAH133wI=")</f>
        <v>#VALUE!</v>
      </c>
      <c r="D124" t="e">
        <f>AND(tecantrop!E168,"AAAAAH133wM=")</f>
        <v>#VALUE!</v>
      </c>
      <c r="E124" t="e">
        <f>AND(tecantrop!F168,"AAAAAH133wQ=")</f>
        <v>#VALUE!</v>
      </c>
      <c r="F124" t="e">
        <f>AND(tecantrop!G168,"AAAAAH133wU=")</f>
        <v>#VALUE!</v>
      </c>
      <c r="G124" t="e">
        <f>AND(tecantrop!H168,"AAAAAH133wY=")</f>
        <v>#VALUE!</v>
      </c>
      <c r="H124" t="e">
        <f>AND(tecantrop!I168,"AAAAAH133wc=")</f>
        <v>#VALUE!</v>
      </c>
      <c r="I124" t="e">
        <f>AND(tecantrop!J168,"AAAAAH133wg=")</f>
        <v>#VALUE!</v>
      </c>
      <c r="J124" t="e">
        <f>AND(tecantrop!K168,"AAAAAH133wk=")</f>
        <v>#VALUE!</v>
      </c>
      <c r="K124" t="e">
        <f>AND(tecantrop!L168,"AAAAAH133wo=")</f>
        <v>#VALUE!</v>
      </c>
      <c r="L124" t="e">
        <f>AND(tecantrop!M168,"AAAAAH133ws=")</f>
        <v>#VALUE!</v>
      </c>
      <c r="M124" t="e">
        <f>AND(tecantrop!N168,"AAAAAH133ww=")</f>
        <v>#VALUE!</v>
      </c>
      <c r="N124" t="e">
        <f>AND(tecantrop!O168,"AAAAAH133w0=")</f>
        <v>#VALUE!</v>
      </c>
      <c r="O124" t="e">
        <f>AND(tecantrop!P168,"AAAAAH133w4=")</f>
        <v>#VALUE!</v>
      </c>
      <c r="P124" t="e">
        <f>AND(tecantrop!Q168,"AAAAAH133w8=")</f>
        <v>#VALUE!</v>
      </c>
      <c r="Q124" t="e">
        <f>AND(tecantrop!R168,"AAAAAH133xA=")</f>
        <v>#VALUE!</v>
      </c>
      <c r="R124" t="e">
        <f>AND(tecantrop!S168,"AAAAAH133xE=")</f>
        <v>#VALUE!</v>
      </c>
      <c r="S124" t="e">
        <f>AND(tecantrop!T168,"AAAAAH133xI=")</f>
        <v>#VALUE!</v>
      </c>
      <c r="T124" t="e">
        <f>AND(tecantrop!U168,"AAAAAH133xM=")</f>
        <v>#VALUE!</v>
      </c>
      <c r="U124" t="e">
        <f>AND(tecantrop!V168,"AAAAAH133xQ=")</f>
        <v>#VALUE!</v>
      </c>
      <c r="V124" t="e">
        <f>AND(tecantrop!W168,"AAAAAH133xU=")</f>
        <v>#VALUE!</v>
      </c>
      <c r="W124" t="e">
        <f>AND(tecantrop!X168,"AAAAAH133xY=")</f>
        <v>#VALUE!</v>
      </c>
      <c r="X124">
        <f>IF(tecantrop!169:169,"AAAAAH133xc=",0)</f>
        <v>0</v>
      </c>
      <c r="Y124" t="e">
        <f>AND(tecantrop!A169,"AAAAAH133xg=")</f>
        <v>#VALUE!</v>
      </c>
      <c r="Z124" t="e">
        <f>AND(tecantrop!B169,"AAAAAH133xk=")</f>
        <v>#VALUE!</v>
      </c>
      <c r="AA124" t="e">
        <f>AND(tecantrop!C169,"AAAAAH133xo=")</f>
        <v>#VALUE!</v>
      </c>
      <c r="AB124" t="e">
        <f>AND(tecantrop!D169,"AAAAAH133xs=")</f>
        <v>#VALUE!</v>
      </c>
      <c r="AC124" t="e">
        <f>AND(tecantrop!E169,"AAAAAH133xw=")</f>
        <v>#VALUE!</v>
      </c>
      <c r="AD124" t="e">
        <f>AND(tecantrop!F169,"AAAAAH133x0=")</f>
        <v>#VALUE!</v>
      </c>
      <c r="AE124" t="e">
        <f>AND(tecantrop!G169,"AAAAAH133x4=")</f>
        <v>#VALUE!</v>
      </c>
      <c r="AF124" t="e">
        <f>AND(tecantrop!H169,"AAAAAH133x8=")</f>
        <v>#VALUE!</v>
      </c>
      <c r="AG124" t="e">
        <f>AND(tecantrop!I169,"AAAAAH133yA=")</f>
        <v>#VALUE!</v>
      </c>
      <c r="AH124" t="e">
        <f>AND(tecantrop!J169,"AAAAAH133yE=")</f>
        <v>#VALUE!</v>
      </c>
      <c r="AI124" t="e">
        <f>AND(tecantrop!K169,"AAAAAH133yI=")</f>
        <v>#VALUE!</v>
      </c>
      <c r="AJ124" t="e">
        <f>AND(tecantrop!L169,"AAAAAH133yM=")</f>
        <v>#VALUE!</v>
      </c>
      <c r="AK124" t="e">
        <f>AND(tecantrop!M169,"AAAAAH133yQ=")</f>
        <v>#VALUE!</v>
      </c>
      <c r="AL124" t="e">
        <f>AND(tecantrop!N169,"AAAAAH133yU=")</f>
        <v>#VALUE!</v>
      </c>
      <c r="AM124" t="e">
        <f>AND(tecantrop!O169,"AAAAAH133yY=")</f>
        <v>#VALUE!</v>
      </c>
      <c r="AN124" t="e">
        <f>AND(tecantrop!P169,"AAAAAH133yc=")</f>
        <v>#VALUE!</v>
      </c>
      <c r="AO124" t="e">
        <f>AND(tecantrop!Q169,"AAAAAH133yg=")</f>
        <v>#VALUE!</v>
      </c>
      <c r="AP124" t="e">
        <f>AND(tecantrop!R169,"AAAAAH133yk=")</f>
        <v>#VALUE!</v>
      </c>
      <c r="AQ124" t="e">
        <f>AND(tecantrop!S169,"AAAAAH133yo=")</f>
        <v>#VALUE!</v>
      </c>
      <c r="AR124" t="e">
        <f>AND(tecantrop!T169,"AAAAAH133ys=")</f>
        <v>#VALUE!</v>
      </c>
      <c r="AS124" t="e">
        <f>AND(tecantrop!U169,"AAAAAH133yw=")</f>
        <v>#VALUE!</v>
      </c>
      <c r="AT124" t="e">
        <f>AND(tecantrop!V169,"AAAAAH133y0=")</f>
        <v>#VALUE!</v>
      </c>
      <c r="AU124" t="e">
        <f>AND(tecantrop!W169,"AAAAAH133y4=")</f>
        <v>#VALUE!</v>
      </c>
      <c r="AV124" t="e">
        <f>AND(tecantrop!X169,"AAAAAH133y8=")</f>
        <v>#VALUE!</v>
      </c>
      <c r="AW124">
        <f>IF(tecantrop!170:170,"AAAAAH133zA=",0)</f>
        <v>0</v>
      </c>
      <c r="AX124" t="e">
        <f>AND(tecantrop!A170,"AAAAAH133zE=")</f>
        <v>#VALUE!</v>
      </c>
      <c r="AY124" t="e">
        <f>AND(tecantrop!B170,"AAAAAH133zI=")</f>
        <v>#VALUE!</v>
      </c>
      <c r="AZ124" t="e">
        <f>AND(tecantrop!C170,"AAAAAH133zM=")</f>
        <v>#VALUE!</v>
      </c>
      <c r="BA124" t="e">
        <f>AND(tecantrop!D170,"AAAAAH133zQ=")</f>
        <v>#VALUE!</v>
      </c>
      <c r="BB124" t="e">
        <f>AND(tecantrop!E170,"AAAAAH133zU=")</f>
        <v>#VALUE!</v>
      </c>
      <c r="BC124" t="e">
        <f>AND(tecantrop!F170,"AAAAAH133zY=")</f>
        <v>#VALUE!</v>
      </c>
      <c r="BD124" t="e">
        <f>AND(tecantrop!G170,"AAAAAH133zc=")</f>
        <v>#VALUE!</v>
      </c>
      <c r="BE124" t="e">
        <f>AND(tecantrop!H170,"AAAAAH133zg=")</f>
        <v>#VALUE!</v>
      </c>
      <c r="BF124" t="e">
        <f>AND(tecantrop!I170,"AAAAAH133zk=")</f>
        <v>#VALUE!</v>
      </c>
      <c r="BG124" t="e">
        <f>AND(tecantrop!J170,"AAAAAH133zo=")</f>
        <v>#VALUE!</v>
      </c>
      <c r="BH124" t="e">
        <f>AND(tecantrop!K170,"AAAAAH133zs=")</f>
        <v>#VALUE!</v>
      </c>
      <c r="BI124" t="e">
        <f>AND(tecantrop!L170,"AAAAAH133zw=")</f>
        <v>#VALUE!</v>
      </c>
      <c r="BJ124" t="e">
        <f>AND(tecantrop!M170,"AAAAAH133z0=")</f>
        <v>#VALUE!</v>
      </c>
      <c r="BK124" t="e">
        <f>AND(tecantrop!N170,"AAAAAH133z4=")</f>
        <v>#VALUE!</v>
      </c>
      <c r="BL124" t="e">
        <f>AND(tecantrop!O170,"AAAAAH133z8=")</f>
        <v>#VALUE!</v>
      </c>
      <c r="BM124" t="e">
        <f>AND(tecantrop!P170,"AAAAAH1330A=")</f>
        <v>#VALUE!</v>
      </c>
      <c r="BN124" t="e">
        <f>AND(tecantrop!Q170,"AAAAAH1330E=")</f>
        <v>#VALUE!</v>
      </c>
      <c r="BO124" t="e">
        <f>AND(tecantrop!R170,"AAAAAH1330I=")</f>
        <v>#VALUE!</v>
      </c>
      <c r="BP124" t="e">
        <f>AND(tecantrop!S170,"AAAAAH1330M=")</f>
        <v>#VALUE!</v>
      </c>
      <c r="BQ124" t="e">
        <f>AND(tecantrop!T170,"AAAAAH1330Q=")</f>
        <v>#VALUE!</v>
      </c>
      <c r="BR124" t="e">
        <f>AND(tecantrop!U170,"AAAAAH1330U=")</f>
        <v>#VALUE!</v>
      </c>
      <c r="BS124" t="e">
        <f>AND(tecantrop!V170,"AAAAAH1330Y=")</f>
        <v>#VALUE!</v>
      </c>
      <c r="BT124" t="e">
        <f>AND(tecantrop!W170,"AAAAAH1330c=")</f>
        <v>#VALUE!</v>
      </c>
      <c r="BU124" t="e">
        <f>AND(tecantrop!X170,"AAAAAH1330g=")</f>
        <v>#VALUE!</v>
      </c>
      <c r="BV124">
        <f>IF(tecantrop!171:171,"AAAAAH1330k=",0)</f>
        <v>0</v>
      </c>
      <c r="BW124" t="e">
        <f>AND(tecantrop!A171,"AAAAAH1330o=")</f>
        <v>#VALUE!</v>
      </c>
      <c r="BX124" t="e">
        <f>AND(tecantrop!B171,"AAAAAH1330s=")</f>
        <v>#VALUE!</v>
      </c>
      <c r="BY124" t="e">
        <f>AND(tecantrop!C171,"AAAAAH1330w=")</f>
        <v>#VALUE!</v>
      </c>
      <c r="BZ124" t="e">
        <f>AND(tecantrop!D171,"AAAAAH13300=")</f>
        <v>#VALUE!</v>
      </c>
      <c r="CA124" t="e">
        <f>AND(tecantrop!E171,"AAAAAH13304=")</f>
        <v>#VALUE!</v>
      </c>
      <c r="CB124" t="e">
        <f>AND(tecantrop!F171,"AAAAAH13308=")</f>
        <v>#VALUE!</v>
      </c>
      <c r="CC124" t="e">
        <f>AND(tecantrop!G171,"AAAAAH1331A=")</f>
        <v>#VALUE!</v>
      </c>
      <c r="CD124" t="e">
        <f>AND(tecantrop!H171,"AAAAAH1331E=")</f>
        <v>#VALUE!</v>
      </c>
      <c r="CE124" t="e">
        <f>AND(tecantrop!I171,"AAAAAH1331I=")</f>
        <v>#VALUE!</v>
      </c>
      <c r="CF124" t="e">
        <f>AND(tecantrop!J171,"AAAAAH1331M=")</f>
        <v>#VALUE!</v>
      </c>
      <c r="CG124" t="e">
        <f>AND(tecantrop!K171,"AAAAAH1331Q=")</f>
        <v>#VALUE!</v>
      </c>
      <c r="CH124" t="e">
        <f>AND(tecantrop!L171,"AAAAAH1331U=")</f>
        <v>#VALUE!</v>
      </c>
      <c r="CI124" t="e">
        <f>AND(tecantrop!M171,"AAAAAH1331Y=")</f>
        <v>#VALUE!</v>
      </c>
      <c r="CJ124" t="e">
        <f>AND(tecantrop!N171,"AAAAAH1331c=")</f>
        <v>#VALUE!</v>
      </c>
      <c r="CK124" t="e">
        <f>AND(tecantrop!O171,"AAAAAH1331g=")</f>
        <v>#VALUE!</v>
      </c>
      <c r="CL124" t="e">
        <f>AND(tecantrop!P171,"AAAAAH1331k=")</f>
        <v>#VALUE!</v>
      </c>
      <c r="CM124" t="e">
        <f>AND(tecantrop!Q171,"AAAAAH1331o=")</f>
        <v>#VALUE!</v>
      </c>
      <c r="CN124" t="e">
        <f>AND(tecantrop!R171,"AAAAAH1331s=")</f>
        <v>#VALUE!</v>
      </c>
      <c r="CO124" t="e">
        <f>AND(tecantrop!S171,"AAAAAH1331w=")</f>
        <v>#VALUE!</v>
      </c>
      <c r="CP124" t="e">
        <f>AND(tecantrop!T171,"AAAAAH13310=")</f>
        <v>#VALUE!</v>
      </c>
      <c r="CQ124" t="e">
        <f>AND(tecantrop!U171,"AAAAAH13314=")</f>
        <v>#VALUE!</v>
      </c>
      <c r="CR124" t="e">
        <f>AND(tecantrop!V171,"AAAAAH13318=")</f>
        <v>#VALUE!</v>
      </c>
      <c r="CS124" t="e">
        <f>AND(tecantrop!W171,"AAAAAH1332A=")</f>
        <v>#VALUE!</v>
      </c>
      <c r="CT124" t="e">
        <f>AND(tecantrop!X171,"AAAAAH1332E=")</f>
        <v>#VALUE!</v>
      </c>
      <c r="CU124">
        <f>IF(tecantrop!172:172,"AAAAAH1332I=",0)</f>
        <v>0</v>
      </c>
      <c r="CV124" t="e">
        <f>AND(tecantrop!A172,"AAAAAH1332M=")</f>
        <v>#VALUE!</v>
      </c>
      <c r="CW124" t="e">
        <f>AND(tecantrop!B172,"AAAAAH1332Q=")</f>
        <v>#VALUE!</v>
      </c>
      <c r="CX124" t="e">
        <f>AND(tecantrop!C172,"AAAAAH1332U=")</f>
        <v>#VALUE!</v>
      </c>
      <c r="CY124" t="e">
        <f>AND(tecantrop!D172,"AAAAAH1332Y=")</f>
        <v>#VALUE!</v>
      </c>
      <c r="CZ124" t="e">
        <f>AND(tecantrop!E172,"AAAAAH1332c=")</f>
        <v>#VALUE!</v>
      </c>
      <c r="DA124" t="e">
        <f>AND(tecantrop!F172,"AAAAAH1332g=")</f>
        <v>#VALUE!</v>
      </c>
      <c r="DB124" t="e">
        <f>AND(tecantrop!G172,"AAAAAH1332k=")</f>
        <v>#VALUE!</v>
      </c>
      <c r="DC124" t="e">
        <f>AND(tecantrop!H172,"AAAAAH1332o=")</f>
        <v>#VALUE!</v>
      </c>
      <c r="DD124" t="e">
        <f>AND(tecantrop!I172,"AAAAAH1332s=")</f>
        <v>#VALUE!</v>
      </c>
      <c r="DE124" t="e">
        <f>AND(tecantrop!J172,"AAAAAH1332w=")</f>
        <v>#VALUE!</v>
      </c>
      <c r="DF124" t="e">
        <f>AND(tecantrop!K172,"AAAAAH13320=")</f>
        <v>#VALUE!</v>
      </c>
      <c r="DG124" t="e">
        <f>AND(tecantrop!L172,"AAAAAH13324=")</f>
        <v>#VALUE!</v>
      </c>
      <c r="DH124" t="e">
        <f>AND(tecantrop!M172,"AAAAAH13328=")</f>
        <v>#VALUE!</v>
      </c>
      <c r="DI124" t="e">
        <f>AND(tecantrop!N172,"AAAAAH1333A=")</f>
        <v>#VALUE!</v>
      </c>
      <c r="DJ124" t="e">
        <f>AND(tecantrop!O172,"AAAAAH1333E=")</f>
        <v>#VALUE!</v>
      </c>
      <c r="DK124" t="e">
        <f>AND(tecantrop!P172,"AAAAAH1333I=")</f>
        <v>#VALUE!</v>
      </c>
      <c r="DL124" t="e">
        <f>AND(tecantrop!Q172,"AAAAAH1333M=")</f>
        <v>#VALUE!</v>
      </c>
      <c r="DM124" t="e">
        <f>AND(tecantrop!R172,"AAAAAH1333Q=")</f>
        <v>#VALUE!</v>
      </c>
      <c r="DN124" t="e">
        <f>AND(tecantrop!S172,"AAAAAH1333U=")</f>
        <v>#VALUE!</v>
      </c>
      <c r="DO124" t="e">
        <f>AND(tecantrop!T172,"AAAAAH1333Y=")</f>
        <v>#VALUE!</v>
      </c>
      <c r="DP124" t="e">
        <f>AND(tecantrop!U172,"AAAAAH1333c=")</f>
        <v>#VALUE!</v>
      </c>
      <c r="DQ124" t="e">
        <f>AND(tecantrop!V172,"AAAAAH1333g=")</f>
        <v>#VALUE!</v>
      </c>
      <c r="DR124" t="e">
        <f>AND(tecantrop!W172,"AAAAAH1333k=")</f>
        <v>#VALUE!</v>
      </c>
      <c r="DS124" t="e">
        <f>AND(tecantrop!X172,"AAAAAH1333o=")</f>
        <v>#VALUE!</v>
      </c>
      <c r="DT124">
        <f>IF(tecantrop!173:173,"AAAAAH1333s=",0)</f>
        <v>0</v>
      </c>
      <c r="DU124" t="e">
        <f>AND(tecantrop!A173,"AAAAAH1333w=")</f>
        <v>#VALUE!</v>
      </c>
      <c r="DV124" t="e">
        <f>AND(tecantrop!B173,"AAAAAH13330=")</f>
        <v>#VALUE!</v>
      </c>
      <c r="DW124" t="e">
        <f>AND(tecantrop!C173,"AAAAAH13334=")</f>
        <v>#VALUE!</v>
      </c>
      <c r="DX124" t="e">
        <f>AND(tecantrop!D173,"AAAAAH13338=")</f>
        <v>#VALUE!</v>
      </c>
      <c r="DY124" t="e">
        <f>AND(tecantrop!E173,"AAAAAH1334A=")</f>
        <v>#VALUE!</v>
      </c>
      <c r="DZ124" t="e">
        <f>AND(tecantrop!F173,"AAAAAH1334E=")</f>
        <v>#VALUE!</v>
      </c>
      <c r="EA124" t="e">
        <f>AND(tecantrop!G173,"AAAAAH1334I=")</f>
        <v>#VALUE!</v>
      </c>
      <c r="EB124" t="e">
        <f>AND(tecantrop!H173,"AAAAAH1334M=")</f>
        <v>#VALUE!</v>
      </c>
      <c r="EC124" t="e">
        <f>AND(tecantrop!I173,"AAAAAH1334Q=")</f>
        <v>#VALUE!</v>
      </c>
      <c r="ED124" t="e">
        <f>AND(tecantrop!J173,"AAAAAH1334U=")</f>
        <v>#VALUE!</v>
      </c>
      <c r="EE124" t="e">
        <f>AND(tecantrop!K173,"AAAAAH1334Y=")</f>
        <v>#VALUE!</v>
      </c>
      <c r="EF124" t="e">
        <f>AND(tecantrop!L173,"AAAAAH1334c=")</f>
        <v>#VALUE!</v>
      </c>
      <c r="EG124" t="e">
        <f>AND(tecantrop!M173,"AAAAAH1334g=")</f>
        <v>#VALUE!</v>
      </c>
      <c r="EH124" t="e">
        <f>AND(tecantrop!N173,"AAAAAH1334k=")</f>
        <v>#VALUE!</v>
      </c>
      <c r="EI124" t="e">
        <f>AND(tecantrop!O173,"AAAAAH1334o=")</f>
        <v>#VALUE!</v>
      </c>
      <c r="EJ124" t="e">
        <f>AND(tecantrop!P173,"AAAAAH1334s=")</f>
        <v>#VALUE!</v>
      </c>
      <c r="EK124" t="e">
        <f>AND(tecantrop!Q173,"AAAAAH1334w=")</f>
        <v>#VALUE!</v>
      </c>
      <c r="EL124" t="e">
        <f>AND(tecantrop!R173,"AAAAAH13340=")</f>
        <v>#VALUE!</v>
      </c>
      <c r="EM124" t="e">
        <f>AND(tecantrop!S173,"AAAAAH13344=")</f>
        <v>#VALUE!</v>
      </c>
      <c r="EN124" t="e">
        <f>AND(tecantrop!T173,"AAAAAH13348=")</f>
        <v>#VALUE!</v>
      </c>
      <c r="EO124" t="e">
        <f>AND(tecantrop!U173,"AAAAAH1335A=")</f>
        <v>#VALUE!</v>
      </c>
      <c r="EP124" t="e">
        <f>AND(tecantrop!V173,"AAAAAH1335E=")</f>
        <v>#VALUE!</v>
      </c>
      <c r="EQ124" t="e">
        <f>AND(tecantrop!W173,"AAAAAH1335I=")</f>
        <v>#VALUE!</v>
      </c>
      <c r="ER124" t="e">
        <f>AND(tecantrop!X173,"AAAAAH1335M=")</f>
        <v>#VALUE!</v>
      </c>
      <c r="ES124">
        <f>IF(tecantrop!174:174,"AAAAAH1335Q=",0)</f>
        <v>0</v>
      </c>
      <c r="ET124" t="e">
        <f>AND(tecantrop!A174,"AAAAAH1335U=")</f>
        <v>#VALUE!</v>
      </c>
      <c r="EU124" t="e">
        <f>AND(tecantrop!B174,"AAAAAH1335Y=")</f>
        <v>#VALUE!</v>
      </c>
      <c r="EV124" t="e">
        <f>AND(tecantrop!C174,"AAAAAH1335c=")</f>
        <v>#VALUE!</v>
      </c>
      <c r="EW124" t="e">
        <f>AND(tecantrop!D174,"AAAAAH1335g=")</f>
        <v>#VALUE!</v>
      </c>
      <c r="EX124" t="e">
        <f>AND(tecantrop!E174,"AAAAAH1335k=")</f>
        <v>#VALUE!</v>
      </c>
      <c r="EY124" t="e">
        <f>AND(tecantrop!F174,"AAAAAH1335o=")</f>
        <v>#VALUE!</v>
      </c>
      <c r="EZ124" t="e">
        <f>AND(tecantrop!G174,"AAAAAH1335s=")</f>
        <v>#VALUE!</v>
      </c>
      <c r="FA124" t="e">
        <f>AND(tecantrop!H174,"AAAAAH1335w=")</f>
        <v>#VALUE!</v>
      </c>
      <c r="FB124" t="e">
        <f>AND(tecantrop!I174,"AAAAAH13350=")</f>
        <v>#VALUE!</v>
      </c>
      <c r="FC124" t="e">
        <f>AND(tecantrop!J174,"AAAAAH13354=")</f>
        <v>#VALUE!</v>
      </c>
      <c r="FD124" t="e">
        <f>AND(tecantrop!K174,"AAAAAH13358=")</f>
        <v>#VALUE!</v>
      </c>
      <c r="FE124" t="e">
        <f>AND(tecantrop!L174,"AAAAAH1336A=")</f>
        <v>#VALUE!</v>
      </c>
      <c r="FF124" t="e">
        <f>AND(tecantrop!M174,"AAAAAH1336E=")</f>
        <v>#VALUE!</v>
      </c>
      <c r="FG124" t="e">
        <f>AND(tecantrop!N174,"AAAAAH1336I=")</f>
        <v>#VALUE!</v>
      </c>
      <c r="FH124" t="e">
        <f>AND(tecantrop!O174,"AAAAAH1336M=")</f>
        <v>#VALUE!</v>
      </c>
      <c r="FI124" t="e">
        <f>AND(tecantrop!P174,"AAAAAH1336Q=")</f>
        <v>#VALUE!</v>
      </c>
      <c r="FJ124" t="e">
        <f>AND(tecantrop!Q174,"AAAAAH1336U=")</f>
        <v>#VALUE!</v>
      </c>
      <c r="FK124" t="e">
        <f>AND(tecantrop!R174,"AAAAAH1336Y=")</f>
        <v>#VALUE!</v>
      </c>
      <c r="FL124" t="e">
        <f>AND(tecantrop!S174,"AAAAAH1336c=")</f>
        <v>#VALUE!</v>
      </c>
      <c r="FM124" t="e">
        <f>AND(tecantrop!T174,"AAAAAH1336g=")</f>
        <v>#VALUE!</v>
      </c>
      <c r="FN124" t="e">
        <f>AND(tecantrop!U174,"AAAAAH1336k=")</f>
        <v>#VALUE!</v>
      </c>
      <c r="FO124" t="e">
        <f>AND(tecantrop!V174,"AAAAAH1336o=")</f>
        <v>#VALUE!</v>
      </c>
      <c r="FP124" t="e">
        <f>AND(tecantrop!W174,"AAAAAH1336s=")</f>
        <v>#VALUE!</v>
      </c>
      <c r="FQ124" t="e">
        <f>AND(tecantrop!X174,"AAAAAH1336w=")</f>
        <v>#VALUE!</v>
      </c>
      <c r="FR124">
        <f>IF(tecantrop!175:175,"AAAAAH13360=",0)</f>
        <v>0</v>
      </c>
      <c r="FS124" t="e">
        <f>AND(tecantrop!A175,"AAAAAH13364=")</f>
        <v>#VALUE!</v>
      </c>
      <c r="FT124" t="e">
        <f>AND(tecantrop!B175,"AAAAAH13368=")</f>
        <v>#VALUE!</v>
      </c>
      <c r="FU124" t="e">
        <f>AND(tecantrop!C175,"AAAAAH1337A=")</f>
        <v>#VALUE!</v>
      </c>
      <c r="FV124" t="e">
        <f>AND(tecantrop!D175,"AAAAAH1337E=")</f>
        <v>#VALUE!</v>
      </c>
      <c r="FW124" t="e">
        <f>AND(tecantrop!E175,"AAAAAH1337I=")</f>
        <v>#VALUE!</v>
      </c>
      <c r="FX124" t="e">
        <f>AND(tecantrop!F175,"AAAAAH1337M=")</f>
        <v>#VALUE!</v>
      </c>
      <c r="FY124" t="e">
        <f>AND(tecantrop!G175,"AAAAAH1337Q=")</f>
        <v>#VALUE!</v>
      </c>
      <c r="FZ124" t="e">
        <f>AND(tecantrop!H175,"AAAAAH1337U=")</f>
        <v>#VALUE!</v>
      </c>
      <c r="GA124" t="e">
        <f>AND(tecantrop!I175,"AAAAAH1337Y=")</f>
        <v>#VALUE!</v>
      </c>
      <c r="GB124" t="e">
        <f>AND(tecantrop!J175,"AAAAAH1337c=")</f>
        <v>#VALUE!</v>
      </c>
      <c r="GC124" t="e">
        <f>AND(tecantrop!K175,"AAAAAH1337g=")</f>
        <v>#VALUE!</v>
      </c>
      <c r="GD124" t="e">
        <f>AND(tecantrop!L175,"AAAAAH1337k=")</f>
        <v>#VALUE!</v>
      </c>
      <c r="GE124" t="e">
        <f>AND(tecantrop!M175,"AAAAAH1337o=")</f>
        <v>#VALUE!</v>
      </c>
      <c r="GF124" t="e">
        <f>AND(tecantrop!N175,"AAAAAH1337s=")</f>
        <v>#VALUE!</v>
      </c>
      <c r="GG124" t="e">
        <f>AND(tecantrop!O175,"AAAAAH1337w=")</f>
        <v>#VALUE!</v>
      </c>
      <c r="GH124" t="e">
        <f>AND(tecantrop!P175,"AAAAAH13370=")</f>
        <v>#VALUE!</v>
      </c>
      <c r="GI124" t="e">
        <f>AND(tecantrop!Q175,"AAAAAH13374=")</f>
        <v>#VALUE!</v>
      </c>
      <c r="GJ124" t="e">
        <f>AND(tecantrop!R175,"AAAAAH13378=")</f>
        <v>#VALUE!</v>
      </c>
      <c r="GK124" t="e">
        <f>AND(tecantrop!S175,"AAAAAH1338A=")</f>
        <v>#VALUE!</v>
      </c>
      <c r="GL124" t="e">
        <f>AND(tecantrop!T175,"AAAAAH1338E=")</f>
        <v>#VALUE!</v>
      </c>
      <c r="GM124" t="e">
        <f>AND(tecantrop!U175,"AAAAAH1338I=")</f>
        <v>#VALUE!</v>
      </c>
      <c r="GN124" t="e">
        <f>AND(tecantrop!V175,"AAAAAH1338M=")</f>
        <v>#VALUE!</v>
      </c>
      <c r="GO124" t="e">
        <f>AND(tecantrop!W175,"AAAAAH1338Q=")</f>
        <v>#VALUE!</v>
      </c>
      <c r="GP124" t="e">
        <f>AND(tecantrop!X175,"AAAAAH1338U=")</f>
        <v>#VALUE!</v>
      </c>
      <c r="GQ124">
        <f>IF(tecantrop!176:176,"AAAAAH1338Y=",0)</f>
        <v>0</v>
      </c>
      <c r="GR124" t="e">
        <f>AND(tecantrop!A176,"AAAAAH1338c=")</f>
        <v>#VALUE!</v>
      </c>
      <c r="GS124" t="e">
        <f>AND(tecantrop!B176,"AAAAAH1338g=")</f>
        <v>#VALUE!</v>
      </c>
      <c r="GT124" t="e">
        <f>AND(tecantrop!C176,"AAAAAH1338k=")</f>
        <v>#VALUE!</v>
      </c>
      <c r="GU124" t="e">
        <f>AND(tecantrop!D176,"AAAAAH1338o=")</f>
        <v>#VALUE!</v>
      </c>
      <c r="GV124" t="e">
        <f>AND(tecantrop!E176,"AAAAAH1338s=")</f>
        <v>#VALUE!</v>
      </c>
      <c r="GW124" t="e">
        <f>AND(tecantrop!F176,"AAAAAH1338w=")</f>
        <v>#VALUE!</v>
      </c>
      <c r="GX124" t="e">
        <f>AND(tecantrop!G176,"AAAAAH13380=")</f>
        <v>#VALUE!</v>
      </c>
      <c r="GY124" t="e">
        <f>AND(tecantrop!H176,"AAAAAH13384=")</f>
        <v>#VALUE!</v>
      </c>
      <c r="GZ124" t="e">
        <f>AND(tecantrop!I176,"AAAAAH13388=")</f>
        <v>#VALUE!</v>
      </c>
      <c r="HA124" t="e">
        <f>AND(tecantrop!J176,"AAAAAH1339A=")</f>
        <v>#VALUE!</v>
      </c>
      <c r="HB124" t="e">
        <f>AND(tecantrop!K176,"AAAAAH1339E=")</f>
        <v>#VALUE!</v>
      </c>
      <c r="HC124" t="e">
        <f>AND(tecantrop!L176,"AAAAAH1339I=")</f>
        <v>#VALUE!</v>
      </c>
      <c r="HD124" t="e">
        <f>AND(tecantrop!M176,"AAAAAH1339M=")</f>
        <v>#VALUE!</v>
      </c>
      <c r="HE124" t="e">
        <f>AND(tecantrop!N176,"AAAAAH1339Q=")</f>
        <v>#VALUE!</v>
      </c>
      <c r="HF124" t="e">
        <f>AND(tecantrop!O176,"AAAAAH1339U=")</f>
        <v>#VALUE!</v>
      </c>
      <c r="HG124" t="e">
        <f>AND(tecantrop!P176,"AAAAAH1339Y=")</f>
        <v>#VALUE!</v>
      </c>
      <c r="HH124" t="e">
        <f>AND(tecantrop!Q176,"AAAAAH1339c=")</f>
        <v>#VALUE!</v>
      </c>
      <c r="HI124" t="e">
        <f>AND(tecantrop!R176,"AAAAAH1339g=")</f>
        <v>#VALUE!</v>
      </c>
      <c r="HJ124" t="e">
        <f>AND(tecantrop!S176,"AAAAAH1339k=")</f>
        <v>#VALUE!</v>
      </c>
      <c r="HK124" t="e">
        <f>AND(tecantrop!T176,"AAAAAH1339o=")</f>
        <v>#VALUE!</v>
      </c>
      <c r="HL124" t="e">
        <f>AND(tecantrop!U176,"AAAAAH1339s=")</f>
        <v>#VALUE!</v>
      </c>
      <c r="HM124" t="e">
        <f>AND(tecantrop!V176,"AAAAAH1339w=")</f>
        <v>#VALUE!</v>
      </c>
      <c r="HN124" t="e">
        <f>AND(tecantrop!W176,"AAAAAH13390=")</f>
        <v>#VALUE!</v>
      </c>
      <c r="HO124" t="e">
        <f>AND(tecantrop!X176,"AAAAAH13394=")</f>
        <v>#VALUE!</v>
      </c>
      <c r="HP124">
        <f>IF(tecantrop!177:177,"AAAAAH13398=",0)</f>
        <v>0</v>
      </c>
      <c r="HQ124" t="e">
        <f>AND(tecantrop!A177,"AAAAAH133+A=")</f>
        <v>#VALUE!</v>
      </c>
      <c r="HR124" t="e">
        <f>AND(tecantrop!B177,"AAAAAH133+E=")</f>
        <v>#VALUE!</v>
      </c>
      <c r="HS124" t="e">
        <f>AND(tecantrop!C177,"AAAAAH133+I=")</f>
        <v>#VALUE!</v>
      </c>
      <c r="HT124" t="e">
        <f>AND(tecantrop!D177,"AAAAAH133+M=")</f>
        <v>#VALUE!</v>
      </c>
      <c r="HU124" t="e">
        <f>AND(tecantrop!E177,"AAAAAH133+Q=")</f>
        <v>#VALUE!</v>
      </c>
      <c r="HV124" t="e">
        <f>AND(tecantrop!F177,"AAAAAH133+U=")</f>
        <v>#VALUE!</v>
      </c>
      <c r="HW124" t="e">
        <f>AND(tecantrop!G177,"AAAAAH133+Y=")</f>
        <v>#VALUE!</v>
      </c>
      <c r="HX124" t="e">
        <f>AND(tecantrop!H177,"AAAAAH133+c=")</f>
        <v>#VALUE!</v>
      </c>
      <c r="HY124" t="e">
        <f>AND(tecantrop!I177,"AAAAAH133+g=")</f>
        <v>#VALUE!</v>
      </c>
      <c r="HZ124" t="e">
        <f>AND(tecantrop!J177,"AAAAAH133+k=")</f>
        <v>#VALUE!</v>
      </c>
      <c r="IA124" t="e">
        <f>AND(tecantrop!K177,"AAAAAH133+o=")</f>
        <v>#VALUE!</v>
      </c>
      <c r="IB124" t="e">
        <f>AND(tecantrop!L177,"AAAAAH133+s=")</f>
        <v>#VALUE!</v>
      </c>
      <c r="IC124" t="e">
        <f>AND(tecantrop!M177,"AAAAAH133+w=")</f>
        <v>#VALUE!</v>
      </c>
      <c r="ID124" t="e">
        <f>AND(tecantrop!N177,"AAAAAH133+0=")</f>
        <v>#VALUE!</v>
      </c>
      <c r="IE124" t="e">
        <f>AND(tecantrop!O177,"AAAAAH133+4=")</f>
        <v>#VALUE!</v>
      </c>
      <c r="IF124" t="e">
        <f>AND(tecantrop!P177,"AAAAAH133+8=")</f>
        <v>#VALUE!</v>
      </c>
      <c r="IG124" t="e">
        <f>AND(tecantrop!Q177,"AAAAAH133/A=")</f>
        <v>#VALUE!</v>
      </c>
      <c r="IH124" t="e">
        <f>AND(tecantrop!R177,"AAAAAH133/E=")</f>
        <v>#VALUE!</v>
      </c>
      <c r="II124" t="e">
        <f>AND(tecantrop!S177,"AAAAAH133/I=")</f>
        <v>#VALUE!</v>
      </c>
      <c r="IJ124" t="e">
        <f>AND(tecantrop!T177,"AAAAAH133/M=")</f>
        <v>#VALUE!</v>
      </c>
      <c r="IK124" t="e">
        <f>AND(tecantrop!U177,"AAAAAH133/Q=")</f>
        <v>#VALUE!</v>
      </c>
      <c r="IL124" t="e">
        <f>AND(tecantrop!V177,"AAAAAH133/U=")</f>
        <v>#VALUE!</v>
      </c>
      <c r="IM124" t="e">
        <f>AND(tecantrop!W177,"AAAAAH133/Y=")</f>
        <v>#VALUE!</v>
      </c>
      <c r="IN124" t="e">
        <f>AND(tecantrop!X177,"AAAAAH133/c=")</f>
        <v>#VALUE!</v>
      </c>
      <c r="IO124">
        <f>IF(tecantrop!178:178,"AAAAAH133/g=",0)</f>
        <v>0</v>
      </c>
      <c r="IP124" t="e">
        <f>AND(tecantrop!A178,"AAAAAH133/k=")</f>
        <v>#VALUE!</v>
      </c>
      <c r="IQ124" t="e">
        <f>AND(tecantrop!B178,"AAAAAH133/o=")</f>
        <v>#VALUE!</v>
      </c>
      <c r="IR124" t="e">
        <f>AND(tecantrop!C178,"AAAAAH133/s=")</f>
        <v>#VALUE!</v>
      </c>
      <c r="IS124" t="e">
        <f>AND(tecantrop!D178,"AAAAAH133/w=")</f>
        <v>#VALUE!</v>
      </c>
      <c r="IT124" t="e">
        <f>AND(tecantrop!E178,"AAAAAH133/0=")</f>
        <v>#VALUE!</v>
      </c>
      <c r="IU124" t="e">
        <f>AND(tecantrop!F178,"AAAAAH133/4=")</f>
        <v>#VALUE!</v>
      </c>
      <c r="IV124" t="e">
        <f>AND(tecantrop!G178,"AAAAAH133/8=")</f>
        <v>#VALUE!</v>
      </c>
    </row>
    <row r="125" spans="1:256" x14ac:dyDescent="0.2">
      <c r="A125" t="e">
        <f>AND(tecantrop!H178,"AAAAAG76/gA=")</f>
        <v>#VALUE!</v>
      </c>
      <c r="B125" t="e">
        <f>AND(tecantrop!I178,"AAAAAG76/gE=")</f>
        <v>#VALUE!</v>
      </c>
      <c r="C125" t="e">
        <f>AND(tecantrop!J178,"AAAAAG76/gI=")</f>
        <v>#VALUE!</v>
      </c>
      <c r="D125" t="e">
        <f>AND(tecantrop!K178,"AAAAAG76/gM=")</f>
        <v>#VALUE!</v>
      </c>
      <c r="E125" t="e">
        <f>AND(tecantrop!L178,"AAAAAG76/gQ=")</f>
        <v>#VALUE!</v>
      </c>
      <c r="F125" t="e">
        <f>AND(tecantrop!M178,"AAAAAG76/gU=")</f>
        <v>#VALUE!</v>
      </c>
      <c r="G125" t="e">
        <f>AND(tecantrop!N178,"AAAAAG76/gY=")</f>
        <v>#VALUE!</v>
      </c>
      <c r="H125" t="e">
        <f>AND(tecantrop!O178,"AAAAAG76/gc=")</f>
        <v>#VALUE!</v>
      </c>
      <c r="I125" t="e">
        <f>AND(tecantrop!P178,"AAAAAG76/gg=")</f>
        <v>#VALUE!</v>
      </c>
      <c r="J125" t="e">
        <f>AND(tecantrop!Q178,"AAAAAG76/gk=")</f>
        <v>#VALUE!</v>
      </c>
      <c r="K125" t="e">
        <f>AND(tecantrop!R178,"AAAAAG76/go=")</f>
        <v>#VALUE!</v>
      </c>
      <c r="L125" t="e">
        <f>AND(tecantrop!S178,"AAAAAG76/gs=")</f>
        <v>#VALUE!</v>
      </c>
      <c r="M125" t="e">
        <f>AND(tecantrop!T178,"AAAAAG76/gw=")</f>
        <v>#VALUE!</v>
      </c>
      <c r="N125" t="e">
        <f>AND(tecantrop!U178,"AAAAAG76/g0=")</f>
        <v>#VALUE!</v>
      </c>
      <c r="O125" t="e">
        <f>AND(tecantrop!V178,"AAAAAG76/g4=")</f>
        <v>#VALUE!</v>
      </c>
      <c r="P125" t="e">
        <f>AND(tecantrop!W178,"AAAAAG76/g8=")</f>
        <v>#VALUE!</v>
      </c>
      <c r="Q125" t="e">
        <f>AND(tecantrop!X178,"AAAAAG76/hA=")</f>
        <v>#VALUE!</v>
      </c>
      <c r="R125">
        <f>IF(tecantrop!179:179,"AAAAAG76/hE=",0)</f>
        <v>0</v>
      </c>
      <c r="S125" t="e">
        <f>AND(tecantrop!A179,"AAAAAG76/hI=")</f>
        <v>#VALUE!</v>
      </c>
      <c r="T125" t="e">
        <f>AND(tecantrop!B179,"AAAAAG76/hM=")</f>
        <v>#VALUE!</v>
      </c>
      <c r="U125" t="e">
        <f>AND(tecantrop!C179,"AAAAAG76/hQ=")</f>
        <v>#VALUE!</v>
      </c>
      <c r="V125" t="e">
        <f>AND(tecantrop!D179,"AAAAAG76/hU=")</f>
        <v>#VALUE!</v>
      </c>
      <c r="W125" t="e">
        <f>AND(tecantrop!E179,"AAAAAG76/hY=")</f>
        <v>#VALUE!</v>
      </c>
      <c r="X125" t="e">
        <f>AND(tecantrop!F179,"AAAAAG76/hc=")</f>
        <v>#VALUE!</v>
      </c>
      <c r="Y125" t="e">
        <f>AND(tecantrop!G179,"AAAAAG76/hg=")</f>
        <v>#VALUE!</v>
      </c>
      <c r="Z125" t="e">
        <f>AND(tecantrop!H179,"AAAAAG76/hk=")</f>
        <v>#VALUE!</v>
      </c>
      <c r="AA125" t="e">
        <f>AND(tecantrop!I179,"AAAAAG76/ho=")</f>
        <v>#VALUE!</v>
      </c>
      <c r="AB125" t="e">
        <f>AND(tecantrop!J179,"AAAAAG76/hs=")</f>
        <v>#VALUE!</v>
      </c>
      <c r="AC125" t="e">
        <f>AND(tecantrop!K179,"AAAAAG76/hw=")</f>
        <v>#VALUE!</v>
      </c>
      <c r="AD125" t="e">
        <f>AND(tecantrop!L179,"AAAAAG76/h0=")</f>
        <v>#VALUE!</v>
      </c>
      <c r="AE125" t="e">
        <f>AND(tecantrop!M179,"AAAAAG76/h4=")</f>
        <v>#VALUE!</v>
      </c>
      <c r="AF125" t="e">
        <f>AND(tecantrop!N179,"AAAAAG76/h8=")</f>
        <v>#VALUE!</v>
      </c>
      <c r="AG125" t="e">
        <f>AND(tecantrop!O179,"AAAAAG76/iA=")</f>
        <v>#VALUE!</v>
      </c>
      <c r="AH125" t="e">
        <f>AND(tecantrop!P179,"AAAAAG76/iE=")</f>
        <v>#VALUE!</v>
      </c>
      <c r="AI125" t="e">
        <f>AND(tecantrop!Q179,"AAAAAG76/iI=")</f>
        <v>#VALUE!</v>
      </c>
      <c r="AJ125" t="e">
        <f>AND(tecantrop!R179,"AAAAAG76/iM=")</f>
        <v>#VALUE!</v>
      </c>
      <c r="AK125" t="e">
        <f>AND(tecantrop!S179,"AAAAAG76/iQ=")</f>
        <v>#VALUE!</v>
      </c>
      <c r="AL125" t="e">
        <f>AND(tecantrop!T179,"AAAAAG76/iU=")</f>
        <v>#VALUE!</v>
      </c>
      <c r="AM125" t="e">
        <f>AND(tecantrop!U179,"AAAAAG76/iY=")</f>
        <v>#VALUE!</v>
      </c>
      <c r="AN125" t="e">
        <f>AND(tecantrop!V179,"AAAAAG76/ic=")</f>
        <v>#VALUE!</v>
      </c>
      <c r="AO125" t="e">
        <f>AND(tecantrop!W179,"AAAAAG76/ig=")</f>
        <v>#VALUE!</v>
      </c>
      <c r="AP125" t="e">
        <f>AND(tecantrop!X179,"AAAAAG76/ik=")</f>
        <v>#VALUE!</v>
      </c>
      <c r="AQ125">
        <f>IF(tecantrop!180:180,"AAAAAG76/io=",0)</f>
        <v>0</v>
      </c>
      <c r="AR125" t="e">
        <f>AND(tecantrop!A180,"AAAAAG76/is=")</f>
        <v>#VALUE!</v>
      </c>
      <c r="AS125" t="e">
        <f>AND(tecantrop!B180,"AAAAAG76/iw=")</f>
        <v>#VALUE!</v>
      </c>
      <c r="AT125" t="e">
        <f>AND(tecantrop!C180,"AAAAAG76/i0=")</f>
        <v>#VALUE!</v>
      </c>
      <c r="AU125" t="e">
        <f>AND(tecantrop!D180,"AAAAAG76/i4=")</f>
        <v>#VALUE!</v>
      </c>
      <c r="AV125" t="e">
        <f>AND(tecantrop!E180,"AAAAAG76/i8=")</f>
        <v>#VALUE!</v>
      </c>
      <c r="AW125" t="e">
        <f>AND(tecantrop!F180,"AAAAAG76/jA=")</f>
        <v>#VALUE!</v>
      </c>
      <c r="AX125" t="e">
        <f>AND(tecantrop!G180,"AAAAAG76/jE=")</f>
        <v>#VALUE!</v>
      </c>
      <c r="AY125" t="e">
        <f>AND(tecantrop!H180,"AAAAAG76/jI=")</f>
        <v>#VALUE!</v>
      </c>
      <c r="AZ125" t="e">
        <f>AND(tecantrop!I180,"AAAAAG76/jM=")</f>
        <v>#VALUE!</v>
      </c>
      <c r="BA125" t="e">
        <f>AND(tecantrop!J180,"AAAAAG76/jQ=")</f>
        <v>#VALUE!</v>
      </c>
      <c r="BB125" t="e">
        <f>AND(tecantrop!K180,"AAAAAG76/jU=")</f>
        <v>#VALUE!</v>
      </c>
      <c r="BC125" t="e">
        <f>AND(tecantrop!L180,"AAAAAG76/jY=")</f>
        <v>#VALUE!</v>
      </c>
      <c r="BD125" t="e">
        <f>AND(tecantrop!M180,"AAAAAG76/jc=")</f>
        <v>#VALUE!</v>
      </c>
      <c r="BE125" t="e">
        <f>AND(tecantrop!N180,"AAAAAG76/jg=")</f>
        <v>#VALUE!</v>
      </c>
      <c r="BF125" t="e">
        <f>AND(tecantrop!O180,"AAAAAG76/jk=")</f>
        <v>#VALUE!</v>
      </c>
      <c r="BG125" t="e">
        <f>AND(tecantrop!P180,"AAAAAG76/jo=")</f>
        <v>#VALUE!</v>
      </c>
      <c r="BH125" t="e">
        <f>AND(tecantrop!Q180,"AAAAAG76/js=")</f>
        <v>#VALUE!</v>
      </c>
      <c r="BI125" t="e">
        <f>AND(tecantrop!R180,"AAAAAG76/jw=")</f>
        <v>#VALUE!</v>
      </c>
      <c r="BJ125" t="e">
        <f>AND(tecantrop!S180,"AAAAAG76/j0=")</f>
        <v>#VALUE!</v>
      </c>
      <c r="BK125" t="e">
        <f>AND(tecantrop!T180,"AAAAAG76/j4=")</f>
        <v>#VALUE!</v>
      </c>
      <c r="BL125" t="e">
        <f>AND(tecantrop!U180,"AAAAAG76/j8=")</f>
        <v>#VALUE!</v>
      </c>
      <c r="BM125" t="e">
        <f>AND(tecantrop!V180,"AAAAAG76/kA=")</f>
        <v>#VALUE!</v>
      </c>
      <c r="BN125" t="e">
        <f>AND(tecantrop!W180,"AAAAAG76/kE=")</f>
        <v>#VALUE!</v>
      </c>
      <c r="BO125" t="e">
        <f>AND(tecantrop!X180,"AAAAAG76/kI=")</f>
        <v>#VALUE!</v>
      </c>
      <c r="BP125">
        <f>IF(tecantrop!181:181,"AAAAAG76/kM=",0)</f>
        <v>0</v>
      </c>
      <c r="BQ125" t="e">
        <f>AND(tecantrop!A181,"AAAAAG76/kQ=")</f>
        <v>#VALUE!</v>
      </c>
      <c r="BR125" t="e">
        <f>AND(tecantrop!B181,"AAAAAG76/kU=")</f>
        <v>#VALUE!</v>
      </c>
      <c r="BS125" t="e">
        <f>AND(tecantrop!C181,"AAAAAG76/kY=")</f>
        <v>#VALUE!</v>
      </c>
      <c r="BT125" t="e">
        <f>AND(tecantrop!D181,"AAAAAG76/kc=")</f>
        <v>#VALUE!</v>
      </c>
      <c r="BU125" t="e">
        <f>AND(tecantrop!E181,"AAAAAG76/kg=")</f>
        <v>#VALUE!</v>
      </c>
      <c r="BV125" t="e">
        <f>AND(tecantrop!F181,"AAAAAG76/kk=")</f>
        <v>#VALUE!</v>
      </c>
      <c r="BW125" t="e">
        <f>AND(tecantrop!G181,"AAAAAG76/ko=")</f>
        <v>#VALUE!</v>
      </c>
      <c r="BX125" t="e">
        <f>AND(tecantrop!H181,"AAAAAG76/ks=")</f>
        <v>#VALUE!</v>
      </c>
      <c r="BY125" t="e">
        <f>AND(tecantrop!I181,"AAAAAG76/kw=")</f>
        <v>#VALUE!</v>
      </c>
      <c r="BZ125" t="e">
        <f>AND(tecantrop!J181,"AAAAAG76/k0=")</f>
        <v>#VALUE!</v>
      </c>
      <c r="CA125" t="e">
        <f>AND(tecantrop!K181,"AAAAAG76/k4=")</f>
        <v>#VALUE!</v>
      </c>
      <c r="CB125" t="e">
        <f>AND(tecantrop!L181,"AAAAAG76/k8=")</f>
        <v>#VALUE!</v>
      </c>
      <c r="CC125" t="e">
        <f>AND(tecantrop!M181,"AAAAAG76/lA=")</f>
        <v>#VALUE!</v>
      </c>
      <c r="CD125" t="e">
        <f>AND(tecantrop!N181,"AAAAAG76/lE=")</f>
        <v>#VALUE!</v>
      </c>
      <c r="CE125" t="e">
        <f>AND(tecantrop!O181,"AAAAAG76/lI=")</f>
        <v>#VALUE!</v>
      </c>
      <c r="CF125" t="e">
        <f>AND(tecantrop!P181,"AAAAAG76/lM=")</f>
        <v>#VALUE!</v>
      </c>
      <c r="CG125" t="e">
        <f>AND(tecantrop!Q181,"AAAAAG76/lQ=")</f>
        <v>#VALUE!</v>
      </c>
      <c r="CH125" t="e">
        <f>AND(tecantrop!R181,"AAAAAG76/lU=")</f>
        <v>#VALUE!</v>
      </c>
      <c r="CI125" t="e">
        <f>AND(tecantrop!S181,"AAAAAG76/lY=")</f>
        <v>#VALUE!</v>
      </c>
      <c r="CJ125" t="e">
        <f>AND(tecantrop!T181,"AAAAAG76/lc=")</f>
        <v>#VALUE!</v>
      </c>
      <c r="CK125" t="e">
        <f>AND(tecantrop!U181,"AAAAAG76/lg=")</f>
        <v>#VALUE!</v>
      </c>
      <c r="CL125" t="e">
        <f>AND(tecantrop!V181,"AAAAAG76/lk=")</f>
        <v>#VALUE!</v>
      </c>
      <c r="CM125" t="e">
        <f>AND(tecantrop!W181,"AAAAAG76/lo=")</f>
        <v>#VALUE!</v>
      </c>
      <c r="CN125" t="e">
        <f>AND(tecantrop!X181,"AAAAAG76/ls=")</f>
        <v>#VALUE!</v>
      </c>
      <c r="CO125">
        <f>IF(tecantrop!182:182,"AAAAAG76/lw=",0)</f>
        <v>0</v>
      </c>
      <c r="CP125" t="e">
        <f>AND(tecantrop!A182,"AAAAAG76/l0=")</f>
        <v>#VALUE!</v>
      </c>
      <c r="CQ125" t="e">
        <f>AND(tecantrop!B182,"AAAAAG76/l4=")</f>
        <v>#VALUE!</v>
      </c>
      <c r="CR125" t="e">
        <f>AND(tecantrop!C182,"AAAAAG76/l8=")</f>
        <v>#VALUE!</v>
      </c>
      <c r="CS125" t="e">
        <f>AND(tecantrop!D182,"AAAAAG76/mA=")</f>
        <v>#VALUE!</v>
      </c>
      <c r="CT125" t="e">
        <f>AND(tecantrop!E182,"AAAAAG76/mE=")</f>
        <v>#VALUE!</v>
      </c>
      <c r="CU125" t="e">
        <f>AND(tecantrop!F182,"AAAAAG76/mI=")</f>
        <v>#VALUE!</v>
      </c>
      <c r="CV125" t="e">
        <f>AND(tecantrop!G182,"AAAAAG76/mM=")</f>
        <v>#VALUE!</v>
      </c>
      <c r="CW125" t="e">
        <f>AND(tecantrop!H182,"AAAAAG76/mQ=")</f>
        <v>#VALUE!</v>
      </c>
      <c r="CX125" t="e">
        <f>AND(tecantrop!I182,"AAAAAG76/mU=")</f>
        <v>#VALUE!</v>
      </c>
      <c r="CY125" t="e">
        <f>AND(tecantrop!J182,"AAAAAG76/mY=")</f>
        <v>#VALUE!</v>
      </c>
      <c r="CZ125" t="e">
        <f>AND(tecantrop!K182,"AAAAAG76/mc=")</f>
        <v>#VALUE!</v>
      </c>
      <c r="DA125" t="e">
        <f>AND(tecantrop!L182,"AAAAAG76/mg=")</f>
        <v>#VALUE!</v>
      </c>
      <c r="DB125" t="e">
        <f>AND(tecantrop!M182,"AAAAAG76/mk=")</f>
        <v>#VALUE!</v>
      </c>
      <c r="DC125" t="e">
        <f>AND(tecantrop!N182,"AAAAAG76/mo=")</f>
        <v>#VALUE!</v>
      </c>
      <c r="DD125" t="e">
        <f>AND(tecantrop!O182,"AAAAAG76/ms=")</f>
        <v>#VALUE!</v>
      </c>
      <c r="DE125" t="e">
        <f>AND(tecantrop!P182,"AAAAAG76/mw=")</f>
        <v>#VALUE!</v>
      </c>
      <c r="DF125" t="e">
        <f>AND(tecantrop!Q182,"AAAAAG76/m0=")</f>
        <v>#VALUE!</v>
      </c>
      <c r="DG125" t="e">
        <f>AND(tecantrop!R182,"AAAAAG76/m4=")</f>
        <v>#VALUE!</v>
      </c>
      <c r="DH125" t="e">
        <f>AND(tecantrop!S182,"AAAAAG76/m8=")</f>
        <v>#VALUE!</v>
      </c>
      <c r="DI125" t="e">
        <f>AND(tecantrop!T182,"AAAAAG76/nA=")</f>
        <v>#VALUE!</v>
      </c>
      <c r="DJ125" t="e">
        <f>AND(tecantrop!U182,"AAAAAG76/nE=")</f>
        <v>#VALUE!</v>
      </c>
      <c r="DK125" t="e">
        <f>AND(tecantrop!V182,"AAAAAG76/nI=")</f>
        <v>#VALUE!</v>
      </c>
      <c r="DL125" t="e">
        <f>AND(tecantrop!W182,"AAAAAG76/nM=")</f>
        <v>#VALUE!</v>
      </c>
      <c r="DM125" t="e">
        <f>AND(tecantrop!X182,"AAAAAG76/nQ=")</f>
        <v>#VALUE!</v>
      </c>
      <c r="DN125">
        <f>IF(tecantrop!183:183,"AAAAAG76/nU=",0)</f>
        <v>0</v>
      </c>
      <c r="DO125" t="e">
        <f>AND(tecantrop!A183,"AAAAAG76/nY=")</f>
        <v>#VALUE!</v>
      </c>
      <c r="DP125" t="e">
        <f>AND(tecantrop!B183,"AAAAAG76/nc=")</f>
        <v>#VALUE!</v>
      </c>
      <c r="DQ125" t="e">
        <f>AND(tecantrop!C183,"AAAAAG76/ng=")</f>
        <v>#VALUE!</v>
      </c>
      <c r="DR125" t="e">
        <f>AND(tecantrop!D183,"AAAAAG76/nk=")</f>
        <v>#VALUE!</v>
      </c>
      <c r="DS125" t="e">
        <f>AND(tecantrop!E183,"AAAAAG76/no=")</f>
        <v>#VALUE!</v>
      </c>
      <c r="DT125" t="e">
        <f>AND(tecantrop!F183,"AAAAAG76/ns=")</f>
        <v>#VALUE!</v>
      </c>
      <c r="DU125" t="e">
        <f>AND(tecantrop!G183,"AAAAAG76/nw=")</f>
        <v>#VALUE!</v>
      </c>
      <c r="DV125" t="e">
        <f>AND(tecantrop!H183,"AAAAAG76/n0=")</f>
        <v>#VALUE!</v>
      </c>
      <c r="DW125" t="e">
        <f>AND(tecantrop!I183,"AAAAAG76/n4=")</f>
        <v>#VALUE!</v>
      </c>
      <c r="DX125" t="e">
        <f>AND(tecantrop!J183,"AAAAAG76/n8=")</f>
        <v>#VALUE!</v>
      </c>
      <c r="DY125" t="e">
        <f>AND(tecantrop!K183,"AAAAAG76/oA=")</f>
        <v>#VALUE!</v>
      </c>
      <c r="DZ125" t="e">
        <f>AND(tecantrop!L183,"AAAAAG76/oE=")</f>
        <v>#VALUE!</v>
      </c>
      <c r="EA125" t="e">
        <f>AND(tecantrop!M183,"AAAAAG76/oI=")</f>
        <v>#VALUE!</v>
      </c>
      <c r="EB125" t="e">
        <f>AND(tecantrop!N183,"AAAAAG76/oM=")</f>
        <v>#VALUE!</v>
      </c>
      <c r="EC125" t="e">
        <f>AND(tecantrop!O183,"AAAAAG76/oQ=")</f>
        <v>#VALUE!</v>
      </c>
      <c r="ED125" t="e">
        <f>AND(tecantrop!P183,"AAAAAG76/oU=")</f>
        <v>#VALUE!</v>
      </c>
      <c r="EE125" t="e">
        <f>AND(tecantrop!Q183,"AAAAAG76/oY=")</f>
        <v>#VALUE!</v>
      </c>
      <c r="EF125" t="e">
        <f>AND(tecantrop!R183,"AAAAAG76/oc=")</f>
        <v>#VALUE!</v>
      </c>
      <c r="EG125" t="e">
        <f>AND(tecantrop!S183,"AAAAAG76/og=")</f>
        <v>#VALUE!</v>
      </c>
      <c r="EH125" t="e">
        <f>AND(tecantrop!T183,"AAAAAG76/ok=")</f>
        <v>#VALUE!</v>
      </c>
      <c r="EI125" t="e">
        <f>AND(tecantrop!U183,"AAAAAG76/oo=")</f>
        <v>#VALUE!</v>
      </c>
      <c r="EJ125" t="e">
        <f>AND(tecantrop!V183,"AAAAAG76/os=")</f>
        <v>#VALUE!</v>
      </c>
      <c r="EK125" t="e">
        <f>AND(tecantrop!W183,"AAAAAG76/ow=")</f>
        <v>#VALUE!</v>
      </c>
      <c r="EL125" t="e">
        <f>AND(tecantrop!X183,"AAAAAG76/o0=")</f>
        <v>#VALUE!</v>
      </c>
      <c r="EM125">
        <f>IF(tecantrop!184:184,"AAAAAG76/o4=",0)</f>
        <v>0</v>
      </c>
      <c r="EN125" t="e">
        <f>AND(tecantrop!A184,"AAAAAG76/o8=")</f>
        <v>#VALUE!</v>
      </c>
      <c r="EO125" t="e">
        <f>AND(tecantrop!B184,"AAAAAG76/pA=")</f>
        <v>#VALUE!</v>
      </c>
      <c r="EP125" t="e">
        <f>AND(tecantrop!C184,"AAAAAG76/pE=")</f>
        <v>#VALUE!</v>
      </c>
      <c r="EQ125" t="e">
        <f>AND(tecantrop!D184,"AAAAAG76/pI=")</f>
        <v>#VALUE!</v>
      </c>
      <c r="ER125" t="e">
        <f>AND(tecantrop!E184,"AAAAAG76/pM=")</f>
        <v>#VALUE!</v>
      </c>
      <c r="ES125" t="e">
        <f>AND(tecantrop!F184,"AAAAAG76/pQ=")</f>
        <v>#VALUE!</v>
      </c>
      <c r="ET125" t="e">
        <f>AND(tecantrop!G184,"AAAAAG76/pU=")</f>
        <v>#VALUE!</v>
      </c>
      <c r="EU125" t="e">
        <f>AND(tecantrop!H184,"AAAAAG76/pY=")</f>
        <v>#VALUE!</v>
      </c>
      <c r="EV125" t="e">
        <f>AND(tecantrop!I184,"AAAAAG76/pc=")</f>
        <v>#VALUE!</v>
      </c>
      <c r="EW125" t="e">
        <f>AND(tecantrop!J184,"AAAAAG76/pg=")</f>
        <v>#VALUE!</v>
      </c>
      <c r="EX125" t="e">
        <f>AND(tecantrop!K184,"AAAAAG76/pk=")</f>
        <v>#VALUE!</v>
      </c>
      <c r="EY125" t="e">
        <f>AND(tecantrop!L184,"AAAAAG76/po=")</f>
        <v>#VALUE!</v>
      </c>
      <c r="EZ125" t="e">
        <f>AND(tecantrop!M184,"AAAAAG76/ps=")</f>
        <v>#VALUE!</v>
      </c>
      <c r="FA125" t="e">
        <f>AND(tecantrop!N184,"AAAAAG76/pw=")</f>
        <v>#VALUE!</v>
      </c>
      <c r="FB125" t="e">
        <f>AND(tecantrop!O184,"AAAAAG76/p0=")</f>
        <v>#VALUE!</v>
      </c>
      <c r="FC125" t="e">
        <f>AND(tecantrop!P184,"AAAAAG76/p4=")</f>
        <v>#VALUE!</v>
      </c>
      <c r="FD125" t="e">
        <f>AND(tecantrop!Q184,"AAAAAG76/p8=")</f>
        <v>#VALUE!</v>
      </c>
      <c r="FE125" t="e">
        <f>AND(tecantrop!R184,"AAAAAG76/qA=")</f>
        <v>#VALUE!</v>
      </c>
      <c r="FF125" t="e">
        <f>AND(tecantrop!S184,"AAAAAG76/qE=")</f>
        <v>#VALUE!</v>
      </c>
      <c r="FG125" t="e">
        <f>AND(tecantrop!T184,"AAAAAG76/qI=")</f>
        <v>#VALUE!</v>
      </c>
      <c r="FH125" t="e">
        <f>AND(tecantrop!U184,"AAAAAG76/qM=")</f>
        <v>#VALUE!</v>
      </c>
      <c r="FI125" t="e">
        <f>AND(tecantrop!V184,"AAAAAG76/qQ=")</f>
        <v>#VALUE!</v>
      </c>
      <c r="FJ125" t="e">
        <f>AND(tecantrop!W184,"AAAAAG76/qU=")</f>
        <v>#VALUE!</v>
      </c>
      <c r="FK125" t="e">
        <f>AND(tecantrop!X184,"AAAAAG76/qY=")</f>
        <v>#VALUE!</v>
      </c>
      <c r="FL125">
        <f>IF(tecantrop!185:185,"AAAAAG76/qc=",0)</f>
        <v>0</v>
      </c>
      <c r="FM125" t="e">
        <f>AND(tecantrop!A185,"AAAAAG76/qg=")</f>
        <v>#VALUE!</v>
      </c>
      <c r="FN125" t="e">
        <f>AND(tecantrop!B185,"AAAAAG76/qk=")</f>
        <v>#VALUE!</v>
      </c>
      <c r="FO125" t="e">
        <f>AND(tecantrop!C185,"AAAAAG76/qo=")</f>
        <v>#VALUE!</v>
      </c>
      <c r="FP125" t="e">
        <f>AND(tecantrop!D185,"AAAAAG76/qs=")</f>
        <v>#VALUE!</v>
      </c>
      <c r="FQ125" t="e">
        <f>AND(tecantrop!E185,"AAAAAG76/qw=")</f>
        <v>#VALUE!</v>
      </c>
      <c r="FR125" t="e">
        <f>AND(tecantrop!F185,"AAAAAG76/q0=")</f>
        <v>#VALUE!</v>
      </c>
      <c r="FS125" t="e">
        <f>AND(tecantrop!G185,"AAAAAG76/q4=")</f>
        <v>#VALUE!</v>
      </c>
      <c r="FT125" t="e">
        <f>AND(tecantrop!H185,"AAAAAG76/q8=")</f>
        <v>#VALUE!</v>
      </c>
      <c r="FU125" t="e">
        <f>AND(tecantrop!I185,"AAAAAG76/rA=")</f>
        <v>#VALUE!</v>
      </c>
      <c r="FV125" t="e">
        <f>AND(tecantrop!J185,"AAAAAG76/rE=")</f>
        <v>#VALUE!</v>
      </c>
      <c r="FW125" t="e">
        <f>AND(tecantrop!K185,"AAAAAG76/rI=")</f>
        <v>#VALUE!</v>
      </c>
      <c r="FX125" t="e">
        <f>AND(tecantrop!L185,"AAAAAG76/rM=")</f>
        <v>#VALUE!</v>
      </c>
      <c r="FY125" t="e">
        <f>AND(tecantrop!M185,"AAAAAG76/rQ=")</f>
        <v>#VALUE!</v>
      </c>
      <c r="FZ125" t="e">
        <f>AND(tecantrop!N185,"AAAAAG76/rU=")</f>
        <v>#VALUE!</v>
      </c>
      <c r="GA125" t="e">
        <f>AND(tecantrop!O185,"AAAAAG76/rY=")</f>
        <v>#VALUE!</v>
      </c>
      <c r="GB125" t="e">
        <f>AND(tecantrop!P185,"AAAAAG76/rc=")</f>
        <v>#VALUE!</v>
      </c>
      <c r="GC125" t="e">
        <f>AND(tecantrop!Q185,"AAAAAG76/rg=")</f>
        <v>#VALUE!</v>
      </c>
      <c r="GD125" t="e">
        <f>AND(tecantrop!R185,"AAAAAG76/rk=")</f>
        <v>#VALUE!</v>
      </c>
      <c r="GE125" t="e">
        <f>AND(tecantrop!S185,"AAAAAG76/ro=")</f>
        <v>#VALUE!</v>
      </c>
      <c r="GF125" t="e">
        <f>AND(tecantrop!T185,"AAAAAG76/rs=")</f>
        <v>#VALUE!</v>
      </c>
      <c r="GG125" t="e">
        <f>AND(tecantrop!U185,"AAAAAG76/rw=")</f>
        <v>#VALUE!</v>
      </c>
      <c r="GH125" t="e">
        <f>AND(tecantrop!V185,"AAAAAG76/r0=")</f>
        <v>#VALUE!</v>
      </c>
      <c r="GI125" t="e">
        <f>AND(tecantrop!W185,"AAAAAG76/r4=")</f>
        <v>#VALUE!</v>
      </c>
      <c r="GJ125" t="e">
        <f>AND(tecantrop!X185,"AAAAAG76/r8=")</f>
        <v>#VALUE!</v>
      </c>
      <c r="GK125">
        <f>IF(tecantrop!186:186,"AAAAAG76/sA=",0)</f>
        <v>0</v>
      </c>
      <c r="GL125" t="e">
        <f>AND(tecantrop!A186,"AAAAAG76/sE=")</f>
        <v>#VALUE!</v>
      </c>
      <c r="GM125" t="e">
        <f>AND(tecantrop!B186,"AAAAAG76/sI=")</f>
        <v>#VALUE!</v>
      </c>
      <c r="GN125" t="e">
        <f>AND(tecantrop!C186,"AAAAAG76/sM=")</f>
        <v>#VALUE!</v>
      </c>
      <c r="GO125" t="e">
        <f>AND(tecantrop!D186,"AAAAAG76/sQ=")</f>
        <v>#VALUE!</v>
      </c>
      <c r="GP125" t="e">
        <f>AND(tecantrop!E186,"AAAAAG76/sU=")</f>
        <v>#VALUE!</v>
      </c>
      <c r="GQ125" t="e">
        <f>AND(tecantrop!F186,"AAAAAG76/sY=")</f>
        <v>#VALUE!</v>
      </c>
      <c r="GR125" t="e">
        <f>AND(tecantrop!G186,"AAAAAG76/sc=")</f>
        <v>#VALUE!</v>
      </c>
      <c r="GS125" t="e">
        <f>AND(tecantrop!H186,"AAAAAG76/sg=")</f>
        <v>#VALUE!</v>
      </c>
      <c r="GT125" t="e">
        <f>AND(tecantrop!I186,"AAAAAG76/sk=")</f>
        <v>#VALUE!</v>
      </c>
      <c r="GU125" t="e">
        <f>AND(tecantrop!J186,"AAAAAG76/so=")</f>
        <v>#VALUE!</v>
      </c>
      <c r="GV125" t="e">
        <f>AND(tecantrop!K186,"AAAAAG76/ss=")</f>
        <v>#VALUE!</v>
      </c>
      <c r="GW125" t="e">
        <f>AND(tecantrop!L186,"AAAAAG76/sw=")</f>
        <v>#VALUE!</v>
      </c>
      <c r="GX125" t="e">
        <f>AND(tecantrop!M186,"AAAAAG76/s0=")</f>
        <v>#VALUE!</v>
      </c>
      <c r="GY125" t="e">
        <f>AND(tecantrop!N186,"AAAAAG76/s4=")</f>
        <v>#VALUE!</v>
      </c>
      <c r="GZ125" t="e">
        <f>AND(tecantrop!O186,"AAAAAG76/s8=")</f>
        <v>#VALUE!</v>
      </c>
      <c r="HA125" t="e">
        <f>AND(tecantrop!P186,"AAAAAG76/tA=")</f>
        <v>#VALUE!</v>
      </c>
      <c r="HB125" t="e">
        <f>AND(tecantrop!Q186,"AAAAAG76/tE=")</f>
        <v>#VALUE!</v>
      </c>
      <c r="HC125" t="e">
        <f>AND(tecantrop!R186,"AAAAAG76/tI=")</f>
        <v>#VALUE!</v>
      </c>
      <c r="HD125" t="e">
        <f>AND(tecantrop!S186,"AAAAAG76/tM=")</f>
        <v>#VALUE!</v>
      </c>
      <c r="HE125" t="e">
        <f>AND(tecantrop!T186,"AAAAAG76/tQ=")</f>
        <v>#VALUE!</v>
      </c>
      <c r="HF125" t="e">
        <f>AND(tecantrop!U186,"AAAAAG76/tU=")</f>
        <v>#VALUE!</v>
      </c>
      <c r="HG125" t="e">
        <f>AND(tecantrop!V186,"AAAAAG76/tY=")</f>
        <v>#VALUE!</v>
      </c>
      <c r="HH125" t="e">
        <f>AND(tecantrop!W186,"AAAAAG76/tc=")</f>
        <v>#VALUE!</v>
      </c>
      <c r="HI125" t="e">
        <f>AND(tecantrop!X186,"AAAAAG76/tg=")</f>
        <v>#VALUE!</v>
      </c>
      <c r="HJ125">
        <f>IF(tecantrop!187:187,"AAAAAG76/tk=",0)</f>
        <v>0</v>
      </c>
      <c r="HK125" t="e">
        <f>AND(tecantrop!A187,"AAAAAG76/to=")</f>
        <v>#VALUE!</v>
      </c>
      <c r="HL125" t="e">
        <f>AND(tecantrop!B187,"AAAAAG76/ts=")</f>
        <v>#VALUE!</v>
      </c>
      <c r="HM125" t="e">
        <f>AND(tecantrop!C187,"AAAAAG76/tw=")</f>
        <v>#VALUE!</v>
      </c>
      <c r="HN125" t="e">
        <f>AND(tecantrop!D187,"AAAAAG76/t0=")</f>
        <v>#VALUE!</v>
      </c>
      <c r="HO125" t="e">
        <f>AND(tecantrop!E187,"AAAAAG76/t4=")</f>
        <v>#VALUE!</v>
      </c>
      <c r="HP125" t="e">
        <f>AND(tecantrop!F187,"AAAAAG76/t8=")</f>
        <v>#VALUE!</v>
      </c>
      <c r="HQ125" t="e">
        <f>AND(tecantrop!G187,"AAAAAG76/uA=")</f>
        <v>#VALUE!</v>
      </c>
      <c r="HR125" t="e">
        <f>AND(tecantrop!H187,"AAAAAG76/uE=")</f>
        <v>#VALUE!</v>
      </c>
      <c r="HS125" t="e">
        <f>AND(tecantrop!I187,"AAAAAG76/uI=")</f>
        <v>#VALUE!</v>
      </c>
      <c r="HT125" t="e">
        <f>AND(tecantrop!J187,"AAAAAG76/uM=")</f>
        <v>#VALUE!</v>
      </c>
      <c r="HU125" t="e">
        <f>AND(tecantrop!K187,"AAAAAG76/uQ=")</f>
        <v>#VALUE!</v>
      </c>
      <c r="HV125" t="e">
        <f>AND(tecantrop!L187,"AAAAAG76/uU=")</f>
        <v>#VALUE!</v>
      </c>
      <c r="HW125" t="e">
        <f>AND(tecantrop!M187,"AAAAAG76/uY=")</f>
        <v>#VALUE!</v>
      </c>
      <c r="HX125" t="e">
        <f>AND(tecantrop!N187,"AAAAAG76/uc=")</f>
        <v>#VALUE!</v>
      </c>
      <c r="HY125" t="e">
        <f>AND(tecantrop!O187,"AAAAAG76/ug=")</f>
        <v>#VALUE!</v>
      </c>
      <c r="HZ125" t="e">
        <f>AND(tecantrop!P187,"AAAAAG76/uk=")</f>
        <v>#VALUE!</v>
      </c>
      <c r="IA125" t="e">
        <f>AND(tecantrop!Q187,"AAAAAG76/uo=")</f>
        <v>#VALUE!</v>
      </c>
      <c r="IB125" t="e">
        <f>AND(tecantrop!R187,"AAAAAG76/us=")</f>
        <v>#VALUE!</v>
      </c>
      <c r="IC125" t="e">
        <f>AND(tecantrop!S187,"AAAAAG76/uw=")</f>
        <v>#VALUE!</v>
      </c>
      <c r="ID125" t="e">
        <f>AND(tecantrop!T187,"AAAAAG76/u0=")</f>
        <v>#VALUE!</v>
      </c>
      <c r="IE125" t="e">
        <f>AND(tecantrop!U187,"AAAAAG76/u4=")</f>
        <v>#VALUE!</v>
      </c>
      <c r="IF125" t="e">
        <f>AND(tecantrop!V187,"AAAAAG76/u8=")</f>
        <v>#VALUE!</v>
      </c>
      <c r="IG125" t="e">
        <f>AND(tecantrop!W187,"AAAAAG76/vA=")</f>
        <v>#VALUE!</v>
      </c>
      <c r="IH125" t="e">
        <f>AND(tecantrop!X187,"AAAAAG76/vE=")</f>
        <v>#VALUE!</v>
      </c>
      <c r="II125">
        <f>IF(tecantrop!188:188,"AAAAAG76/vI=",0)</f>
        <v>0</v>
      </c>
      <c r="IJ125" t="e">
        <f>AND(tecantrop!A188,"AAAAAG76/vM=")</f>
        <v>#VALUE!</v>
      </c>
      <c r="IK125" t="e">
        <f>AND(tecantrop!B188,"AAAAAG76/vQ=")</f>
        <v>#VALUE!</v>
      </c>
      <c r="IL125" t="e">
        <f>AND(tecantrop!C188,"AAAAAG76/vU=")</f>
        <v>#VALUE!</v>
      </c>
      <c r="IM125" t="e">
        <f>AND(tecantrop!D188,"AAAAAG76/vY=")</f>
        <v>#VALUE!</v>
      </c>
      <c r="IN125" t="e">
        <f>AND(tecantrop!E188,"AAAAAG76/vc=")</f>
        <v>#VALUE!</v>
      </c>
      <c r="IO125" t="e">
        <f>AND(tecantrop!F188,"AAAAAG76/vg=")</f>
        <v>#VALUE!</v>
      </c>
      <c r="IP125" t="e">
        <f>AND(tecantrop!G188,"AAAAAG76/vk=")</f>
        <v>#VALUE!</v>
      </c>
      <c r="IQ125" t="e">
        <f>AND(tecantrop!H188,"AAAAAG76/vo=")</f>
        <v>#VALUE!</v>
      </c>
      <c r="IR125" t="e">
        <f>AND(tecantrop!I188,"AAAAAG76/vs=")</f>
        <v>#VALUE!</v>
      </c>
      <c r="IS125" t="e">
        <f>AND(tecantrop!J188,"AAAAAG76/vw=")</f>
        <v>#VALUE!</v>
      </c>
      <c r="IT125" t="e">
        <f>AND(tecantrop!K188,"AAAAAG76/v0=")</f>
        <v>#VALUE!</v>
      </c>
      <c r="IU125" t="e">
        <f>AND(tecantrop!L188,"AAAAAG76/v4=")</f>
        <v>#VALUE!</v>
      </c>
      <c r="IV125" t="e">
        <f>AND(tecantrop!M188,"AAAAAG76/v8=")</f>
        <v>#VALUE!</v>
      </c>
    </row>
    <row r="126" spans="1:256" x14ac:dyDescent="0.2">
      <c r="A126" t="e">
        <f>AND(tecantrop!N188,"AAAAADJtlgA=")</f>
        <v>#VALUE!</v>
      </c>
      <c r="B126" t="e">
        <f>AND(tecantrop!O188,"AAAAADJtlgE=")</f>
        <v>#VALUE!</v>
      </c>
      <c r="C126" t="e">
        <f>AND(tecantrop!P188,"AAAAADJtlgI=")</f>
        <v>#VALUE!</v>
      </c>
      <c r="D126" t="e">
        <f>AND(tecantrop!Q188,"AAAAADJtlgM=")</f>
        <v>#VALUE!</v>
      </c>
      <c r="E126" t="e">
        <f>AND(tecantrop!R188,"AAAAADJtlgQ=")</f>
        <v>#VALUE!</v>
      </c>
      <c r="F126" t="e">
        <f>AND(tecantrop!S188,"AAAAADJtlgU=")</f>
        <v>#VALUE!</v>
      </c>
      <c r="G126" t="e">
        <f>AND(tecantrop!T188,"AAAAADJtlgY=")</f>
        <v>#VALUE!</v>
      </c>
      <c r="H126" t="e">
        <f>AND(tecantrop!U188,"AAAAADJtlgc=")</f>
        <v>#VALUE!</v>
      </c>
      <c r="I126" t="e">
        <f>AND(tecantrop!V188,"AAAAADJtlgg=")</f>
        <v>#VALUE!</v>
      </c>
      <c r="J126" t="e">
        <f>AND(tecantrop!W188,"AAAAADJtlgk=")</f>
        <v>#VALUE!</v>
      </c>
      <c r="K126" t="e">
        <f>AND(tecantrop!X188,"AAAAADJtlgo=")</f>
        <v>#VALUE!</v>
      </c>
      <c r="L126">
        <f>IF(tecantrop!189:189,"AAAAADJtlgs=",0)</f>
        <v>0</v>
      </c>
      <c r="M126" t="e">
        <f>AND(tecantrop!A189,"AAAAADJtlgw=")</f>
        <v>#VALUE!</v>
      </c>
      <c r="N126" t="e">
        <f>AND(tecantrop!B189,"AAAAADJtlg0=")</f>
        <v>#VALUE!</v>
      </c>
      <c r="O126" t="e">
        <f>AND(tecantrop!C189,"AAAAADJtlg4=")</f>
        <v>#VALUE!</v>
      </c>
      <c r="P126" t="e">
        <f>AND(tecantrop!D189,"AAAAADJtlg8=")</f>
        <v>#VALUE!</v>
      </c>
      <c r="Q126" t="e">
        <f>AND(tecantrop!E189,"AAAAADJtlhA=")</f>
        <v>#VALUE!</v>
      </c>
      <c r="R126" t="e">
        <f>AND(tecantrop!F189,"AAAAADJtlhE=")</f>
        <v>#VALUE!</v>
      </c>
      <c r="S126" t="e">
        <f>AND(tecantrop!G189,"AAAAADJtlhI=")</f>
        <v>#VALUE!</v>
      </c>
      <c r="T126" t="e">
        <f>AND(tecantrop!H189,"AAAAADJtlhM=")</f>
        <v>#VALUE!</v>
      </c>
      <c r="U126" t="e">
        <f>AND(tecantrop!I189,"AAAAADJtlhQ=")</f>
        <v>#VALUE!</v>
      </c>
      <c r="V126" t="e">
        <f>AND(tecantrop!J189,"AAAAADJtlhU=")</f>
        <v>#VALUE!</v>
      </c>
      <c r="W126" t="e">
        <f>AND(tecantrop!K189,"AAAAADJtlhY=")</f>
        <v>#VALUE!</v>
      </c>
      <c r="X126" t="e">
        <f>AND(tecantrop!L189,"AAAAADJtlhc=")</f>
        <v>#VALUE!</v>
      </c>
      <c r="Y126" t="e">
        <f>AND(tecantrop!M189,"AAAAADJtlhg=")</f>
        <v>#VALUE!</v>
      </c>
      <c r="Z126" t="e">
        <f>AND(tecantrop!N189,"AAAAADJtlhk=")</f>
        <v>#VALUE!</v>
      </c>
      <c r="AA126" t="e">
        <f>AND(tecantrop!O189,"AAAAADJtlho=")</f>
        <v>#VALUE!</v>
      </c>
      <c r="AB126" t="e">
        <f>AND(tecantrop!P189,"AAAAADJtlhs=")</f>
        <v>#VALUE!</v>
      </c>
      <c r="AC126" t="e">
        <f>AND(tecantrop!Q189,"AAAAADJtlhw=")</f>
        <v>#VALUE!</v>
      </c>
      <c r="AD126" t="e">
        <f>AND(tecantrop!R189,"AAAAADJtlh0=")</f>
        <v>#VALUE!</v>
      </c>
      <c r="AE126" t="e">
        <f>AND(tecantrop!S189,"AAAAADJtlh4=")</f>
        <v>#VALUE!</v>
      </c>
      <c r="AF126" t="e">
        <f>AND(tecantrop!T189,"AAAAADJtlh8=")</f>
        <v>#VALUE!</v>
      </c>
      <c r="AG126" t="e">
        <f>AND(tecantrop!U189,"AAAAADJtliA=")</f>
        <v>#VALUE!</v>
      </c>
      <c r="AH126" t="e">
        <f>AND(tecantrop!V189,"AAAAADJtliE=")</f>
        <v>#VALUE!</v>
      </c>
      <c r="AI126" t="e">
        <f>AND(tecantrop!W189,"AAAAADJtliI=")</f>
        <v>#VALUE!</v>
      </c>
      <c r="AJ126" t="e">
        <f>AND(tecantrop!X189,"AAAAADJtliM=")</f>
        <v>#VALUE!</v>
      </c>
      <c r="AK126">
        <f>IF(tecantrop!190:190,"AAAAADJtliQ=",0)</f>
        <v>0</v>
      </c>
      <c r="AL126" t="e">
        <f>AND(tecantrop!A190,"AAAAADJtliU=")</f>
        <v>#VALUE!</v>
      </c>
      <c r="AM126" t="e">
        <f>AND(tecantrop!B190,"AAAAADJtliY=")</f>
        <v>#VALUE!</v>
      </c>
      <c r="AN126" t="e">
        <f>AND(tecantrop!C190,"AAAAADJtlic=")</f>
        <v>#VALUE!</v>
      </c>
      <c r="AO126" t="e">
        <f>AND(tecantrop!D190,"AAAAADJtlig=")</f>
        <v>#VALUE!</v>
      </c>
      <c r="AP126" t="e">
        <f>AND(tecantrop!E190,"AAAAADJtlik=")</f>
        <v>#VALUE!</v>
      </c>
      <c r="AQ126" t="e">
        <f>AND(tecantrop!F190,"AAAAADJtlio=")</f>
        <v>#VALUE!</v>
      </c>
      <c r="AR126" t="e">
        <f>AND(tecantrop!G190,"AAAAADJtlis=")</f>
        <v>#VALUE!</v>
      </c>
      <c r="AS126" t="e">
        <f>AND(tecantrop!H190,"AAAAADJtliw=")</f>
        <v>#VALUE!</v>
      </c>
      <c r="AT126" t="e">
        <f>AND(tecantrop!I190,"AAAAADJtli0=")</f>
        <v>#VALUE!</v>
      </c>
      <c r="AU126" t="e">
        <f>AND(tecantrop!J190,"AAAAADJtli4=")</f>
        <v>#VALUE!</v>
      </c>
      <c r="AV126" t="e">
        <f>AND(tecantrop!K190,"AAAAADJtli8=")</f>
        <v>#VALUE!</v>
      </c>
      <c r="AW126" t="e">
        <f>AND(tecantrop!L190,"AAAAADJtljA=")</f>
        <v>#VALUE!</v>
      </c>
      <c r="AX126" t="e">
        <f>AND(tecantrop!M190,"AAAAADJtljE=")</f>
        <v>#VALUE!</v>
      </c>
      <c r="AY126" t="e">
        <f>AND(tecantrop!N190,"AAAAADJtljI=")</f>
        <v>#VALUE!</v>
      </c>
      <c r="AZ126" t="e">
        <f>AND(tecantrop!O190,"AAAAADJtljM=")</f>
        <v>#VALUE!</v>
      </c>
      <c r="BA126" t="e">
        <f>AND(tecantrop!P190,"AAAAADJtljQ=")</f>
        <v>#VALUE!</v>
      </c>
      <c r="BB126" t="e">
        <f>AND(tecantrop!Q190,"AAAAADJtljU=")</f>
        <v>#VALUE!</v>
      </c>
      <c r="BC126" t="e">
        <f>AND(tecantrop!R190,"AAAAADJtljY=")</f>
        <v>#VALUE!</v>
      </c>
      <c r="BD126" t="e">
        <f>AND(tecantrop!S190,"AAAAADJtljc=")</f>
        <v>#VALUE!</v>
      </c>
      <c r="BE126" t="e">
        <f>AND(tecantrop!T190,"AAAAADJtljg=")</f>
        <v>#VALUE!</v>
      </c>
      <c r="BF126" t="e">
        <f>AND(tecantrop!U190,"AAAAADJtljk=")</f>
        <v>#VALUE!</v>
      </c>
      <c r="BG126" t="e">
        <f>AND(tecantrop!V190,"AAAAADJtljo=")</f>
        <v>#VALUE!</v>
      </c>
      <c r="BH126" t="e">
        <f>AND(tecantrop!W190,"AAAAADJtljs=")</f>
        <v>#VALUE!</v>
      </c>
      <c r="BI126" t="e">
        <f>AND(tecantrop!X190,"AAAAADJtljw=")</f>
        <v>#VALUE!</v>
      </c>
      <c r="BJ126">
        <f>IF(tecantrop!191:191,"AAAAADJtlj0=",0)</f>
        <v>0</v>
      </c>
      <c r="BK126" t="e">
        <f>AND(tecantrop!A191,"AAAAADJtlj4=")</f>
        <v>#VALUE!</v>
      </c>
      <c r="BL126" t="e">
        <f>AND(tecantrop!B191,"AAAAADJtlj8=")</f>
        <v>#VALUE!</v>
      </c>
      <c r="BM126" t="e">
        <f>AND(tecantrop!C191,"AAAAADJtlkA=")</f>
        <v>#VALUE!</v>
      </c>
      <c r="BN126" t="e">
        <f>AND(tecantrop!D191,"AAAAADJtlkE=")</f>
        <v>#VALUE!</v>
      </c>
      <c r="BO126" t="e">
        <f>AND(tecantrop!E191,"AAAAADJtlkI=")</f>
        <v>#VALUE!</v>
      </c>
      <c r="BP126" t="e">
        <f>AND(tecantrop!F191,"AAAAADJtlkM=")</f>
        <v>#VALUE!</v>
      </c>
      <c r="BQ126" t="e">
        <f>AND(tecantrop!G191,"AAAAADJtlkQ=")</f>
        <v>#VALUE!</v>
      </c>
      <c r="BR126" t="e">
        <f>AND(tecantrop!H191,"AAAAADJtlkU=")</f>
        <v>#VALUE!</v>
      </c>
      <c r="BS126" t="e">
        <f>AND(tecantrop!I191,"AAAAADJtlkY=")</f>
        <v>#VALUE!</v>
      </c>
      <c r="BT126" t="e">
        <f>AND(tecantrop!J191,"AAAAADJtlkc=")</f>
        <v>#VALUE!</v>
      </c>
      <c r="BU126" t="e">
        <f>AND(tecantrop!K191,"AAAAADJtlkg=")</f>
        <v>#VALUE!</v>
      </c>
      <c r="BV126" t="e">
        <f>AND(tecantrop!L191,"AAAAADJtlkk=")</f>
        <v>#VALUE!</v>
      </c>
      <c r="BW126" t="e">
        <f>AND(tecantrop!M191,"AAAAADJtlko=")</f>
        <v>#VALUE!</v>
      </c>
      <c r="BX126" t="e">
        <f>AND(tecantrop!N191,"AAAAADJtlks=")</f>
        <v>#VALUE!</v>
      </c>
      <c r="BY126" t="e">
        <f>AND(tecantrop!O191,"AAAAADJtlkw=")</f>
        <v>#VALUE!</v>
      </c>
      <c r="BZ126" t="e">
        <f>AND(tecantrop!P191,"AAAAADJtlk0=")</f>
        <v>#VALUE!</v>
      </c>
      <c r="CA126" t="e">
        <f>AND(tecantrop!Q191,"AAAAADJtlk4=")</f>
        <v>#VALUE!</v>
      </c>
      <c r="CB126" t="e">
        <f>AND(tecantrop!R191,"AAAAADJtlk8=")</f>
        <v>#VALUE!</v>
      </c>
      <c r="CC126" t="e">
        <f>AND(tecantrop!S191,"AAAAADJtllA=")</f>
        <v>#VALUE!</v>
      </c>
      <c r="CD126" t="e">
        <f>AND(tecantrop!T191,"AAAAADJtllE=")</f>
        <v>#VALUE!</v>
      </c>
      <c r="CE126" t="e">
        <f>AND(tecantrop!U191,"AAAAADJtllI=")</f>
        <v>#VALUE!</v>
      </c>
      <c r="CF126" t="e">
        <f>AND(tecantrop!V191,"AAAAADJtllM=")</f>
        <v>#VALUE!</v>
      </c>
      <c r="CG126" t="e">
        <f>AND(tecantrop!W191,"AAAAADJtllQ=")</f>
        <v>#VALUE!</v>
      </c>
      <c r="CH126" t="e">
        <f>AND(tecantrop!X191,"AAAAADJtllU=")</f>
        <v>#VALUE!</v>
      </c>
      <c r="CI126">
        <f>IF(tecantrop!192:192,"AAAAADJtllY=",0)</f>
        <v>0</v>
      </c>
      <c r="CJ126" t="e">
        <f>AND(tecantrop!A192,"AAAAADJtllc=")</f>
        <v>#VALUE!</v>
      </c>
      <c r="CK126" t="e">
        <f>AND(tecantrop!B192,"AAAAADJtllg=")</f>
        <v>#VALUE!</v>
      </c>
      <c r="CL126" t="e">
        <f>AND(tecantrop!C192,"AAAAADJtllk=")</f>
        <v>#VALUE!</v>
      </c>
      <c r="CM126" t="e">
        <f>AND(tecantrop!D192,"AAAAADJtllo=")</f>
        <v>#VALUE!</v>
      </c>
      <c r="CN126" t="e">
        <f>AND(tecantrop!E192,"AAAAADJtlls=")</f>
        <v>#VALUE!</v>
      </c>
      <c r="CO126" t="e">
        <f>AND(tecantrop!F192,"AAAAADJtllw=")</f>
        <v>#VALUE!</v>
      </c>
      <c r="CP126" t="e">
        <f>AND(tecantrop!G192,"AAAAADJtll0=")</f>
        <v>#VALUE!</v>
      </c>
      <c r="CQ126" t="e">
        <f>AND(tecantrop!H192,"AAAAADJtll4=")</f>
        <v>#VALUE!</v>
      </c>
      <c r="CR126" t="e">
        <f>AND(tecantrop!I192,"AAAAADJtll8=")</f>
        <v>#VALUE!</v>
      </c>
      <c r="CS126" t="e">
        <f>AND(tecantrop!J192,"AAAAADJtlmA=")</f>
        <v>#VALUE!</v>
      </c>
      <c r="CT126" t="e">
        <f>AND(tecantrop!K192,"AAAAADJtlmE=")</f>
        <v>#VALUE!</v>
      </c>
      <c r="CU126" t="e">
        <f>AND(tecantrop!L192,"AAAAADJtlmI=")</f>
        <v>#VALUE!</v>
      </c>
      <c r="CV126" t="e">
        <f>AND(tecantrop!M192,"AAAAADJtlmM=")</f>
        <v>#VALUE!</v>
      </c>
      <c r="CW126" t="e">
        <f>AND(tecantrop!N192,"AAAAADJtlmQ=")</f>
        <v>#VALUE!</v>
      </c>
      <c r="CX126" t="e">
        <f>AND(tecantrop!O192,"AAAAADJtlmU=")</f>
        <v>#VALUE!</v>
      </c>
      <c r="CY126" t="e">
        <f>AND(tecantrop!P192,"AAAAADJtlmY=")</f>
        <v>#VALUE!</v>
      </c>
      <c r="CZ126" t="e">
        <f>AND(tecantrop!Q192,"AAAAADJtlmc=")</f>
        <v>#VALUE!</v>
      </c>
      <c r="DA126" t="e">
        <f>AND(tecantrop!R192,"AAAAADJtlmg=")</f>
        <v>#VALUE!</v>
      </c>
      <c r="DB126" t="e">
        <f>AND(tecantrop!S192,"AAAAADJtlmk=")</f>
        <v>#VALUE!</v>
      </c>
      <c r="DC126" t="e">
        <f>AND(tecantrop!T192,"AAAAADJtlmo=")</f>
        <v>#VALUE!</v>
      </c>
      <c r="DD126" t="e">
        <f>AND(tecantrop!U192,"AAAAADJtlms=")</f>
        <v>#VALUE!</v>
      </c>
      <c r="DE126" t="e">
        <f>AND(tecantrop!V192,"AAAAADJtlmw=")</f>
        <v>#VALUE!</v>
      </c>
      <c r="DF126" t="e">
        <f>AND(tecantrop!W192,"AAAAADJtlm0=")</f>
        <v>#VALUE!</v>
      </c>
      <c r="DG126" t="e">
        <f>AND(tecantrop!X192,"AAAAADJtlm4=")</f>
        <v>#VALUE!</v>
      </c>
      <c r="DH126">
        <f>IF(tecantrop!193:193,"AAAAADJtlm8=",0)</f>
        <v>0</v>
      </c>
      <c r="DI126" t="e">
        <f>AND(tecantrop!A193,"AAAAADJtlnA=")</f>
        <v>#VALUE!</v>
      </c>
      <c r="DJ126" t="e">
        <f>AND(tecantrop!B193,"AAAAADJtlnE=")</f>
        <v>#VALUE!</v>
      </c>
      <c r="DK126" t="e">
        <f>AND(tecantrop!C193,"AAAAADJtlnI=")</f>
        <v>#VALUE!</v>
      </c>
      <c r="DL126" t="e">
        <f>AND(tecantrop!D193,"AAAAADJtlnM=")</f>
        <v>#VALUE!</v>
      </c>
      <c r="DM126" t="e">
        <f>AND(tecantrop!E193,"AAAAADJtlnQ=")</f>
        <v>#VALUE!</v>
      </c>
      <c r="DN126" t="e">
        <f>AND(tecantrop!F193,"AAAAADJtlnU=")</f>
        <v>#VALUE!</v>
      </c>
      <c r="DO126" t="e">
        <f>AND(tecantrop!G193,"AAAAADJtlnY=")</f>
        <v>#VALUE!</v>
      </c>
      <c r="DP126" t="e">
        <f>AND(tecantrop!H193,"AAAAADJtlnc=")</f>
        <v>#VALUE!</v>
      </c>
      <c r="DQ126" t="e">
        <f>AND(tecantrop!I193,"AAAAADJtlng=")</f>
        <v>#VALUE!</v>
      </c>
      <c r="DR126" t="e">
        <f>AND(tecantrop!J193,"AAAAADJtlnk=")</f>
        <v>#VALUE!</v>
      </c>
      <c r="DS126" t="e">
        <f>AND(tecantrop!K193,"AAAAADJtlno=")</f>
        <v>#VALUE!</v>
      </c>
      <c r="DT126" t="e">
        <f>AND(tecantrop!L193,"AAAAADJtlns=")</f>
        <v>#VALUE!</v>
      </c>
      <c r="DU126" t="e">
        <f>AND(tecantrop!M193,"AAAAADJtlnw=")</f>
        <v>#VALUE!</v>
      </c>
      <c r="DV126" t="e">
        <f>AND(tecantrop!N193,"AAAAADJtln0=")</f>
        <v>#VALUE!</v>
      </c>
      <c r="DW126" t="e">
        <f>AND(tecantrop!O193,"AAAAADJtln4=")</f>
        <v>#VALUE!</v>
      </c>
      <c r="DX126" t="e">
        <f>AND(tecantrop!P193,"AAAAADJtln8=")</f>
        <v>#VALUE!</v>
      </c>
      <c r="DY126" t="e">
        <f>AND(tecantrop!Q193,"AAAAADJtloA=")</f>
        <v>#VALUE!</v>
      </c>
      <c r="DZ126" t="e">
        <f>AND(tecantrop!R193,"AAAAADJtloE=")</f>
        <v>#VALUE!</v>
      </c>
      <c r="EA126" t="e">
        <f>AND(tecantrop!S193,"AAAAADJtloI=")</f>
        <v>#VALUE!</v>
      </c>
      <c r="EB126" t="e">
        <f>AND(tecantrop!T193,"AAAAADJtloM=")</f>
        <v>#VALUE!</v>
      </c>
      <c r="EC126" t="e">
        <f>AND(tecantrop!U193,"AAAAADJtloQ=")</f>
        <v>#VALUE!</v>
      </c>
      <c r="ED126" t="e">
        <f>AND(tecantrop!V193,"AAAAADJtloU=")</f>
        <v>#VALUE!</v>
      </c>
      <c r="EE126" t="e">
        <f>AND(tecantrop!W193,"AAAAADJtloY=")</f>
        <v>#VALUE!</v>
      </c>
      <c r="EF126" t="e">
        <f>AND(tecantrop!X193,"AAAAADJtloc=")</f>
        <v>#VALUE!</v>
      </c>
      <c r="EG126">
        <f>IF(tecantrop!194:194,"AAAAADJtlog=",0)</f>
        <v>0</v>
      </c>
      <c r="EH126" t="e">
        <f>AND(tecantrop!A194,"AAAAADJtlok=")</f>
        <v>#VALUE!</v>
      </c>
      <c r="EI126" t="e">
        <f>AND(tecantrop!B194,"AAAAADJtloo=")</f>
        <v>#VALUE!</v>
      </c>
      <c r="EJ126" t="e">
        <f>AND(tecantrop!C194,"AAAAADJtlos=")</f>
        <v>#VALUE!</v>
      </c>
      <c r="EK126" t="e">
        <f>AND(tecantrop!D194,"AAAAADJtlow=")</f>
        <v>#VALUE!</v>
      </c>
      <c r="EL126" t="e">
        <f>AND(tecantrop!E194,"AAAAADJtlo0=")</f>
        <v>#VALUE!</v>
      </c>
      <c r="EM126" t="e">
        <f>AND(tecantrop!F194,"AAAAADJtlo4=")</f>
        <v>#VALUE!</v>
      </c>
      <c r="EN126" t="e">
        <f>AND(tecantrop!G194,"AAAAADJtlo8=")</f>
        <v>#VALUE!</v>
      </c>
      <c r="EO126" t="e">
        <f>AND(tecantrop!H194,"AAAAADJtlpA=")</f>
        <v>#VALUE!</v>
      </c>
      <c r="EP126" t="e">
        <f>AND(tecantrop!I194,"AAAAADJtlpE=")</f>
        <v>#VALUE!</v>
      </c>
      <c r="EQ126" t="e">
        <f>AND(tecantrop!J194,"AAAAADJtlpI=")</f>
        <v>#VALUE!</v>
      </c>
      <c r="ER126" t="e">
        <f>AND(tecantrop!K194,"AAAAADJtlpM=")</f>
        <v>#VALUE!</v>
      </c>
      <c r="ES126" t="e">
        <f>AND(tecantrop!L194,"AAAAADJtlpQ=")</f>
        <v>#VALUE!</v>
      </c>
      <c r="ET126" t="e">
        <f>AND(tecantrop!M194,"AAAAADJtlpU=")</f>
        <v>#VALUE!</v>
      </c>
      <c r="EU126" t="e">
        <f>AND(tecantrop!N194,"AAAAADJtlpY=")</f>
        <v>#VALUE!</v>
      </c>
      <c r="EV126" t="e">
        <f>AND(tecantrop!O194,"AAAAADJtlpc=")</f>
        <v>#VALUE!</v>
      </c>
      <c r="EW126" t="e">
        <f>AND(tecantrop!P194,"AAAAADJtlpg=")</f>
        <v>#VALUE!</v>
      </c>
      <c r="EX126" t="e">
        <f>AND(tecantrop!Q194,"AAAAADJtlpk=")</f>
        <v>#VALUE!</v>
      </c>
      <c r="EY126" t="e">
        <f>AND(tecantrop!R194,"AAAAADJtlpo=")</f>
        <v>#VALUE!</v>
      </c>
      <c r="EZ126" t="e">
        <f>AND(tecantrop!S194,"AAAAADJtlps=")</f>
        <v>#VALUE!</v>
      </c>
      <c r="FA126" t="e">
        <f>AND(tecantrop!T194,"AAAAADJtlpw=")</f>
        <v>#VALUE!</v>
      </c>
      <c r="FB126" t="e">
        <f>AND(tecantrop!U194,"AAAAADJtlp0=")</f>
        <v>#VALUE!</v>
      </c>
      <c r="FC126" t="e">
        <f>AND(tecantrop!V194,"AAAAADJtlp4=")</f>
        <v>#VALUE!</v>
      </c>
      <c r="FD126" t="e">
        <f>AND(tecantrop!W194,"AAAAADJtlp8=")</f>
        <v>#VALUE!</v>
      </c>
      <c r="FE126" t="e">
        <f>AND(tecantrop!X194,"AAAAADJtlqA=")</f>
        <v>#VALUE!</v>
      </c>
      <c r="FF126">
        <f>IF(tecantrop!195:195,"AAAAADJtlqE=",0)</f>
        <v>0</v>
      </c>
      <c r="FG126" t="e">
        <f>AND(tecantrop!A195,"AAAAADJtlqI=")</f>
        <v>#VALUE!</v>
      </c>
      <c r="FH126" t="e">
        <f>AND(tecantrop!B195,"AAAAADJtlqM=")</f>
        <v>#VALUE!</v>
      </c>
      <c r="FI126" t="e">
        <f>AND(tecantrop!C195,"AAAAADJtlqQ=")</f>
        <v>#VALUE!</v>
      </c>
      <c r="FJ126" t="e">
        <f>AND(tecantrop!D195,"AAAAADJtlqU=")</f>
        <v>#VALUE!</v>
      </c>
      <c r="FK126" t="e">
        <f>AND(tecantrop!E195,"AAAAADJtlqY=")</f>
        <v>#VALUE!</v>
      </c>
      <c r="FL126" t="e">
        <f>AND(tecantrop!F195,"AAAAADJtlqc=")</f>
        <v>#VALUE!</v>
      </c>
      <c r="FM126" t="e">
        <f>AND(tecantrop!G195,"AAAAADJtlqg=")</f>
        <v>#VALUE!</v>
      </c>
      <c r="FN126" t="e">
        <f>AND(tecantrop!H195,"AAAAADJtlqk=")</f>
        <v>#VALUE!</v>
      </c>
      <c r="FO126" t="e">
        <f>AND(tecantrop!I195,"AAAAADJtlqo=")</f>
        <v>#VALUE!</v>
      </c>
      <c r="FP126" t="e">
        <f>AND(tecantrop!J195,"AAAAADJtlqs=")</f>
        <v>#VALUE!</v>
      </c>
      <c r="FQ126" t="e">
        <f>AND(tecantrop!K195,"AAAAADJtlqw=")</f>
        <v>#VALUE!</v>
      </c>
      <c r="FR126" t="e">
        <f>AND(tecantrop!L195,"AAAAADJtlq0=")</f>
        <v>#VALUE!</v>
      </c>
      <c r="FS126" t="e">
        <f>AND(tecantrop!M195,"AAAAADJtlq4=")</f>
        <v>#VALUE!</v>
      </c>
      <c r="FT126" t="e">
        <f>AND(tecantrop!N195,"AAAAADJtlq8=")</f>
        <v>#VALUE!</v>
      </c>
      <c r="FU126" t="e">
        <f>AND(tecantrop!O195,"AAAAADJtlrA=")</f>
        <v>#VALUE!</v>
      </c>
      <c r="FV126" t="e">
        <f>AND(tecantrop!P195,"AAAAADJtlrE=")</f>
        <v>#VALUE!</v>
      </c>
      <c r="FW126" t="e">
        <f>AND(tecantrop!Q195,"AAAAADJtlrI=")</f>
        <v>#VALUE!</v>
      </c>
      <c r="FX126" t="e">
        <f>AND(tecantrop!R195,"AAAAADJtlrM=")</f>
        <v>#VALUE!</v>
      </c>
      <c r="FY126" t="e">
        <f>AND(tecantrop!S195,"AAAAADJtlrQ=")</f>
        <v>#VALUE!</v>
      </c>
      <c r="FZ126" t="e">
        <f>AND(tecantrop!T195,"AAAAADJtlrU=")</f>
        <v>#VALUE!</v>
      </c>
      <c r="GA126" t="e">
        <f>AND(tecantrop!U195,"AAAAADJtlrY=")</f>
        <v>#VALUE!</v>
      </c>
      <c r="GB126" t="e">
        <f>AND(tecantrop!V195,"AAAAADJtlrc=")</f>
        <v>#VALUE!</v>
      </c>
      <c r="GC126" t="e">
        <f>AND(tecantrop!W195,"AAAAADJtlrg=")</f>
        <v>#VALUE!</v>
      </c>
      <c r="GD126" t="e">
        <f>AND(tecantrop!X195,"AAAAADJtlrk=")</f>
        <v>#VALUE!</v>
      </c>
      <c r="GE126">
        <f>IF(tecantrop!196:196,"AAAAADJtlro=",0)</f>
        <v>0</v>
      </c>
      <c r="GF126" t="e">
        <f>AND(tecantrop!A196,"AAAAADJtlrs=")</f>
        <v>#VALUE!</v>
      </c>
      <c r="GG126" t="e">
        <f>AND(tecantrop!B196,"AAAAADJtlrw=")</f>
        <v>#VALUE!</v>
      </c>
      <c r="GH126" t="e">
        <f>AND(tecantrop!C196,"AAAAADJtlr0=")</f>
        <v>#VALUE!</v>
      </c>
      <c r="GI126" t="e">
        <f>AND(tecantrop!D196,"AAAAADJtlr4=")</f>
        <v>#VALUE!</v>
      </c>
      <c r="GJ126" t="e">
        <f>AND(tecantrop!E196,"AAAAADJtlr8=")</f>
        <v>#VALUE!</v>
      </c>
      <c r="GK126" t="e">
        <f>AND(tecantrop!F196,"AAAAADJtlsA=")</f>
        <v>#VALUE!</v>
      </c>
      <c r="GL126" t="e">
        <f>AND(tecantrop!G196,"AAAAADJtlsE=")</f>
        <v>#VALUE!</v>
      </c>
      <c r="GM126" t="e">
        <f>AND(tecantrop!H196,"AAAAADJtlsI=")</f>
        <v>#VALUE!</v>
      </c>
      <c r="GN126" t="e">
        <f>AND(tecantrop!I196,"AAAAADJtlsM=")</f>
        <v>#VALUE!</v>
      </c>
      <c r="GO126" t="e">
        <f>AND(tecantrop!J196,"AAAAADJtlsQ=")</f>
        <v>#VALUE!</v>
      </c>
      <c r="GP126" t="e">
        <f>AND(tecantrop!K196,"AAAAADJtlsU=")</f>
        <v>#VALUE!</v>
      </c>
      <c r="GQ126" t="e">
        <f>AND(tecantrop!L196,"AAAAADJtlsY=")</f>
        <v>#VALUE!</v>
      </c>
      <c r="GR126" t="e">
        <f>AND(tecantrop!M196,"AAAAADJtlsc=")</f>
        <v>#VALUE!</v>
      </c>
      <c r="GS126" t="e">
        <f>AND(tecantrop!N196,"AAAAADJtlsg=")</f>
        <v>#VALUE!</v>
      </c>
      <c r="GT126" t="e">
        <f>AND(tecantrop!O196,"AAAAADJtlsk=")</f>
        <v>#VALUE!</v>
      </c>
      <c r="GU126" t="e">
        <f>AND(tecantrop!P196,"AAAAADJtlso=")</f>
        <v>#VALUE!</v>
      </c>
      <c r="GV126" t="e">
        <f>AND(tecantrop!Q196,"AAAAADJtlss=")</f>
        <v>#VALUE!</v>
      </c>
      <c r="GW126" t="e">
        <f>AND(tecantrop!R196,"AAAAADJtlsw=")</f>
        <v>#VALUE!</v>
      </c>
      <c r="GX126" t="e">
        <f>AND(tecantrop!S196,"AAAAADJtls0=")</f>
        <v>#VALUE!</v>
      </c>
      <c r="GY126" t="e">
        <f>AND(tecantrop!T196,"AAAAADJtls4=")</f>
        <v>#VALUE!</v>
      </c>
      <c r="GZ126" t="e">
        <f>AND(tecantrop!U196,"AAAAADJtls8=")</f>
        <v>#VALUE!</v>
      </c>
      <c r="HA126" t="e">
        <f>AND(tecantrop!V196,"AAAAADJtltA=")</f>
        <v>#VALUE!</v>
      </c>
      <c r="HB126" t="e">
        <f>AND(tecantrop!W196,"AAAAADJtltE=")</f>
        <v>#VALUE!</v>
      </c>
      <c r="HC126" t="e">
        <f>AND(tecantrop!X196,"AAAAADJtltI=")</f>
        <v>#VALUE!</v>
      </c>
      <c r="HD126">
        <f>IF(tecantrop!197:197,"AAAAADJtltM=",0)</f>
        <v>0</v>
      </c>
      <c r="HE126" t="e">
        <f>AND(tecantrop!A197,"AAAAADJtltQ=")</f>
        <v>#VALUE!</v>
      </c>
      <c r="HF126" t="e">
        <f>AND(tecantrop!B197,"AAAAADJtltU=")</f>
        <v>#VALUE!</v>
      </c>
      <c r="HG126" t="e">
        <f>AND(tecantrop!C197,"AAAAADJtltY=")</f>
        <v>#VALUE!</v>
      </c>
      <c r="HH126" t="e">
        <f>AND(tecantrop!D197,"AAAAADJtltc=")</f>
        <v>#VALUE!</v>
      </c>
      <c r="HI126" t="e">
        <f>AND(tecantrop!E197,"AAAAADJtltg=")</f>
        <v>#VALUE!</v>
      </c>
      <c r="HJ126" t="e">
        <f>AND(tecantrop!F197,"AAAAADJtltk=")</f>
        <v>#VALUE!</v>
      </c>
      <c r="HK126" t="e">
        <f>AND(tecantrop!G197,"AAAAADJtlto=")</f>
        <v>#VALUE!</v>
      </c>
      <c r="HL126" t="e">
        <f>AND(tecantrop!H197,"AAAAADJtlts=")</f>
        <v>#VALUE!</v>
      </c>
      <c r="HM126" t="e">
        <f>AND(tecantrop!I197,"AAAAADJtltw=")</f>
        <v>#VALUE!</v>
      </c>
      <c r="HN126" t="e">
        <f>AND(tecantrop!J197,"AAAAADJtlt0=")</f>
        <v>#VALUE!</v>
      </c>
      <c r="HO126" t="e">
        <f>AND(tecantrop!K197,"AAAAADJtlt4=")</f>
        <v>#VALUE!</v>
      </c>
      <c r="HP126" t="e">
        <f>AND(tecantrop!L197,"AAAAADJtlt8=")</f>
        <v>#VALUE!</v>
      </c>
      <c r="HQ126" t="e">
        <f>AND(tecantrop!M197,"AAAAADJtluA=")</f>
        <v>#VALUE!</v>
      </c>
      <c r="HR126" t="e">
        <f>AND(tecantrop!N197,"AAAAADJtluE=")</f>
        <v>#VALUE!</v>
      </c>
      <c r="HS126" t="e">
        <f>AND(tecantrop!O197,"AAAAADJtluI=")</f>
        <v>#VALUE!</v>
      </c>
      <c r="HT126" t="e">
        <f>AND(tecantrop!P197,"AAAAADJtluM=")</f>
        <v>#VALUE!</v>
      </c>
      <c r="HU126" t="e">
        <f>AND(tecantrop!Q197,"AAAAADJtluQ=")</f>
        <v>#VALUE!</v>
      </c>
      <c r="HV126" t="e">
        <f>AND(tecantrop!R197,"AAAAADJtluU=")</f>
        <v>#VALUE!</v>
      </c>
      <c r="HW126" t="e">
        <f>AND(tecantrop!S197,"AAAAADJtluY=")</f>
        <v>#VALUE!</v>
      </c>
      <c r="HX126" t="e">
        <f>AND(tecantrop!T197,"AAAAADJtluc=")</f>
        <v>#VALUE!</v>
      </c>
      <c r="HY126" t="e">
        <f>AND(tecantrop!U197,"AAAAADJtlug=")</f>
        <v>#VALUE!</v>
      </c>
      <c r="HZ126" t="e">
        <f>AND(tecantrop!V197,"AAAAADJtluk=")</f>
        <v>#VALUE!</v>
      </c>
      <c r="IA126" t="e">
        <f>AND(tecantrop!W197,"AAAAADJtluo=")</f>
        <v>#VALUE!</v>
      </c>
      <c r="IB126" t="e">
        <f>AND(tecantrop!X197,"AAAAADJtlus=")</f>
        <v>#VALUE!</v>
      </c>
      <c r="IC126">
        <f>IF(tecantrop!198:198,"AAAAADJtluw=",0)</f>
        <v>0</v>
      </c>
      <c r="ID126" t="e">
        <f>AND(tecantrop!A198,"AAAAADJtlu0=")</f>
        <v>#VALUE!</v>
      </c>
      <c r="IE126" t="e">
        <f>AND(tecantrop!B198,"AAAAADJtlu4=")</f>
        <v>#VALUE!</v>
      </c>
      <c r="IF126" t="e">
        <f>AND(tecantrop!C198,"AAAAADJtlu8=")</f>
        <v>#VALUE!</v>
      </c>
      <c r="IG126" t="e">
        <f>AND(tecantrop!D198,"AAAAADJtlvA=")</f>
        <v>#VALUE!</v>
      </c>
      <c r="IH126" t="e">
        <f>AND(tecantrop!E198,"AAAAADJtlvE=")</f>
        <v>#VALUE!</v>
      </c>
      <c r="II126" t="e">
        <f>AND(tecantrop!F198,"AAAAADJtlvI=")</f>
        <v>#VALUE!</v>
      </c>
      <c r="IJ126" t="e">
        <f>AND(tecantrop!G198,"AAAAADJtlvM=")</f>
        <v>#VALUE!</v>
      </c>
      <c r="IK126" t="e">
        <f>AND(tecantrop!H198,"AAAAADJtlvQ=")</f>
        <v>#VALUE!</v>
      </c>
      <c r="IL126" t="e">
        <f>AND(tecantrop!I198,"AAAAADJtlvU=")</f>
        <v>#VALUE!</v>
      </c>
      <c r="IM126" t="e">
        <f>AND(tecantrop!J198,"AAAAADJtlvY=")</f>
        <v>#VALUE!</v>
      </c>
      <c r="IN126" t="e">
        <f>AND(tecantrop!K198,"AAAAADJtlvc=")</f>
        <v>#VALUE!</v>
      </c>
      <c r="IO126" t="e">
        <f>AND(tecantrop!L198,"AAAAADJtlvg=")</f>
        <v>#VALUE!</v>
      </c>
      <c r="IP126" t="e">
        <f>AND(tecantrop!M198,"AAAAADJtlvk=")</f>
        <v>#VALUE!</v>
      </c>
      <c r="IQ126" t="e">
        <f>AND(tecantrop!N198,"AAAAADJtlvo=")</f>
        <v>#VALUE!</v>
      </c>
      <c r="IR126" t="e">
        <f>AND(tecantrop!O198,"AAAAADJtlvs=")</f>
        <v>#VALUE!</v>
      </c>
      <c r="IS126" t="e">
        <f>AND(tecantrop!P198,"AAAAADJtlvw=")</f>
        <v>#VALUE!</v>
      </c>
      <c r="IT126" t="e">
        <f>AND(tecantrop!Q198,"AAAAADJtlv0=")</f>
        <v>#VALUE!</v>
      </c>
      <c r="IU126" t="e">
        <f>AND(tecantrop!R198,"AAAAADJtlv4=")</f>
        <v>#VALUE!</v>
      </c>
      <c r="IV126" t="e">
        <f>AND(tecantrop!S198,"AAAAADJtlv8=")</f>
        <v>#VALUE!</v>
      </c>
    </row>
    <row r="127" spans="1:256" x14ac:dyDescent="0.2">
      <c r="A127" t="e">
        <f>AND(tecantrop!T198,"AAAAAGyv9wA=")</f>
        <v>#VALUE!</v>
      </c>
      <c r="B127" t="e">
        <f>AND(tecantrop!U198,"AAAAAGyv9wE=")</f>
        <v>#VALUE!</v>
      </c>
      <c r="C127" t="e">
        <f>AND(tecantrop!V198,"AAAAAGyv9wI=")</f>
        <v>#VALUE!</v>
      </c>
      <c r="D127" t="e">
        <f>AND(tecantrop!W198,"AAAAAGyv9wM=")</f>
        <v>#VALUE!</v>
      </c>
      <c r="E127" t="e">
        <f>AND(tecantrop!X198,"AAAAAGyv9wQ=")</f>
        <v>#VALUE!</v>
      </c>
      <c r="F127">
        <f>IF(tecantrop!199:199,"AAAAAGyv9wU=",0)</f>
        <v>0</v>
      </c>
      <c r="G127" t="e">
        <f>AND(tecantrop!A199,"AAAAAGyv9wY=")</f>
        <v>#VALUE!</v>
      </c>
      <c r="H127" t="e">
        <f>AND(tecantrop!B199,"AAAAAGyv9wc=")</f>
        <v>#VALUE!</v>
      </c>
      <c r="I127" t="e">
        <f>AND(tecantrop!C199,"AAAAAGyv9wg=")</f>
        <v>#VALUE!</v>
      </c>
      <c r="J127" t="e">
        <f>AND(tecantrop!D199,"AAAAAGyv9wk=")</f>
        <v>#VALUE!</v>
      </c>
      <c r="K127" t="e">
        <f>AND(tecantrop!E199,"AAAAAGyv9wo=")</f>
        <v>#VALUE!</v>
      </c>
      <c r="L127" t="e">
        <f>AND(tecantrop!F199,"AAAAAGyv9ws=")</f>
        <v>#VALUE!</v>
      </c>
      <c r="M127" t="e">
        <f>AND(tecantrop!G199,"AAAAAGyv9ww=")</f>
        <v>#VALUE!</v>
      </c>
      <c r="N127" t="e">
        <f>AND(tecantrop!H199,"AAAAAGyv9w0=")</f>
        <v>#VALUE!</v>
      </c>
      <c r="O127" t="e">
        <f>AND(tecantrop!I199,"AAAAAGyv9w4=")</f>
        <v>#VALUE!</v>
      </c>
      <c r="P127" t="e">
        <f>AND(tecantrop!J199,"AAAAAGyv9w8=")</f>
        <v>#VALUE!</v>
      </c>
      <c r="Q127" t="e">
        <f>AND(tecantrop!K199,"AAAAAGyv9xA=")</f>
        <v>#VALUE!</v>
      </c>
      <c r="R127" t="e">
        <f>AND(tecantrop!L199,"AAAAAGyv9xE=")</f>
        <v>#VALUE!</v>
      </c>
      <c r="S127" t="e">
        <f>AND(tecantrop!M199,"AAAAAGyv9xI=")</f>
        <v>#VALUE!</v>
      </c>
      <c r="T127" t="e">
        <f>AND(tecantrop!N199,"AAAAAGyv9xM=")</f>
        <v>#VALUE!</v>
      </c>
      <c r="U127" t="e">
        <f>AND(tecantrop!O199,"AAAAAGyv9xQ=")</f>
        <v>#VALUE!</v>
      </c>
      <c r="V127" t="e">
        <f>AND(tecantrop!P199,"AAAAAGyv9xU=")</f>
        <v>#VALUE!</v>
      </c>
      <c r="W127" t="e">
        <f>AND(tecantrop!Q199,"AAAAAGyv9xY=")</f>
        <v>#VALUE!</v>
      </c>
      <c r="X127" t="e">
        <f>AND(tecantrop!R199,"AAAAAGyv9xc=")</f>
        <v>#VALUE!</v>
      </c>
      <c r="Y127" t="e">
        <f>AND(tecantrop!S199,"AAAAAGyv9xg=")</f>
        <v>#VALUE!</v>
      </c>
      <c r="Z127" t="e">
        <f>AND(tecantrop!T199,"AAAAAGyv9xk=")</f>
        <v>#VALUE!</v>
      </c>
      <c r="AA127" t="e">
        <f>AND(tecantrop!U199,"AAAAAGyv9xo=")</f>
        <v>#VALUE!</v>
      </c>
      <c r="AB127" t="e">
        <f>AND(tecantrop!V199,"AAAAAGyv9xs=")</f>
        <v>#VALUE!</v>
      </c>
      <c r="AC127" t="e">
        <f>AND(tecantrop!W199,"AAAAAGyv9xw=")</f>
        <v>#VALUE!</v>
      </c>
      <c r="AD127" t="e">
        <f>AND(tecantrop!X199,"AAAAAGyv9x0=")</f>
        <v>#VALUE!</v>
      </c>
      <c r="AE127">
        <f>IF(tecantrop!200:200,"AAAAAGyv9x4=",0)</f>
        <v>0</v>
      </c>
      <c r="AF127" t="e">
        <f>AND(tecantrop!A200,"AAAAAGyv9x8=")</f>
        <v>#VALUE!</v>
      </c>
      <c r="AG127" t="e">
        <f>AND(tecantrop!B200,"AAAAAGyv9yA=")</f>
        <v>#VALUE!</v>
      </c>
      <c r="AH127" t="e">
        <f>AND(tecantrop!C200,"AAAAAGyv9yE=")</f>
        <v>#VALUE!</v>
      </c>
      <c r="AI127" t="e">
        <f>AND(tecantrop!D200,"AAAAAGyv9yI=")</f>
        <v>#VALUE!</v>
      </c>
      <c r="AJ127" t="e">
        <f>AND(tecantrop!E200,"AAAAAGyv9yM=")</f>
        <v>#VALUE!</v>
      </c>
      <c r="AK127" t="e">
        <f>AND(tecantrop!F200,"AAAAAGyv9yQ=")</f>
        <v>#VALUE!</v>
      </c>
      <c r="AL127" t="e">
        <f>AND(tecantrop!G200,"AAAAAGyv9yU=")</f>
        <v>#VALUE!</v>
      </c>
      <c r="AM127" t="e">
        <f>AND(tecantrop!H200,"AAAAAGyv9yY=")</f>
        <v>#VALUE!</v>
      </c>
      <c r="AN127" t="e">
        <f>AND(tecantrop!I200,"AAAAAGyv9yc=")</f>
        <v>#VALUE!</v>
      </c>
      <c r="AO127" t="e">
        <f>AND(tecantrop!J200,"AAAAAGyv9yg=")</f>
        <v>#VALUE!</v>
      </c>
      <c r="AP127" t="e">
        <f>AND(tecantrop!K200,"AAAAAGyv9yk=")</f>
        <v>#VALUE!</v>
      </c>
      <c r="AQ127" t="e">
        <f>AND(tecantrop!L200,"AAAAAGyv9yo=")</f>
        <v>#VALUE!</v>
      </c>
      <c r="AR127" t="e">
        <f>AND(tecantrop!M200,"AAAAAGyv9ys=")</f>
        <v>#VALUE!</v>
      </c>
      <c r="AS127" t="e">
        <f>AND(tecantrop!N200,"AAAAAGyv9yw=")</f>
        <v>#VALUE!</v>
      </c>
      <c r="AT127" t="e">
        <f>AND(tecantrop!O200,"AAAAAGyv9y0=")</f>
        <v>#VALUE!</v>
      </c>
      <c r="AU127" t="e">
        <f>AND(tecantrop!P200,"AAAAAGyv9y4=")</f>
        <v>#VALUE!</v>
      </c>
      <c r="AV127" t="e">
        <f>AND(tecantrop!Q200,"AAAAAGyv9y8=")</f>
        <v>#VALUE!</v>
      </c>
      <c r="AW127" t="e">
        <f>AND(tecantrop!R200,"AAAAAGyv9zA=")</f>
        <v>#VALUE!</v>
      </c>
      <c r="AX127" t="e">
        <f>AND(tecantrop!S200,"AAAAAGyv9zE=")</f>
        <v>#VALUE!</v>
      </c>
      <c r="AY127" t="e">
        <f>AND(tecantrop!T200,"AAAAAGyv9zI=")</f>
        <v>#VALUE!</v>
      </c>
      <c r="AZ127" t="e">
        <f>AND(tecantrop!U200,"AAAAAGyv9zM=")</f>
        <v>#VALUE!</v>
      </c>
      <c r="BA127" t="e">
        <f>AND(tecantrop!V200,"AAAAAGyv9zQ=")</f>
        <v>#VALUE!</v>
      </c>
      <c r="BB127" t="e">
        <f>AND(tecantrop!W200,"AAAAAGyv9zU=")</f>
        <v>#VALUE!</v>
      </c>
      <c r="BC127" t="e">
        <f>AND(tecantrop!X200,"AAAAAGyv9zY=")</f>
        <v>#VALUE!</v>
      </c>
      <c r="BD127">
        <f>IF(tecantrop!201:201,"AAAAAGyv9zc=",0)</f>
        <v>0</v>
      </c>
      <c r="BE127" t="e">
        <f>AND(tecantrop!A201,"AAAAAGyv9zg=")</f>
        <v>#VALUE!</v>
      </c>
      <c r="BF127" t="e">
        <f>AND(tecantrop!B201,"AAAAAGyv9zk=")</f>
        <v>#VALUE!</v>
      </c>
      <c r="BG127" t="e">
        <f>AND(tecantrop!C201,"AAAAAGyv9zo=")</f>
        <v>#VALUE!</v>
      </c>
      <c r="BH127" t="e">
        <f>AND(tecantrop!D201,"AAAAAGyv9zs=")</f>
        <v>#VALUE!</v>
      </c>
      <c r="BI127" t="e">
        <f>AND(tecantrop!E201,"AAAAAGyv9zw=")</f>
        <v>#VALUE!</v>
      </c>
      <c r="BJ127" t="e">
        <f>AND(tecantrop!F201,"AAAAAGyv9z0=")</f>
        <v>#VALUE!</v>
      </c>
      <c r="BK127" t="e">
        <f>AND(tecantrop!G201,"AAAAAGyv9z4=")</f>
        <v>#VALUE!</v>
      </c>
      <c r="BL127" t="e">
        <f>AND(tecantrop!H201,"AAAAAGyv9z8=")</f>
        <v>#VALUE!</v>
      </c>
      <c r="BM127" t="e">
        <f>AND(tecantrop!I201,"AAAAAGyv90A=")</f>
        <v>#VALUE!</v>
      </c>
      <c r="BN127" t="e">
        <f>AND(tecantrop!J201,"AAAAAGyv90E=")</f>
        <v>#VALUE!</v>
      </c>
      <c r="BO127" t="e">
        <f>AND(tecantrop!K201,"AAAAAGyv90I=")</f>
        <v>#VALUE!</v>
      </c>
      <c r="BP127" t="e">
        <f>AND(tecantrop!L201,"AAAAAGyv90M=")</f>
        <v>#VALUE!</v>
      </c>
      <c r="BQ127" t="e">
        <f>AND(tecantrop!M201,"AAAAAGyv90Q=")</f>
        <v>#VALUE!</v>
      </c>
      <c r="BR127" t="e">
        <f>AND(tecantrop!N201,"AAAAAGyv90U=")</f>
        <v>#VALUE!</v>
      </c>
      <c r="BS127" t="e">
        <f>AND(tecantrop!O201,"AAAAAGyv90Y=")</f>
        <v>#VALUE!</v>
      </c>
      <c r="BT127" t="e">
        <f>AND(tecantrop!P201,"AAAAAGyv90c=")</f>
        <v>#VALUE!</v>
      </c>
      <c r="BU127" t="e">
        <f>AND(tecantrop!Q201,"AAAAAGyv90g=")</f>
        <v>#VALUE!</v>
      </c>
      <c r="BV127" t="e">
        <f>AND(tecantrop!R201,"AAAAAGyv90k=")</f>
        <v>#VALUE!</v>
      </c>
      <c r="BW127" t="e">
        <f>AND(tecantrop!S201,"AAAAAGyv90o=")</f>
        <v>#VALUE!</v>
      </c>
      <c r="BX127" t="e">
        <f>AND(tecantrop!T201,"AAAAAGyv90s=")</f>
        <v>#VALUE!</v>
      </c>
      <c r="BY127" t="e">
        <f>AND(tecantrop!U201,"AAAAAGyv90w=")</f>
        <v>#VALUE!</v>
      </c>
      <c r="BZ127" t="e">
        <f>AND(tecantrop!V201,"AAAAAGyv900=")</f>
        <v>#VALUE!</v>
      </c>
      <c r="CA127" t="e">
        <f>AND(tecantrop!W201,"AAAAAGyv904=")</f>
        <v>#VALUE!</v>
      </c>
      <c r="CB127" t="e">
        <f>AND(tecantrop!X201,"AAAAAGyv908=")</f>
        <v>#VALUE!</v>
      </c>
      <c r="CC127">
        <f>IF(tecantrop!202:202,"AAAAAGyv91A=",0)</f>
        <v>0</v>
      </c>
      <c r="CD127" t="e">
        <f>AND(tecantrop!A202,"AAAAAGyv91E=")</f>
        <v>#VALUE!</v>
      </c>
      <c r="CE127" t="e">
        <f>AND(tecantrop!B202,"AAAAAGyv91I=")</f>
        <v>#VALUE!</v>
      </c>
      <c r="CF127" t="e">
        <f>AND(tecantrop!C202,"AAAAAGyv91M=")</f>
        <v>#VALUE!</v>
      </c>
      <c r="CG127" t="e">
        <f>AND(tecantrop!D202,"AAAAAGyv91Q=")</f>
        <v>#VALUE!</v>
      </c>
      <c r="CH127" t="e">
        <f>AND(tecantrop!E202,"AAAAAGyv91U=")</f>
        <v>#VALUE!</v>
      </c>
      <c r="CI127" t="e">
        <f>AND(tecantrop!F202,"AAAAAGyv91Y=")</f>
        <v>#VALUE!</v>
      </c>
      <c r="CJ127" t="e">
        <f>AND(tecantrop!G202,"AAAAAGyv91c=")</f>
        <v>#VALUE!</v>
      </c>
      <c r="CK127" t="e">
        <f>AND(tecantrop!H202,"AAAAAGyv91g=")</f>
        <v>#VALUE!</v>
      </c>
      <c r="CL127" t="e">
        <f>AND(tecantrop!I202,"AAAAAGyv91k=")</f>
        <v>#VALUE!</v>
      </c>
      <c r="CM127" t="e">
        <f>AND(tecantrop!J202,"AAAAAGyv91o=")</f>
        <v>#VALUE!</v>
      </c>
      <c r="CN127" t="e">
        <f>AND(tecantrop!K202,"AAAAAGyv91s=")</f>
        <v>#VALUE!</v>
      </c>
      <c r="CO127" t="e">
        <f>AND(tecantrop!L202,"AAAAAGyv91w=")</f>
        <v>#VALUE!</v>
      </c>
      <c r="CP127" t="e">
        <f>AND(tecantrop!M202,"AAAAAGyv910=")</f>
        <v>#VALUE!</v>
      </c>
      <c r="CQ127" t="e">
        <f>AND(tecantrop!N202,"AAAAAGyv914=")</f>
        <v>#VALUE!</v>
      </c>
      <c r="CR127" t="e">
        <f>AND(tecantrop!O202,"AAAAAGyv918=")</f>
        <v>#VALUE!</v>
      </c>
      <c r="CS127" t="e">
        <f>AND(tecantrop!P202,"AAAAAGyv92A=")</f>
        <v>#VALUE!</v>
      </c>
      <c r="CT127" t="e">
        <f>AND(tecantrop!Q202,"AAAAAGyv92E=")</f>
        <v>#VALUE!</v>
      </c>
      <c r="CU127" t="e">
        <f>AND(tecantrop!R202,"AAAAAGyv92I=")</f>
        <v>#VALUE!</v>
      </c>
      <c r="CV127" t="e">
        <f>AND(tecantrop!S202,"AAAAAGyv92M=")</f>
        <v>#VALUE!</v>
      </c>
      <c r="CW127" t="e">
        <f>AND(tecantrop!T202,"AAAAAGyv92Q=")</f>
        <v>#VALUE!</v>
      </c>
      <c r="CX127" t="e">
        <f>AND(tecantrop!U202,"AAAAAGyv92U=")</f>
        <v>#VALUE!</v>
      </c>
      <c r="CY127" t="e">
        <f>AND(tecantrop!V202,"AAAAAGyv92Y=")</f>
        <v>#VALUE!</v>
      </c>
      <c r="CZ127" t="e">
        <f>AND(tecantrop!W202,"AAAAAGyv92c=")</f>
        <v>#VALUE!</v>
      </c>
      <c r="DA127" t="e">
        <f>AND(tecantrop!X202,"AAAAAGyv92g=")</f>
        <v>#VALUE!</v>
      </c>
      <c r="DB127">
        <f>IF(tecantrop!203:203,"AAAAAGyv92k=",0)</f>
        <v>0</v>
      </c>
      <c r="DC127" t="e">
        <f>AND(tecantrop!A203,"AAAAAGyv92o=")</f>
        <v>#VALUE!</v>
      </c>
      <c r="DD127" t="e">
        <f>AND(tecantrop!B203,"AAAAAGyv92s=")</f>
        <v>#VALUE!</v>
      </c>
      <c r="DE127" t="e">
        <f>AND(tecantrop!C203,"AAAAAGyv92w=")</f>
        <v>#VALUE!</v>
      </c>
      <c r="DF127" t="e">
        <f>AND(tecantrop!D203,"AAAAAGyv920=")</f>
        <v>#VALUE!</v>
      </c>
      <c r="DG127" t="e">
        <f>AND(tecantrop!E203,"AAAAAGyv924=")</f>
        <v>#VALUE!</v>
      </c>
      <c r="DH127" t="e">
        <f>AND(tecantrop!F203,"AAAAAGyv928=")</f>
        <v>#VALUE!</v>
      </c>
      <c r="DI127" t="e">
        <f>AND(tecantrop!G203,"AAAAAGyv93A=")</f>
        <v>#VALUE!</v>
      </c>
      <c r="DJ127" t="e">
        <f>AND(tecantrop!H203,"AAAAAGyv93E=")</f>
        <v>#VALUE!</v>
      </c>
      <c r="DK127" t="e">
        <f>AND(tecantrop!I203,"AAAAAGyv93I=")</f>
        <v>#VALUE!</v>
      </c>
      <c r="DL127" t="e">
        <f>AND(tecantrop!J203,"AAAAAGyv93M=")</f>
        <v>#VALUE!</v>
      </c>
      <c r="DM127" t="e">
        <f>AND(tecantrop!K203,"AAAAAGyv93Q=")</f>
        <v>#VALUE!</v>
      </c>
      <c r="DN127" t="e">
        <f>AND(tecantrop!L203,"AAAAAGyv93U=")</f>
        <v>#VALUE!</v>
      </c>
      <c r="DO127" t="e">
        <f>AND(tecantrop!M203,"AAAAAGyv93Y=")</f>
        <v>#VALUE!</v>
      </c>
      <c r="DP127" t="e">
        <f>AND(tecantrop!N203,"AAAAAGyv93c=")</f>
        <v>#VALUE!</v>
      </c>
      <c r="DQ127" t="e">
        <f>AND(tecantrop!O203,"AAAAAGyv93g=")</f>
        <v>#VALUE!</v>
      </c>
      <c r="DR127" t="e">
        <f>AND(tecantrop!P203,"AAAAAGyv93k=")</f>
        <v>#VALUE!</v>
      </c>
      <c r="DS127" t="e">
        <f>AND(tecantrop!Q203,"AAAAAGyv93o=")</f>
        <v>#VALUE!</v>
      </c>
      <c r="DT127" t="e">
        <f>AND(tecantrop!R203,"AAAAAGyv93s=")</f>
        <v>#VALUE!</v>
      </c>
      <c r="DU127" t="e">
        <f>AND(tecantrop!S203,"AAAAAGyv93w=")</f>
        <v>#VALUE!</v>
      </c>
      <c r="DV127" t="e">
        <f>AND(tecantrop!T203,"AAAAAGyv930=")</f>
        <v>#VALUE!</v>
      </c>
      <c r="DW127" t="e">
        <f>AND(tecantrop!U203,"AAAAAGyv934=")</f>
        <v>#VALUE!</v>
      </c>
      <c r="DX127" t="e">
        <f>AND(tecantrop!V203,"AAAAAGyv938=")</f>
        <v>#VALUE!</v>
      </c>
      <c r="DY127" t="e">
        <f>AND(tecantrop!W203,"AAAAAGyv94A=")</f>
        <v>#VALUE!</v>
      </c>
      <c r="DZ127" t="e">
        <f>AND(tecantrop!X203,"AAAAAGyv94E=")</f>
        <v>#VALUE!</v>
      </c>
      <c r="EA127">
        <f>IF(tecantrop!204:204,"AAAAAGyv94I=",0)</f>
        <v>0</v>
      </c>
      <c r="EB127" t="e">
        <f>AND(tecantrop!A204,"AAAAAGyv94M=")</f>
        <v>#VALUE!</v>
      </c>
      <c r="EC127" t="e">
        <f>AND(tecantrop!B204,"AAAAAGyv94Q=")</f>
        <v>#VALUE!</v>
      </c>
      <c r="ED127" t="e">
        <f>AND(tecantrop!C204,"AAAAAGyv94U=")</f>
        <v>#VALUE!</v>
      </c>
      <c r="EE127" t="e">
        <f>AND(tecantrop!D204,"AAAAAGyv94Y=")</f>
        <v>#VALUE!</v>
      </c>
      <c r="EF127" t="e">
        <f>AND(tecantrop!E204,"AAAAAGyv94c=")</f>
        <v>#VALUE!</v>
      </c>
      <c r="EG127" t="e">
        <f>AND(tecantrop!F204,"AAAAAGyv94g=")</f>
        <v>#VALUE!</v>
      </c>
      <c r="EH127" t="e">
        <f>AND(tecantrop!G204,"AAAAAGyv94k=")</f>
        <v>#VALUE!</v>
      </c>
      <c r="EI127" t="e">
        <f>AND(tecantrop!H204,"AAAAAGyv94o=")</f>
        <v>#VALUE!</v>
      </c>
      <c r="EJ127" t="e">
        <f>AND(tecantrop!I204,"AAAAAGyv94s=")</f>
        <v>#VALUE!</v>
      </c>
      <c r="EK127" t="e">
        <f>AND(tecantrop!J204,"AAAAAGyv94w=")</f>
        <v>#VALUE!</v>
      </c>
      <c r="EL127" t="e">
        <f>AND(tecantrop!K204,"AAAAAGyv940=")</f>
        <v>#VALUE!</v>
      </c>
      <c r="EM127" t="e">
        <f>AND(tecantrop!L204,"AAAAAGyv944=")</f>
        <v>#VALUE!</v>
      </c>
      <c r="EN127" t="e">
        <f>AND(tecantrop!M204,"AAAAAGyv948=")</f>
        <v>#VALUE!</v>
      </c>
      <c r="EO127" t="e">
        <f>AND(tecantrop!N204,"AAAAAGyv95A=")</f>
        <v>#VALUE!</v>
      </c>
      <c r="EP127" t="e">
        <f>AND(tecantrop!O204,"AAAAAGyv95E=")</f>
        <v>#VALUE!</v>
      </c>
      <c r="EQ127" t="e">
        <f>AND(tecantrop!P204,"AAAAAGyv95I=")</f>
        <v>#VALUE!</v>
      </c>
      <c r="ER127" t="e">
        <f>AND(tecantrop!Q204,"AAAAAGyv95M=")</f>
        <v>#VALUE!</v>
      </c>
      <c r="ES127" t="e">
        <f>AND(tecantrop!R204,"AAAAAGyv95Q=")</f>
        <v>#VALUE!</v>
      </c>
      <c r="ET127" t="e">
        <f>AND(tecantrop!S204,"AAAAAGyv95U=")</f>
        <v>#VALUE!</v>
      </c>
      <c r="EU127" t="e">
        <f>AND(tecantrop!T204,"AAAAAGyv95Y=")</f>
        <v>#VALUE!</v>
      </c>
      <c r="EV127" t="e">
        <f>AND(tecantrop!U204,"AAAAAGyv95c=")</f>
        <v>#VALUE!</v>
      </c>
      <c r="EW127" t="e">
        <f>AND(tecantrop!V204,"AAAAAGyv95g=")</f>
        <v>#VALUE!</v>
      </c>
      <c r="EX127" t="e">
        <f>AND(tecantrop!W204,"AAAAAGyv95k=")</f>
        <v>#VALUE!</v>
      </c>
      <c r="EY127" t="e">
        <f>AND(tecantrop!X204,"AAAAAGyv95o=")</f>
        <v>#VALUE!</v>
      </c>
      <c r="EZ127">
        <f>IF(tecantrop!205:205,"AAAAAGyv95s=",0)</f>
        <v>0</v>
      </c>
      <c r="FA127" t="e">
        <f>AND(tecantrop!A205,"AAAAAGyv95w=")</f>
        <v>#VALUE!</v>
      </c>
      <c r="FB127" t="e">
        <f>AND(tecantrop!B205,"AAAAAGyv950=")</f>
        <v>#VALUE!</v>
      </c>
      <c r="FC127" t="e">
        <f>AND(tecantrop!C205,"AAAAAGyv954=")</f>
        <v>#VALUE!</v>
      </c>
      <c r="FD127" t="e">
        <f>AND(tecantrop!D205,"AAAAAGyv958=")</f>
        <v>#VALUE!</v>
      </c>
      <c r="FE127" t="e">
        <f>AND(tecantrop!E205,"AAAAAGyv96A=")</f>
        <v>#VALUE!</v>
      </c>
      <c r="FF127" t="e">
        <f>AND(tecantrop!F205,"AAAAAGyv96E=")</f>
        <v>#VALUE!</v>
      </c>
      <c r="FG127" t="e">
        <f>AND(tecantrop!G205,"AAAAAGyv96I=")</f>
        <v>#VALUE!</v>
      </c>
      <c r="FH127" t="e">
        <f>AND(tecantrop!H205,"AAAAAGyv96M=")</f>
        <v>#VALUE!</v>
      </c>
      <c r="FI127" t="e">
        <f>AND(tecantrop!I205,"AAAAAGyv96Q=")</f>
        <v>#VALUE!</v>
      </c>
      <c r="FJ127" t="e">
        <f>AND(tecantrop!J205,"AAAAAGyv96U=")</f>
        <v>#VALUE!</v>
      </c>
      <c r="FK127" t="e">
        <f>AND(tecantrop!K205,"AAAAAGyv96Y=")</f>
        <v>#VALUE!</v>
      </c>
      <c r="FL127" t="e">
        <f>AND(tecantrop!L205,"AAAAAGyv96c=")</f>
        <v>#VALUE!</v>
      </c>
      <c r="FM127" t="e">
        <f>AND(tecantrop!M205,"AAAAAGyv96g=")</f>
        <v>#VALUE!</v>
      </c>
      <c r="FN127" t="e">
        <f>AND(tecantrop!N205,"AAAAAGyv96k=")</f>
        <v>#VALUE!</v>
      </c>
      <c r="FO127" t="e">
        <f>AND(tecantrop!O205,"AAAAAGyv96o=")</f>
        <v>#VALUE!</v>
      </c>
      <c r="FP127" t="e">
        <f>AND(tecantrop!P205,"AAAAAGyv96s=")</f>
        <v>#VALUE!</v>
      </c>
      <c r="FQ127" t="e">
        <f>AND(tecantrop!Q205,"AAAAAGyv96w=")</f>
        <v>#VALUE!</v>
      </c>
      <c r="FR127" t="e">
        <f>AND(tecantrop!R205,"AAAAAGyv960=")</f>
        <v>#VALUE!</v>
      </c>
      <c r="FS127" t="e">
        <f>AND(tecantrop!S205,"AAAAAGyv964=")</f>
        <v>#VALUE!</v>
      </c>
      <c r="FT127" t="e">
        <f>AND(tecantrop!T205,"AAAAAGyv968=")</f>
        <v>#VALUE!</v>
      </c>
      <c r="FU127" t="e">
        <f>AND(tecantrop!U205,"AAAAAGyv97A=")</f>
        <v>#VALUE!</v>
      </c>
      <c r="FV127" t="e">
        <f>AND(tecantrop!V205,"AAAAAGyv97E=")</f>
        <v>#VALUE!</v>
      </c>
      <c r="FW127" t="e">
        <f>AND(tecantrop!W205,"AAAAAGyv97I=")</f>
        <v>#VALUE!</v>
      </c>
      <c r="FX127" t="e">
        <f>AND(tecantrop!X205,"AAAAAGyv97M=")</f>
        <v>#VALUE!</v>
      </c>
      <c r="FY127">
        <f>IF(tecantrop!206:206,"AAAAAGyv97Q=",0)</f>
        <v>0</v>
      </c>
      <c r="FZ127" t="e">
        <f>AND(tecantrop!A206,"AAAAAGyv97U=")</f>
        <v>#VALUE!</v>
      </c>
      <c r="GA127" t="e">
        <f>AND(tecantrop!B206,"AAAAAGyv97Y=")</f>
        <v>#VALUE!</v>
      </c>
      <c r="GB127" t="e">
        <f>AND(tecantrop!C206,"AAAAAGyv97c=")</f>
        <v>#VALUE!</v>
      </c>
      <c r="GC127" t="e">
        <f>AND(tecantrop!D206,"AAAAAGyv97g=")</f>
        <v>#VALUE!</v>
      </c>
      <c r="GD127" t="e">
        <f>AND(tecantrop!E206,"AAAAAGyv97k=")</f>
        <v>#VALUE!</v>
      </c>
      <c r="GE127" t="e">
        <f>AND(tecantrop!F206,"AAAAAGyv97o=")</f>
        <v>#VALUE!</v>
      </c>
      <c r="GF127" t="e">
        <f>AND(tecantrop!G206,"AAAAAGyv97s=")</f>
        <v>#VALUE!</v>
      </c>
      <c r="GG127" t="e">
        <f>AND(tecantrop!H206,"AAAAAGyv97w=")</f>
        <v>#VALUE!</v>
      </c>
      <c r="GH127" t="e">
        <f>AND(tecantrop!I206,"AAAAAGyv970=")</f>
        <v>#VALUE!</v>
      </c>
      <c r="GI127" t="e">
        <f>AND(tecantrop!J206,"AAAAAGyv974=")</f>
        <v>#VALUE!</v>
      </c>
      <c r="GJ127" t="e">
        <f>AND(tecantrop!K206,"AAAAAGyv978=")</f>
        <v>#VALUE!</v>
      </c>
      <c r="GK127" t="e">
        <f>AND(tecantrop!L206,"AAAAAGyv98A=")</f>
        <v>#VALUE!</v>
      </c>
      <c r="GL127" t="e">
        <f>AND(tecantrop!M206,"AAAAAGyv98E=")</f>
        <v>#VALUE!</v>
      </c>
      <c r="GM127" t="e">
        <f>AND(tecantrop!N206,"AAAAAGyv98I=")</f>
        <v>#VALUE!</v>
      </c>
      <c r="GN127" t="e">
        <f>AND(tecantrop!O206,"AAAAAGyv98M=")</f>
        <v>#VALUE!</v>
      </c>
      <c r="GO127" t="e">
        <f>AND(tecantrop!P206,"AAAAAGyv98Q=")</f>
        <v>#VALUE!</v>
      </c>
      <c r="GP127" t="e">
        <f>AND(tecantrop!Q206,"AAAAAGyv98U=")</f>
        <v>#VALUE!</v>
      </c>
      <c r="GQ127" t="e">
        <f>AND(tecantrop!R206,"AAAAAGyv98Y=")</f>
        <v>#VALUE!</v>
      </c>
      <c r="GR127" t="e">
        <f>AND(tecantrop!S206,"AAAAAGyv98c=")</f>
        <v>#VALUE!</v>
      </c>
      <c r="GS127" t="e">
        <f>AND(tecantrop!T206,"AAAAAGyv98g=")</f>
        <v>#VALUE!</v>
      </c>
      <c r="GT127" t="e">
        <f>AND(tecantrop!U206,"AAAAAGyv98k=")</f>
        <v>#VALUE!</v>
      </c>
      <c r="GU127" t="e">
        <f>AND(tecantrop!V206,"AAAAAGyv98o=")</f>
        <v>#VALUE!</v>
      </c>
      <c r="GV127" t="e">
        <f>AND(tecantrop!W206,"AAAAAGyv98s=")</f>
        <v>#VALUE!</v>
      </c>
      <c r="GW127" t="e">
        <f>AND(tecantrop!X206,"AAAAAGyv98w=")</f>
        <v>#VALUE!</v>
      </c>
      <c r="GX127">
        <f>IF(tecantrop!207:207,"AAAAAGyv980=",0)</f>
        <v>0</v>
      </c>
      <c r="GY127" t="e">
        <f>AND(tecantrop!A207,"AAAAAGyv984=")</f>
        <v>#VALUE!</v>
      </c>
      <c r="GZ127" t="e">
        <f>AND(tecantrop!B207,"AAAAAGyv988=")</f>
        <v>#VALUE!</v>
      </c>
      <c r="HA127" t="e">
        <f>AND(tecantrop!C207,"AAAAAGyv99A=")</f>
        <v>#VALUE!</v>
      </c>
      <c r="HB127" t="e">
        <f>AND(tecantrop!D207,"AAAAAGyv99E=")</f>
        <v>#VALUE!</v>
      </c>
      <c r="HC127" t="e">
        <f>AND(tecantrop!E207,"AAAAAGyv99I=")</f>
        <v>#VALUE!</v>
      </c>
      <c r="HD127" t="e">
        <f>AND(tecantrop!F207,"AAAAAGyv99M=")</f>
        <v>#VALUE!</v>
      </c>
      <c r="HE127" t="e">
        <f>AND(tecantrop!G207,"AAAAAGyv99Q=")</f>
        <v>#VALUE!</v>
      </c>
      <c r="HF127" t="e">
        <f>AND(tecantrop!H207,"AAAAAGyv99U=")</f>
        <v>#VALUE!</v>
      </c>
      <c r="HG127" t="e">
        <f>AND(tecantrop!I207,"AAAAAGyv99Y=")</f>
        <v>#VALUE!</v>
      </c>
      <c r="HH127" t="e">
        <f>AND(tecantrop!J207,"AAAAAGyv99c=")</f>
        <v>#VALUE!</v>
      </c>
      <c r="HI127" t="e">
        <f>AND(tecantrop!K207,"AAAAAGyv99g=")</f>
        <v>#VALUE!</v>
      </c>
      <c r="HJ127" t="e">
        <f>AND(tecantrop!L207,"AAAAAGyv99k=")</f>
        <v>#VALUE!</v>
      </c>
      <c r="HK127" t="e">
        <f>AND(tecantrop!M207,"AAAAAGyv99o=")</f>
        <v>#VALUE!</v>
      </c>
      <c r="HL127" t="e">
        <f>AND(tecantrop!N207,"AAAAAGyv99s=")</f>
        <v>#VALUE!</v>
      </c>
      <c r="HM127" t="e">
        <f>AND(tecantrop!O207,"AAAAAGyv99w=")</f>
        <v>#VALUE!</v>
      </c>
      <c r="HN127" t="e">
        <f>AND(tecantrop!P207,"AAAAAGyv990=")</f>
        <v>#VALUE!</v>
      </c>
      <c r="HO127" t="e">
        <f>AND(tecantrop!Q207,"AAAAAGyv994=")</f>
        <v>#VALUE!</v>
      </c>
      <c r="HP127" t="e">
        <f>AND(tecantrop!R207,"AAAAAGyv998=")</f>
        <v>#VALUE!</v>
      </c>
      <c r="HQ127" t="e">
        <f>AND(tecantrop!S207,"AAAAAGyv9+A=")</f>
        <v>#VALUE!</v>
      </c>
      <c r="HR127" t="e">
        <f>AND(tecantrop!T207,"AAAAAGyv9+E=")</f>
        <v>#VALUE!</v>
      </c>
      <c r="HS127" t="e">
        <f>AND(tecantrop!U207,"AAAAAGyv9+I=")</f>
        <v>#VALUE!</v>
      </c>
      <c r="HT127" t="e">
        <f>AND(tecantrop!V207,"AAAAAGyv9+M=")</f>
        <v>#VALUE!</v>
      </c>
      <c r="HU127" t="e">
        <f>AND(tecantrop!W207,"AAAAAGyv9+Q=")</f>
        <v>#VALUE!</v>
      </c>
      <c r="HV127" t="e">
        <f>AND(tecantrop!X207,"AAAAAGyv9+U=")</f>
        <v>#VALUE!</v>
      </c>
      <c r="HW127">
        <f>IF(tecantrop!208:208,"AAAAAGyv9+Y=",0)</f>
        <v>0</v>
      </c>
      <c r="HX127" t="e">
        <f>AND(tecantrop!A208,"AAAAAGyv9+c=")</f>
        <v>#VALUE!</v>
      </c>
      <c r="HY127" t="e">
        <f>AND(tecantrop!B208,"AAAAAGyv9+g=")</f>
        <v>#VALUE!</v>
      </c>
      <c r="HZ127" t="e">
        <f>AND(tecantrop!C208,"AAAAAGyv9+k=")</f>
        <v>#VALUE!</v>
      </c>
      <c r="IA127" t="e">
        <f>AND(tecantrop!D208,"AAAAAGyv9+o=")</f>
        <v>#VALUE!</v>
      </c>
      <c r="IB127" t="e">
        <f>AND(tecantrop!E208,"AAAAAGyv9+s=")</f>
        <v>#VALUE!</v>
      </c>
      <c r="IC127" t="e">
        <f>AND(tecantrop!F208,"AAAAAGyv9+w=")</f>
        <v>#VALUE!</v>
      </c>
      <c r="ID127" t="e">
        <f>AND(tecantrop!G208,"AAAAAGyv9+0=")</f>
        <v>#VALUE!</v>
      </c>
      <c r="IE127" t="e">
        <f>AND(tecantrop!H208,"AAAAAGyv9+4=")</f>
        <v>#VALUE!</v>
      </c>
      <c r="IF127" t="e">
        <f>AND(tecantrop!I208,"AAAAAGyv9+8=")</f>
        <v>#VALUE!</v>
      </c>
      <c r="IG127" t="e">
        <f>AND(tecantrop!J208,"AAAAAGyv9/A=")</f>
        <v>#VALUE!</v>
      </c>
      <c r="IH127" t="e">
        <f>AND(tecantrop!K208,"AAAAAGyv9/E=")</f>
        <v>#VALUE!</v>
      </c>
      <c r="II127" t="e">
        <f>AND(tecantrop!L208,"AAAAAGyv9/I=")</f>
        <v>#VALUE!</v>
      </c>
      <c r="IJ127" t="e">
        <f>AND(tecantrop!M208,"AAAAAGyv9/M=")</f>
        <v>#VALUE!</v>
      </c>
      <c r="IK127" t="e">
        <f>AND(tecantrop!N208,"AAAAAGyv9/Q=")</f>
        <v>#VALUE!</v>
      </c>
      <c r="IL127" t="e">
        <f>AND(tecantrop!O208,"AAAAAGyv9/U=")</f>
        <v>#VALUE!</v>
      </c>
      <c r="IM127" t="e">
        <f>AND(tecantrop!P208,"AAAAAGyv9/Y=")</f>
        <v>#VALUE!</v>
      </c>
      <c r="IN127" t="e">
        <f>AND(tecantrop!Q208,"AAAAAGyv9/c=")</f>
        <v>#VALUE!</v>
      </c>
      <c r="IO127" t="e">
        <f>AND(tecantrop!R208,"AAAAAGyv9/g=")</f>
        <v>#VALUE!</v>
      </c>
      <c r="IP127" t="e">
        <f>AND(tecantrop!S208,"AAAAAGyv9/k=")</f>
        <v>#VALUE!</v>
      </c>
      <c r="IQ127" t="e">
        <f>AND(tecantrop!T208,"AAAAAGyv9/o=")</f>
        <v>#VALUE!</v>
      </c>
      <c r="IR127" t="e">
        <f>AND(tecantrop!U208,"AAAAAGyv9/s=")</f>
        <v>#VALUE!</v>
      </c>
      <c r="IS127" t="e">
        <f>AND(tecantrop!V208,"AAAAAGyv9/w=")</f>
        <v>#VALUE!</v>
      </c>
      <c r="IT127" t="e">
        <f>AND(tecantrop!W208,"AAAAAGyv9/0=")</f>
        <v>#VALUE!</v>
      </c>
      <c r="IU127" t="e">
        <f>AND(tecantrop!X208,"AAAAAGyv9/4=")</f>
        <v>#VALUE!</v>
      </c>
      <c r="IV127">
        <f>IF(tecantrop!209:209,"AAAAAGyv9/8=",0)</f>
        <v>0</v>
      </c>
    </row>
    <row r="128" spans="1:256" x14ac:dyDescent="0.2">
      <c r="A128" t="e">
        <f>AND(tecantrop!A209,"AAAAAG+19AA=")</f>
        <v>#VALUE!</v>
      </c>
      <c r="B128" t="e">
        <f>AND(tecantrop!B209,"AAAAAG+19AE=")</f>
        <v>#VALUE!</v>
      </c>
      <c r="C128" t="e">
        <f>AND(tecantrop!C209,"AAAAAG+19AI=")</f>
        <v>#VALUE!</v>
      </c>
      <c r="D128" t="e">
        <f>AND(tecantrop!D209,"AAAAAG+19AM=")</f>
        <v>#VALUE!</v>
      </c>
      <c r="E128" t="e">
        <f>AND(tecantrop!E209,"AAAAAG+19AQ=")</f>
        <v>#VALUE!</v>
      </c>
      <c r="F128" t="e">
        <f>AND(tecantrop!F209,"AAAAAG+19AU=")</f>
        <v>#VALUE!</v>
      </c>
      <c r="G128" t="e">
        <f>AND(tecantrop!G209,"AAAAAG+19AY=")</f>
        <v>#VALUE!</v>
      </c>
      <c r="H128" t="e">
        <f>AND(tecantrop!H209,"AAAAAG+19Ac=")</f>
        <v>#VALUE!</v>
      </c>
      <c r="I128" t="e">
        <f>AND(tecantrop!I209,"AAAAAG+19Ag=")</f>
        <v>#VALUE!</v>
      </c>
      <c r="J128" t="e">
        <f>AND(tecantrop!J209,"AAAAAG+19Ak=")</f>
        <v>#VALUE!</v>
      </c>
      <c r="K128" t="e">
        <f>AND(tecantrop!K209,"AAAAAG+19Ao=")</f>
        <v>#VALUE!</v>
      </c>
      <c r="L128" t="e">
        <f>AND(tecantrop!L209,"AAAAAG+19As=")</f>
        <v>#VALUE!</v>
      </c>
      <c r="M128" t="e">
        <f>AND(tecantrop!M209,"AAAAAG+19Aw=")</f>
        <v>#VALUE!</v>
      </c>
      <c r="N128" t="e">
        <f>AND(tecantrop!N209,"AAAAAG+19A0=")</f>
        <v>#VALUE!</v>
      </c>
      <c r="O128" t="e">
        <f>AND(tecantrop!O209,"AAAAAG+19A4=")</f>
        <v>#VALUE!</v>
      </c>
      <c r="P128" t="e">
        <f>AND(tecantrop!P209,"AAAAAG+19A8=")</f>
        <v>#VALUE!</v>
      </c>
      <c r="Q128" t="e">
        <f>AND(tecantrop!Q209,"AAAAAG+19BA=")</f>
        <v>#VALUE!</v>
      </c>
      <c r="R128" t="e">
        <f>AND(tecantrop!R209,"AAAAAG+19BE=")</f>
        <v>#VALUE!</v>
      </c>
      <c r="S128" t="e">
        <f>AND(tecantrop!S209,"AAAAAG+19BI=")</f>
        <v>#VALUE!</v>
      </c>
      <c r="T128" t="e">
        <f>AND(tecantrop!T209,"AAAAAG+19BM=")</f>
        <v>#VALUE!</v>
      </c>
      <c r="U128" t="e">
        <f>AND(tecantrop!U209,"AAAAAG+19BQ=")</f>
        <v>#VALUE!</v>
      </c>
      <c r="V128" t="e">
        <f>AND(tecantrop!V209,"AAAAAG+19BU=")</f>
        <v>#VALUE!</v>
      </c>
      <c r="W128" t="e">
        <f>AND(tecantrop!W209,"AAAAAG+19BY=")</f>
        <v>#VALUE!</v>
      </c>
      <c r="X128" t="e">
        <f>AND(tecantrop!X209,"AAAAAG+19Bc=")</f>
        <v>#VALUE!</v>
      </c>
      <c r="Y128">
        <f>IF(tecantrop!210:210,"AAAAAG+19Bg=",0)</f>
        <v>0</v>
      </c>
      <c r="Z128" t="e">
        <f>AND(tecantrop!A210,"AAAAAG+19Bk=")</f>
        <v>#VALUE!</v>
      </c>
      <c r="AA128" t="e">
        <f>AND(tecantrop!B210,"AAAAAG+19Bo=")</f>
        <v>#VALUE!</v>
      </c>
      <c r="AB128" t="e">
        <f>AND(tecantrop!C210,"AAAAAG+19Bs=")</f>
        <v>#VALUE!</v>
      </c>
      <c r="AC128" t="e">
        <f>AND(tecantrop!D210,"AAAAAG+19Bw=")</f>
        <v>#VALUE!</v>
      </c>
      <c r="AD128" t="e">
        <f>AND(tecantrop!E210,"AAAAAG+19B0=")</f>
        <v>#VALUE!</v>
      </c>
      <c r="AE128" t="e">
        <f>AND(tecantrop!F210,"AAAAAG+19B4=")</f>
        <v>#VALUE!</v>
      </c>
      <c r="AF128" t="e">
        <f>AND(tecantrop!G210,"AAAAAG+19B8=")</f>
        <v>#VALUE!</v>
      </c>
      <c r="AG128" t="e">
        <f>AND(tecantrop!H210,"AAAAAG+19CA=")</f>
        <v>#VALUE!</v>
      </c>
      <c r="AH128" t="e">
        <f>AND(tecantrop!I210,"AAAAAG+19CE=")</f>
        <v>#VALUE!</v>
      </c>
      <c r="AI128" t="e">
        <f>AND(tecantrop!J210,"AAAAAG+19CI=")</f>
        <v>#VALUE!</v>
      </c>
      <c r="AJ128" t="e">
        <f>AND(tecantrop!K210,"AAAAAG+19CM=")</f>
        <v>#VALUE!</v>
      </c>
      <c r="AK128" t="e">
        <f>AND(tecantrop!L210,"AAAAAG+19CQ=")</f>
        <v>#VALUE!</v>
      </c>
      <c r="AL128" t="e">
        <f>AND(tecantrop!M210,"AAAAAG+19CU=")</f>
        <v>#VALUE!</v>
      </c>
      <c r="AM128" t="e">
        <f>AND(tecantrop!N210,"AAAAAG+19CY=")</f>
        <v>#VALUE!</v>
      </c>
      <c r="AN128" t="e">
        <f>AND(tecantrop!O210,"AAAAAG+19Cc=")</f>
        <v>#VALUE!</v>
      </c>
      <c r="AO128" t="e">
        <f>AND(tecantrop!P210,"AAAAAG+19Cg=")</f>
        <v>#VALUE!</v>
      </c>
      <c r="AP128" t="e">
        <f>AND(tecantrop!Q210,"AAAAAG+19Ck=")</f>
        <v>#VALUE!</v>
      </c>
      <c r="AQ128" t="e">
        <f>AND(tecantrop!R210,"AAAAAG+19Co=")</f>
        <v>#VALUE!</v>
      </c>
      <c r="AR128" t="e">
        <f>AND(tecantrop!S210,"AAAAAG+19Cs=")</f>
        <v>#VALUE!</v>
      </c>
      <c r="AS128" t="e">
        <f>AND(tecantrop!T210,"AAAAAG+19Cw=")</f>
        <v>#VALUE!</v>
      </c>
      <c r="AT128" t="e">
        <f>AND(tecantrop!U210,"AAAAAG+19C0=")</f>
        <v>#VALUE!</v>
      </c>
      <c r="AU128" t="e">
        <f>AND(tecantrop!V210,"AAAAAG+19C4=")</f>
        <v>#VALUE!</v>
      </c>
      <c r="AV128" t="e">
        <f>AND(tecantrop!W210,"AAAAAG+19C8=")</f>
        <v>#VALUE!</v>
      </c>
      <c r="AW128" t="e">
        <f>AND(tecantrop!X210,"AAAAAG+19DA=")</f>
        <v>#VALUE!</v>
      </c>
      <c r="AX128">
        <f>IF(tecantrop!211:211,"AAAAAG+19DE=",0)</f>
        <v>0</v>
      </c>
      <c r="AY128" t="e">
        <f>AND(tecantrop!A211,"AAAAAG+19DI=")</f>
        <v>#VALUE!</v>
      </c>
      <c r="AZ128" t="e">
        <f>AND(tecantrop!B211,"AAAAAG+19DM=")</f>
        <v>#VALUE!</v>
      </c>
      <c r="BA128" t="e">
        <f>AND(tecantrop!C211,"AAAAAG+19DQ=")</f>
        <v>#VALUE!</v>
      </c>
      <c r="BB128" t="e">
        <f>AND(tecantrop!D211,"AAAAAG+19DU=")</f>
        <v>#VALUE!</v>
      </c>
      <c r="BC128" t="e">
        <f>AND(tecantrop!E211,"AAAAAG+19DY=")</f>
        <v>#VALUE!</v>
      </c>
      <c r="BD128" t="e">
        <f>AND(tecantrop!F211,"AAAAAG+19Dc=")</f>
        <v>#VALUE!</v>
      </c>
      <c r="BE128" t="e">
        <f>AND(tecantrop!G211,"AAAAAG+19Dg=")</f>
        <v>#VALUE!</v>
      </c>
      <c r="BF128" t="e">
        <f>AND(tecantrop!H211,"AAAAAG+19Dk=")</f>
        <v>#VALUE!</v>
      </c>
      <c r="BG128" t="e">
        <f>AND(tecantrop!I211,"AAAAAG+19Do=")</f>
        <v>#VALUE!</v>
      </c>
      <c r="BH128" t="e">
        <f>AND(tecantrop!J211,"AAAAAG+19Ds=")</f>
        <v>#VALUE!</v>
      </c>
      <c r="BI128" t="e">
        <f>AND(tecantrop!K211,"AAAAAG+19Dw=")</f>
        <v>#VALUE!</v>
      </c>
      <c r="BJ128" t="e">
        <f>AND(tecantrop!L211,"AAAAAG+19D0=")</f>
        <v>#VALUE!</v>
      </c>
      <c r="BK128" t="e">
        <f>AND(tecantrop!M211,"AAAAAG+19D4=")</f>
        <v>#VALUE!</v>
      </c>
      <c r="BL128" t="e">
        <f>AND(tecantrop!N211,"AAAAAG+19D8=")</f>
        <v>#VALUE!</v>
      </c>
      <c r="BM128" t="e">
        <f>AND(tecantrop!O211,"AAAAAG+19EA=")</f>
        <v>#VALUE!</v>
      </c>
      <c r="BN128" t="e">
        <f>AND(tecantrop!P211,"AAAAAG+19EE=")</f>
        <v>#VALUE!</v>
      </c>
      <c r="BO128" t="e">
        <f>AND(tecantrop!Q211,"AAAAAG+19EI=")</f>
        <v>#VALUE!</v>
      </c>
      <c r="BP128" t="e">
        <f>AND(tecantrop!R211,"AAAAAG+19EM=")</f>
        <v>#VALUE!</v>
      </c>
      <c r="BQ128" t="e">
        <f>AND(tecantrop!S211,"AAAAAG+19EQ=")</f>
        <v>#VALUE!</v>
      </c>
      <c r="BR128" t="e">
        <f>AND(tecantrop!T211,"AAAAAG+19EU=")</f>
        <v>#VALUE!</v>
      </c>
      <c r="BS128" t="e">
        <f>AND(tecantrop!U211,"AAAAAG+19EY=")</f>
        <v>#VALUE!</v>
      </c>
      <c r="BT128" t="e">
        <f>AND(tecantrop!V211,"AAAAAG+19Ec=")</f>
        <v>#VALUE!</v>
      </c>
      <c r="BU128" t="e">
        <f>AND(tecantrop!W211,"AAAAAG+19Eg=")</f>
        <v>#VALUE!</v>
      </c>
      <c r="BV128" t="e">
        <f>AND(tecantrop!X211,"AAAAAG+19Ek=")</f>
        <v>#VALUE!</v>
      </c>
      <c r="BW128">
        <f>IF(tecantrop!212:212,"AAAAAG+19Eo=",0)</f>
        <v>0</v>
      </c>
      <c r="BX128" t="e">
        <f>AND(tecantrop!A212,"AAAAAG+19Es=")</f>
        <v>#VALUE!</v>
      </c>
      <c r="BY128" t="e">
        <f>AND(tecantrop!B212,"AAAAAG+19Ew=")</f>
        <v>#VALUE!</v>
      </c>
      <c r="BZ128" t="e">
        <f>AND(tecantrop!C212,"AAAAAG+19E0=")</f>
        <v>#VALUE!</v>
      </c>
      <c r="CA128" t="e">
        <f>AND(tecantrop!D212,"AAAAAG+19E4=")</f>
        <v>#VALUE!</v>
      </c>
      <c r="CB128" t="e">
        <f>AND(tecantrop!E212,"AAAAAG+19E8=")</f>
        <v>#VALUE!</v>
      </c>
      <c r="CC128" t="e">
        <f>AND(tecantrop!F212,"AAAAAG+19FA=")</f>
        <v>#VALUE!</v>
      </c>
      <c r="CD128" t="e">
        <f>AND(tecantrop!G212,"AAAAAG+19FE=")</f>
        <v>#VALUE!</v>
      </c>
      <c r="CE128" t="e">
        <f>AND(tecantrop!H212,"AAAAAG+19FI=")</f>
        <v>#VALUE!</v>
      </c>
      <c r="CF128" t="e">
        <f>AND(tecantrop!I212,"AAAAAG+19FM=")</f>
        <v>#VALUE!</v>
      </c>
      <c r="CG128" t="e">
        <f>AND(tecantrop!J212,"AAAAAG+19FQ=")</f>
        <v>#VALUE!</v>
      </c>
      <c r="CH128" t="e">
        <f>AND(tecantrop!K212,"AAAAAG+19FU=")</f>
        <v>#VALUE!</v>
      </c>
      <c r="CI128" t="e">
        <f>AND(tecantrop!L212,"AAAAAG+19FY=")</f>
        <v>#VALUE!</v>
      </c>
      <c r="CJ128" t="e">
        <f>AND(tecantrop!M212,"AAAAAG+19Fc=")</f>
        <v>#VALUE!</v>
      </c>
      <c r="CK128" t="e">
        <f>AND(tecantrop!N212,"AAAAAG+19Fg=")</f>
        <v>#VALUE!</v>
      </c>
      <c r="CL128" t="e">
        <f>AND(tecantrop!O212,"AAAAAG+19Fk=")</f>
        <v>#VALUE!</v>
      </c>
      <c r="CM128" t="e">
        <f>AND(tecantrop!P212,"AAAAAG+19Fo=")</f>
        <v>#VALUE!</v>
      </c>
      <c r="CN128" t="e">
        <f>AND(tecantrop!Q212,"AAAAAG+19Fs=")</f>
        <v>#VALUE!</v>
      </c>
      <c r="CO128" t="e">
        <f>AND(tecantrop!R212,"AAAAAG+19Fw=")</f>
        <v>#VALUE!</v>
      </c>
      <c r="CP128" t="e">
        <f>AND(tecantrop!S212,"AAAAAG+19F0=")</f>
        <v>#VALUE!</v>
      </c>
      <c r="CQ128" t="e">
        <f>AND(tecantrop!T212,"AAAAAG+19F4=")</f>
        <v>#VALUE!</v>
      </c>
      <c r="CR128" t="e">
        <f>AND(tecantrop!U212,"AAAAAG+19F8=")</f>
        <v>#VALUE!</v>
      </c>
      <c r="CS128" t="e">
        <f>AND(tecantrop!V212,"AAAAAG+19GA=")</f>
        <v>#VALUE!</v>
      </c>
      <c r="CT128" t="e">
        <f>AND(tecantrop!W212,"AAAAAG+19GE=")</f>
        <v>#VALUE!</v>
      </c>
      <c r="CU128" t="e">
        <f>AND(tecantrop!X212,"AAAAAG+19GI=")</f>
        <v>#VALUE!</v>
      </c>
      <c r="CV128">
        <f>IF(tecantrop!213:213,"AAAAAG+19GM=",0)</f>
        <v>0</v>
      </c>
      <c r="CW128" t="e">
        <f>AND(tecantrop!A213,"AAAAAG+19GQ=")</f>
        <v>#VALUE!</v>
      </c>
      <c r="CX128" t="e">
        <f>AND(tecantrop!B213,"AAAAAG+19GU=")</f>
        <v>#VALUE!</v>
      </c>
      <c r="CY128" t="e">
        <f>AND(tecantrop!C213,"AAAAAG+19GY=")</f>
        <v>#VALUE!</v>
      </c>
      <c r="CZ128" t="e">
        <f>AND(tecantrop!D213,"AAAAAG+19Gc=")</f>
        <v>#VALUE!</v>
      </c>
      <c r="DA128" t="e">
        <f>AND(tecantrop!E213,"AAAAAG+19Gg=")</f>
        <v>#VALUE!</v>
      </c>
      <c r="DB128" t="e">
        <f>AND(tecantrop!F213,"AAAAAG+19Gk=")</f>
        <v>#VALUE!</v>
      </c>
      <c r="DC128" t="e">
        <f>AND(tecantrop!G213,"AAAAAG+19Go=")</f>
        <v>#VALUE!</v>
      </c>
      <c r="DD128" t="e">
        <f>AND(tecantrop!H213,"AAAAAG+19Gs=")</f>
        <v>#VALUE!</v>
      </c>
      <c r="DE128" t="e">
        <f>AND(tecantrop!I213,"AAAAAG+19Gw=")</f>
        <v>#VALUE!</v>
      </c>
      <c r="DF128" t="e">
        <f>AND(tecantrop!J213,"AAAAAG+19G0=")</f>
        <v>#VALUE!</v>
      </c>
      <c r="DG128" t="e">
        <f>AND(tecantrop!K213,"AAAAAG+19G4=")</f>
        <v>#VALUE!</v>
      </c>
      <c r="DH128" t="e">
        <f>AND(tecantrop!L213,"AAAAAG+19G8=")</f>
        <v>#VALUE!</v>
      </c>
      <c r="DI128" t="e">
        <f>AND(tecantrop!M213,"AAAAAG+19HA=")</f>
        <v>#VALUE!</v>
      </c>
      <c r="DJ128" t="e">
        <f>AND(tecantrop!N213,"AAAAAG+19HE=")</f>
        <v>#VALUE!</v>
      </c>
      <c r="DK128" t="e">
        <f>AND(tecantrop!O213,"AAAAAG+19HI=")</f>
        <v>#VALUE!</v>
      </c>
      <c r="DL128" t="e">
        <f>AND(tecantrop!P213,"AAAAAG+19HM=")</f>
        <v>#VALUE!</v>
      </c>
      <c r="DM128" t="e">
        <f>AND(tecantrop!Q213,"AAAAAG+19HQ=")</f>
        <v>#VALUE!</v>
      </c>
      <c r="DN128" t="e">
        <f>AND(tecantrop!R213,"AAAAAG+19HU=")</f>
        <v>#VALUE!</v>
      </c>
      <c r="DO128" t="e">
        <f>AND(tecantrop!S213,"AAAAAG+19HY=")</f>
        <v>#VALUE!</v>
      </c>
      <c r="DP128" t="e">
        <f>AND(tecantrop!T213,"AAAAAG+19Hc=")</f>
        <v>#VALUE!</v>
      </c>
      <c r="DQ128" t="e">
        <f>AND(tecantrop!U213,"AAAAAG+19Hg=")</f>
        <v>#VALUE!</v>
      </c>
      <c r="DR128" t="e">
        <f>AND(tecantrop!V213,"AAAAAG+19Hk=")</f>
        <v>#VALUE!</v>
      </c>
      <c r="DS128" t="e">
        <f>AND(tecantrop!W213,"AAAAAG+19Ho=")</f>
        <v>#VALUE!</v>
      </c>
      <c r="DT128" t="e">
        <f>AND(tecantrop!X213,"AAAAAG+19Hs=")</f>
        <v>#VALUE!</v>
      </c>
      <c r="DU128">
        <f>IF(tecantrop!214:214,"AAAAAG+19Hw=",0)</f>
        <v>0</v>
      </c>
      <c r="DV128" t="e">
        <f>AND(tecantrop!A214,"AAAAAG+19H0=")</f>
        <v>#VALUE!</v>
      </c>
      <c r="DW128" t="e">
        <f>AND(tecantrop!B214,"AAAAAG+19H4=")</f>
        <v>#VALUE!</v>
      </c>
      <c r="DX128" t="e">
        <f>AND(tecantrop!C214,"AAAAAG+19H8=")</f>
        <v>#VALUE!</v>
      </c>
      <c r="DY128" t="e">
        <f>AND(tecantrop!D214,"AAAAAG+19IA=")</f>
        <v>#VALUE!</v>
      </c>
      <c r="DZ128" t="e">
        <f>AND(tecantrop!E214,"AAAAAG+19IE=")</f>
        <v>#VALUE!</v>
      </c>
      <c r="EA128" t="e">
        <f>AND(tecantrop!F214,"AAAAAG+19II=")</f>
        <v>#VALUE!</v>
      </c>
      <c r="EB128" t="e">
        <f>AND(tecantrop!G214,"AAAAAG+19IM=")</f>
        <v>#VALUE!</v>
      </c>
      <c r="EC128" t="e">
        <f>AND(tecantrop!H214,"AAAAAG+19IQ=")</f>
        <v>#VALUE!</v>
      </c>
      <c r="ED128" t="e">
        <f>AND(tecantrop!I214,"AAAAAG+19IU=")</f>
        <v>#VALUE!</v>
      </c>
      <c r="EE128" t="e">
        <f>AND(tecantrop!J214,"AAAAAG+19IY=")</f>
        <v>#VALUE!</v>
      </c>
      <c r="EF128" t="e">
        <f>AND(tecantrop!K214,"AAAAAG+19Ic=")</f>
        <v>#VALUE!</v>
      </c>
      <c r="EG128" t="e">
        <f>AND(tecantrop!L214,"AAAAAG+19Ig=")</f>
        <v>#VALUE!</v>
      </c>
      <c r="EH128" t="e">
        <f>AND(tecantrop!M214,"AAAAAG+19Ik=")</f>
        <v>#VALUE!</v>
      </c>
      <c r="EI128" t="e">
        <f>AND(tecantrop!N214,"AAAAAG+19Io=")</f>
        <v>#VALUE!</v>
      </c>
      <c r="EJ128" t="e">
        <f>AND(tecantrop!O214,"AAAAAG+19Is=")</f>
        <v>#VALUE!</v>
      </c>
      <c r="EK128" t="e">
        <f>AND(tecantrop!P214,"AAAAAG+19Iw=")</f>
        <v>#VALUE!</v>
      </c>
      <c r="EL128" t="e">
        <f>AND(tecantrop!Q214,"AAAAAG+19I0=")</f>
        <v>#VALUE!</v>
      </c>
      <c r="EM128" t="e">
        <f>AND(tecantrop!R214,"AAAAAG+19I4=")</f>
        <v>#VALUE!</v>
      </c>
      <c r="EN128" t="e">
        <f>AND(tecantrop!S214,"AAAAAG+19I8=")</f>
        <v>#VALUE!</v>
      </c>
      <c r="EO128" t="e">
        <f>AND(tecantrop!T214,"AAAAAG+19JA=")</f>
        <v>#VALUE!</v>
      </c>
      <c r="EP128" t="e">
        <f>AND(tecantrop!U214,"AAAAAG+19JE=")</f>
        <v>#VALUE!</v>
      </c>
      <c r="EQ128" t="e">
        <f>AND(tecantrop!V214,"AAAAAG+19JI=")</f>
        <v>#VALUE!</v>
      </c>
      <c r="ER128" t="e">
        <f>AND(tecantrop!W214,"AAAAAG+19JM=")</f>
        <v>#VALUE!</v>
      </c>
      <c r="ES128" t="e">
        <f>AND(tecantrop!X214,"AAAAAG+19JQ=")</f>
        <v>#VALUE!</v>
      </c>
      <c r="ET128">
        <f>IF(tecantrop!215:215,"AAAAAG+19JU=",0)</f>
        <v>0</v>
      </c>
      <c r="EU128" t="e">
        <f>AND(tecantrop!A215,"AAAAAG+19JY=")</f>
        <v>#VALUE!</v>
      </c>
      <c r="EV128" t="e">
        <f>AND(tecantrop!B215,"AAAAAG+19Jc=")</f>
        <v>#VALUE!</v>
      </c>
      <c r="EW128" t="e">
        <f>AND(tecantrop!C215,"AAAAAG+19Jg=")</f>
        <v>#VALUE!</v>
      </c>
      <c r="EX128" t="e">
        <f>AND(tecantrop!D215,"AAAAAG+19Jk=")</f>
        <v>#VALUE!</v>
      </c>
      <c r="EY128" t="e">
        <f>AND(tecantrop!E215,"AAAAAG+19Jo=")</f>
        <v>#VALUE!</v>
      </c>
      <c r="EZ128" t="e">
        <f>AND(tecantrop!F215,"AAAAAG+19Js=")</f>
        <v>#VALUE!</v>
      </c>
      <c r="FA128" t="e">
        <f>AND(tecantrop!G215,"AAAAAG+19Jw=")</f>
        <v>#VALUE!</v>
      </c>
      <c r="FB128" t="e">
        <f>AND(tecantrop!H215,"AAAAAG+19J0=")</f>
        <v>#VALUE!</v>
      </c>
      <c r="FC128" t="e">
        <f>AND(tecantrop!I215,"AAAAAG+19J4=")</f>
        <v>#VALUE!</v>
      </c>
      <c r="FD128" t="e">
        <f>AND(tecantrop!J215,"AAAAAG+19J8=")</f>
        <v>#VALUE!</v>
      </c>
      <c r="FE128" t="e">
        <f>AND(tecantrop!K215,"AAAAAG+19KA=")</f>
        <v>#VALUE!</v>
      </c>
      <c r="FF128" t="e">
        <f>AND(tecantrop!L215,"AAAAAG+19KE=")</f>
        <v>#VALUE!</v>
      </c>
      <c r="FG128" t="e">
        <f>AND(tecantrop!M215,"AAAAAG+19KI=")</f>
        <v>#VALUE!</v>
      </c>
      <c r="FH128" t="e">
        <f>AND(tecantrop!N215,"AAAAAG+19KM=")</f>
        <v>#VALUE!</v>
      </c>
      <c r="FI128" t="e">
        <f>AND(tecantrop!O215,"AAAAAG+19KQ=")</f>
        <v>#VALUE!</v>
      </c>
      <c r="FJ128" t="e">
        <f>AND(tecantrop!P215,"AAAAAG+19KU=")</f>
        <v>#VALUE!</v>
      </c>
      <c r="FK128" t="e">
        <f>AND(tecantrop!Q215,"AAAAAG+19KY=")</f>
        <v>#VALUE!</v>
      </c>
      <c r="FL128" t="e">
        <f>AND(tecantrop!R215,"AAAAAG+19Kc=")</f>
        <v>#VALUE!</v>
      </c>
      <c r="FM128" t="e">
        <f>AND(tecantrop!S215,"AAAAAG+19Kg=")</f>
        <v>#VALUE!</v>
      </c>
      <c r="FN128" t="e">
        <f>AND(tecantrop!T215,"AAAAAG+19Kk=")</f>
        <v>#VALUE!</v>
      </c>
      <c r="FO128" t="e">
        <f>AND(tecantrop!U215,"AAAAAG+19Ko=")</f>
        <v>#VALUE!</v>
      </c>
      <c r="FP128" t="e">
        <f>AND(tecantrop!V215,"AAAAAG+19Ks=")</f>
        <v>#VALUE!</v>
      </c>
      <c r="FQ128" t="e">
        <f>AND(tecantrop!W215,"AAAAAG+19Kw=")</f>
        <v>#VALUE!</v>
      </c>
      <c r="FR128" t="e">
        <f>AND(tecantrop!X215,"AAAAAG+19K0=")</f>
        <v>#VALUE!</v>
      </c>
      <c r="FS128">
        <f>IF(tecantrop!216:216,"AAAAAG+19K4=",0)</f>
        <v>0</v>
      </c>
      <c r="FT128" t="e">
        <f>AND(tecantrop!A216,"AAAAAG+19K8=")</f>
        <v>#VALUE!</v>
      </c>
      <c r="FU128" t="e">
        <f>AND(tecantrop!B216,"AAAAAG+19LA=")</f>
        <v>#VALUE!</v>
      </c>
      <c r="FV128" t="e">
        <f>AND(tecantrop!C216,"AAAAAG+19LE=")</f>
        <v>#VALUE!</v>
      </c>
      <c r="FW128" t="e">
        <f>AND(tecantrop!D216,"AAAAAG+19LI=")</f>
        <v>#VALUE!</v>
      </c>
      <c r="FX128" t="e">
        <f>AND(tecantrop!E216,"AAAAAG+19LM=")</f>
        <v>#VALUE!</v>
      </c>
      <c r="FY128" t="e">
        <f>AND(tecantrop!F216,"AAAAAG+19LQ=")</f>
        <v>#VALUE!</v>
      </c>
      <c r="FZ128" t="e">
        <f>AND(tecantrop!G216,"AAAAAG+19LU=")</f>
        <v>#VALUE!</v>
      </c>
      <c r="GA128" t="e">
        <f>AND(tecantrop!H216,"AAAAAG+19LY=")</f>
        <v>#VALUE!</v>
      </c>
      <c r="GB128" t="e">
        <f>AND(tecantrop!I216,"AAAAAG+19Lc=")</f>
        <v>#VALUE!</v>
      </c>
      <c r="GC128" t="e">
        <f>AND(tecantrop!J216,"AAAAAG+19Lg=")</f>
        <v>#VALUE!</v>
      </c>
      <c r="GD128" t="e">
        <f>AND(tecantrop!K216,"AAAAAG+19Lk=")</f>
        <v>#VALUE!</v>
      </c>
      <c r="GE128" t="e">
        <f>AND(tecantrop!L216,"AAAAAG+19Lo=")</f>
        <v>#VALUE!</v>
      </c>
      <c r="GF128" t="e">
        <f>AND(tecantrop!M216,"AAAAAG+19Ls=")</f>
        <v>#VALUE!</v>
      </c>
      <c r="GG128" t="e">
        <f>AND(tecantrop!N216,"AAAAAG+19Lw=")</f>
        <v>#VALUE!</v>
      </c>
      <c r="GH128" t="e">
        <f>AND(tecantrop!O216,"AAAAAG+19L0=")</f>
        <v>#VALUE!</v>
      </c>
      <c r="GI128" t="e">
        <f>AND(tecantrop!P216,"AAAAAG+19L4=")</f>
        <v>#VALUE!</v>
      </c>
      <c r="GJ128" t="e">
        <f>AND(tecantrop!Q216,"AAAAAG+19L8=")</f>
        <v>#VALUE!</v>
      </c>
      <c r="GK128" t="e">
        <f>AND(tecantrop!R216,"AAAAAG+19MA=")</f>
        <v>#VALUE!</v>
      </c>
      <c r="GL128" t="e">
        <f>AND(tecantrop!S216,"AAAAAG+19ME=")</f>
        <v>#VALUE!</v>
      </c>
      <c r="GM128" t="e">
        <f>AND(tecantrop!T216,"AAAAAG+19MI=")</f>
        <v>#VALUE!</v>
      </c>
      <c r="GN128" t="e">
        <f>AND(tecantrop!U216,"AAAAAG+19MM=")</f>
        <v>#VALUE!</v>
      </c>
      <c r="GO128" t="e">
        <f>AND(tecantrop!V216,"AAAAAG+19MQ=")</f>
        <v>#VALUE!</v>
      </c>
      <c r="GP128" t="e">
        <f>AND(tecantrop!W216,"AAAAAG+19MU=")</f>
        <v>#VALUE!</v>
      </c>
      <c r="GQ128" t="e">
        <f>AND(tecantrop!X216,"AAAAAG+19MY=")</f>
        <v>#VALUE!</v>
      </c>
      <c r="GR128">
        <f>IF(tecantrop!217:217,"AAAAAG+19Mc=",0)</f>
        <v>0</v>
      </c>
      <c r="GS128" t="e">
        <f>AND(tecantrop!A217,"AAAAAG+19Mg=")</f>
        <v>#VALUE!</v>
      </c>
      <c r="GT128" t="e">
        <f>AND(tecantrop!B217,"AAAAAG+19Mk=")</f>
        <v>#VALUE!</v>
      </c>
      <c r="GU128" t="e">
        <f>AND(tecantrop!C217,"AAAAAG+19Mo=")</f>
        <v>#VALUE!</v>
      </c>
      <c r="GV128" t="e">
        <f>AND(tecantrop!D217,"AAAAAG+19Ms=")</f>
        <v>#VALUE!</v>
      </c>
      <c r="GW128" t="e">
        <f>AND(tecantrop!E217,"AAAAAG+19Mw=")</f>
        <v>#VALUE!</v>
      </c>
      <c r="GX128" t="e">
        <f>AND(tecantrop!F217,"AAAAAG+19M0=")</f>
        <v>#VALUE!</v>
      </c>
      <c r="GY128" t="e">
        <f>AND(tecantrop!G217,"AAAAAG+19M4=")</f>
        <v>#VALUE!</v>
      </c>
      <c r="GZ128" t="e">
        <f>AND(tecantrop!H217,"AAAAAG+19M8=")</f>
        <v>#VALUE!</v>
      </c>
      <c r="HA128" t="e">
        <f>AND(tecantrop!I217,"AAAAAG+19NA=")</f>
        <v>#VALUE!</v>
      </c>
      <c r="HB128" t="e">
        <f>AND(tecantrop!J217,"AAAAAG+19NE=")</f>
        <v>#VALUE!</v>
      </c>
      <c r="HC128" t="e">
        <f>AND(tecantrop!K217,"AAAAAG+19NI=")</f>
        <v>#VALUE!</v>
      </c>
      <c r="HD128" t="e">
        <f>AND(tecantrop!L217,"AAAAAG+19NM=")</f>
        <v>#VALUE!</v>
      </c>
      <c r="HE128" t="e">
        <f>AND(tecantrop!M217,"AAAAAG+19NQ=")</f>
        <v>#VALUE!</v>
      </c>
      <c r="HF128" t="e">
        <f>AND(tecantrop!N217,"AAAAAG+19NU=")</f>
        <v>#VALUE!</v>
      </c>
      <c r="HG128" t="e">
        <f>AND(tecantrop!O217,"AAAAAG+19NY=")</f>
        <v>#VALUE!</v>
      </c>
      <c r="HH128" t="e">
        <f>AND(tecantrop!P217,"AAAAAG+19Nc=")</f>
        <v>#VALUE!</v>
      </c>
      <c r="HI128" t="e">
        <f>AND(tecantrop!Q217,"AAAAAG+19Ng=")</f>
        <v>#VALUE!</v>
      </c>
      <c r="HJ128" t="e">
        <f>AND(tecantrop!R217,"AAAAAG+19Nk=")</f>
        <v>#VALUE!</v>
      </c>
      <c r="HK128" t="e">
        <f>AND(tecantrop!S217,"AAAAAG+19No=")</f>
        <v>#VALUE!</v>
      </c>
      <c r="HL128" t="e">
        <f>AND(tecantrop!T217,"AAAAAG+19Ns=")</f>
        <v>#VALUE!</v>
      </c>
      <c r="HM128" t="e">
        <f>AND(tecantrop!U217,"AAAAAG+19Nw=")</f>
        <v>#VALUE!</v>
      </c>
      <c r="HN128" t="e">
        <f>AND(tecantrop!V217,"AAAAAG+19N0=")</f>
        <v>#VALUE!</v>
      </c>
      <c r="HO128" t="e">
        <f>AND(tecantrop!W217,"AAAAAG+19N4=")</f>
        <v>#VALUE!</v>
      </c>
      <c r="HP128" t="e">
        <f>AND(tecantrop!X217,"AAAAAG+19N8=")</f>
        <v>#VALUE!</v>
      </c>
      <c r="HQ128">
        <f>IF(tecantrop!218:218,"AAAAAG+19OA=",0)</f>
        <v>0</v>
      </c>
      <c r="HR128" t="e">
        <f>AND(tecantrop!A218,"AAAAAG+19OE=")</f>
        <v>#VALUE!</v>
      </c>
      <c r="HS128" t="e">
        <f>AND(tecantrop!B218,"AAAAAG+19OI=")</f>
        <v>#VALUE!</v>
      </c>
      <c r="HT128" t="e">
        <f>AND(tecantrop!C218,"AAAAAG+19OM=")</f>
        <v>#VALUE!</v>
      </c>
      <c r="HU128" t="e">
        <f>AND(tecantrop!D218,"AAAAAG+19OQ=")</f>
        <v>#VALUE!</v>
      </c>
      <c r="HV128" t="e">
        <f>AND(tecantrop!E218,"AAAAAG+19OU=")</f>
        <v>#VALUE!</v>
      </c>
      <c r="HW128" t="e">
        <f>AND(tecantrop!F218,"AAAAAG+19OY=")</f>
        <v>#VALUE!</v>
      </c>
      <c r="HX128" t="e">
        <f>AND(tecantrop!G218,"AAAAAG+19Oc=")</f>
        <v>#VALUE!</v>
      </c>
      <c r="HY128" t="e">
        <f>AND(tecantrop!H218,"AAAAAG+19Og=")</f>
        <v>#VALUE!</v>
      </c>
      <c r="HZ128" t="e">
        <f>AND(tecantrop!I218,"AAAAAG+19Ok=")</f>
        <v>#VALUE!</v>
      </c>
      <c r="IA128" t="e">
        <f>AND(tecantrop!J218,"AAAAAG+19Oo=")</f>
        <v>#VALUE!</v>
      </c>
      <c r="IB128" t="e">
        <f>AND(tecantrop!K218,"AAAAAG+19Os=")</f>
        <v>#VALUE!</v>
      </c>
      <c r="IC128" t="e">
        <f>AND(tecantrop!L218,"AAAAAG+19Ow=")</f>
        <v>#VALUE!</v>
      </c>
      <c r="ID128" t="e">
        <f>AND(tecantrop!M218,"AAAAAG+19O0=")</f>
        <v>#VALUE!</v>
      </c>
      <c r="IE128" t="e">
        <f>AND(tecantrop!N218,"AAAAAG+19O4=")</f>
        <v>#VALUE!</v>
      </c>
      <c r="IF128" t="e">
        <f>AND(tecantrop!O218,"AAAAAG+19O8=")</f>
        <v>#VALUE!</v>
      </c>
      <c r="IG128" t="e">
        <f>AND(tecantrop!P218,"AAAAAG+19PA=")</f>
        <v>#VALUE!</v>
      </c>
      <c r="IH128" t="e">
        <f>AND(tecantrop!Q218,"AAAAAG+19PE=")</f>
        <v>#VALUE!</v>
      </c>
      <c r="II128" t="e">
        <f>AND(tecantrop!R218,"AAAAAG+19PI=")</f>
        <v>#VALUE!</v>
      </c>
      <c r="IJ128" t="e">
        <f>AND(tecantrop!S218,"AAAAAG+19PM=")</f>
        <v>#VALUE!</v>
      </c>
      <c r="IK128" t="e">
        <f>AND(tecantrop!T218,"AAAAAG+19PQ=")</f>
        <v>#VALUE!</v>
      </c>
      <c r="IL128" t="e">
        <f>AND(tecantrop!U218,"AAAAAG+19PU=")</f>
        <v>#VALUE!</v>
      </c>
      <c r="IM128" t="e">
        <f>AND(tecantrop!V218,"AAAAAG+19PY=")</f>
        <v>#VALUE!</v>
      </c>
      <c r="IN128" t="e">
        <f>AND(tecantrop!W218,"AAAAAG+19Pc=")</f>
        <v>#VALUE!</v>
      </c>
      <c r="IO128" t="e">
        <f>AND(tecantrop!X218,"AAAAAG+19Pg=")</f>
        <v>#VALUE!</v>
      </c>
      <c r="IP128">
        <f>IF(tecantrop!219:219,"AAAAAG+19Pk=",0)</f>
        <v>0</v>
      </c>
      <c r="IQ128" t="e">
        <f>AND(tecantrop!A219,"AAAAAG+19Po=")</f>
        <v>#VALUE!</v>
      </c>
      <c r="IR128" t="e">
        <f>AND(tecantrop!B219,"AAAAAG+19Ps=")</f>
        <v>#VALUE!</v>
      </c>
      <c r="IS128" t="e">
        <f>AND(tecantrop!C219,"AAAAAG+19Pw=")</f>
        <v>#VALUE!</v>
      </c>
      <c r="IT128" t="e">
        <f>AND(tecantrop!D219,"AAAAAG+19P0=")</f>
        <v>#VALUE!</v>
      </c>
      <c r="IU128" t="e">
        <f>AND(tecantrop!E219,"AAAAAG+19P4=")</f>
        <v>#VALUE!</v>
      </c>
      <c r="IV128" t="e">
        <f>AND(tecantrop!F219,"AAAAAG+19P8=")</f>
        <v>#VALUE!</v>
      </c>
    </row>
    <row r="129" spans="1:256" x14ac:dyDescent="0.2">
      <c r="A129" t="e">
        <f>AND(tecantrop!G219,"AAAAAE//9gA=")</f>
        <v>#VALUE!</v>
      </c>
      <c r="B129" t="e">
        <f>AND(tecantrop!H219,"AAAAAE//9gE=")</f>
        <v>#VALUE!</v>
      </c>
      <c r="C129" t="e">
        <f>AND(tecantrop!I219,"AAAAAE//9gI=")</f>
        <v>#VALUE!</v>
      </c>
      <c r="D129" t="e">
        <f>AND(tecantrop!J219,"AAAAAE//9gM=")</f>
        <v>#VALUE!</v>
      </c>
      <c r="E129" t="e">
        <f>AND(tecantrop!K219,"AAAAAE//9gQ=")</f>
        <v>#VALUE!</v>
      </c>
      <c r="F129" t="e">
        <f>AND(tecantrop!L219,"AAAAAE//9gU=")</f>
        <v>#VALUE!</v>
      </c>
      <c r="G129" t="e">
        <f>AND(tecantrop!M219,"AAAAAE//9gY=")</f>
        <v>#VALUE!</v>
      </c>
      <c r="H129" t="e">
        <f>AND(tecantrop!N219,"AAAAAE//9gc=")</f>
        <v>#VALUE!</v>
      </c>
      <c r="I129" t="e">
        <f>AND(tecantrop!O219,"AAAAAE//9gg=")</f>
        <v>#VALUE!</v>
      </c>
      <c r="J129" t="e">
        <f>AND(tecantrop!P219,"AAAAAE//9gk=")</f>
        <v>#VALUE!</v>
      </c>
      <c r="K129" t="e">
        <f>AND(tecantrop!Q219,"AAAAAE//9go=")</f>
        <v>#VALUE!</v>
      </c>
      <c r="L129" t="e">
        <f>AND(tecantrop!R219,"AAAAAE//9gs=")</f>
        <v>#VALUE!</v>
      </c>
      <c r="M129" t="e">
        <f>AND(tecantrop!S219,"AAAAAE//9gw=")</f>
        <v>#VALUE!</v>
      </c>
      <c r="N129" t="e">
        <f>AND(tecantrop!T219,"AAAAAE//9g0=")</f>
        <v>#VALUE!</v>
      </c>
      <c r="O129" t="e">
        <f>AND(tecantrop!U219,"AAAAAE//9g4=")</f>
        <v>#VALUE!</v>
      </c>
      <c r="P129" t="e">
        <f>AND(tecantrop!V219,"AAAAAE//9g8=")</f>
        <v>#VALUE!</v>
      </c>
      <c r="Q129" t="e">
        <f>AND(tecantrop!W219,"AAAAAE//9hA=")</f>
        <v>#VALUE!</v>
      </c>
      <c r="R129" t="e">
        <f>AND(tecantrop!X219,"AAAAAE//9hE=")</f>
        <v>#VALUE!</v>
      </c>
      <c r="S129">
        <f>IF(tecantrop!220:220,"AAAAAE//9hI=",0)</f>
        <v>0</v>
      </c>
      <c r="T129" t="e">
        <f>AND(tecantrop!A220,"AAAAAE//9hM=")</f>
        <v>#VALUE!</v>
      </c>
      <c r="U129" t="e">
        <f>AND(tecantrop!B220,"AAAAAE//9hQ=")</f>
        <v>#VALUE!</v>
      </c>
      <c r="V129" t="e">
        <f>AND(tecantrop!C220,"AAAAAE//9hU=")</f>
        <v>#VALUE!</v>
      </c>
      <c r="W129" t="e">
        <f>AND(tecantrop!D220,"AAAAAE//9hY=")</f>
        <v>#VALUE!</v>
      </c>
      <c r="X129" t="e">
        <f>AND(tecantrop!E220,"AAAAAE//9hc=")</f>
        <v>#VALUE!</v>
      </c>
      <c r="Y129" t="e">
        <f>AND(tecantrop!F220,"AAAAAE//9hg=")</f>
        <v>#VALUE!</v>
      </c>
      <c r="Z129" t="e">
        <f>AND(tecantrop!G220,"AAAAAE//9hk=")</f>
        <v>#VALUE!</v>
      </c>
      <c r="AA129" t="e">
        <f>AND(tecantrop!H220,"AAAAAE//9ho=")</f>
        <v>#VALUE!</v>
      </c>
      <c r="AB129" t="e">
        <f>AND(tecantrop!I220,"AAAAAE//9hs=")</f>
        <v>#VALUE!</v>
      </c>
      <c r="AC129" t="e">
        <f>AND(tecantrop!J220,"AAAAAE//9hw=")</f>
        <v>#VALUE!</v>
      </c>
      <c r="AD129" t="e">
        <f>AND(tecantrop!K220,"AAAAAE//9h0=")</f>
        <v>#VALUE!</v>
      </c>
      <c r="AE129" t="e">
        <f>AND(tecantrop!L220,"AAAAAE//9h4=")</f>
        <v>#VALUE!</v>
      </c>
      <c r="AF129" t="e">
        <f>AND(tecantrop!M220,"AAAAAE//9h8=")</f>
        <v>#VALUE!</v>
      </c>
      <c r="AG129" t="e">
        <f>AND(tecantrop!N220,"AAAAAE//9iA=")</f>
        <v>#VALUE!</v>
      </c>
      <c r="AH129" t="e">
        <f>AND(tecantrop!O220,"AAAAAE//9iE=")</f>
        <v>#VALUE!</v>
      </c>
      <c r="AI129" t="e">
        <f>AND(tecantrop!P220,"AAAAAE//9iI=")</f>
        <v>#VALUE!</v>
      </c>
      <c r="AJ129" t="e">
        <f>AND(tecantrop!Q220,"AAAAAE//9iM=")</f>
        <v>#VALUE!</v>
      </c>
      <c r="AK129" t="e">
        <f>AND(tecantrop!R220,"AAAAAE//9iQ=")</f>
        <v>#VALUE!</v>
      </c>
      <c r="AL129" t="e">
        <f>AND(tecantrop!S220,"AAAAAE//9iU=")</f>
        <v>#VALUE!</v>
      </c>
      <c r="AM129" t="e">
        <f>AND(tecantrop!T220,"AAAAAE//9iY=")</f>
        <v>#VALUE!</v>
      </c>
      <c r="AN129" t="e">
        <f>AND(tecantrop!U220,"AAAAAE//9ic=")</f>
        <v>#VALUE!</v>
      </c>
      <c r="AO129" t="e">
        <f>AND(tecantrop!V220,"AAAAAE//9ig=")</f>
        <v>#VALUE!</v>
      </c>
      <c r="AP129" t="e">
        <f>AND(tecantrop!W220,"AAAAAE//9ik=")</f>
        <v>#VALUE!</v>
      </c>
      <c r="AQ129" t="e">
        <f>AND(tecantrop!X220,"AAAAAE//9io=")</f>
        <v>#VALUE!</v>
      </c>
      <c r="AR129">
        <f>IF(tecantrop!221:221,"AAAAAE//9is=",0)</f>
        <v>0</v>
      </c>
      <c r="AS129" t="e">
        <f>AND(tecantrop!A221,"AAAAAE//9iw=")</f>
        <v>#VALUE!</v>
      </c>
      <c r="AT129" t="e">
        <f>AND(tecantrop!B221,"AAAAAE//9i0=")</f>
        <v>#VALUE!</v>
      </c>
      <c r="AU129" t="e">
        <f>AND(tecantrop!C221,"AAAAAE//9i4=")</f>
        <v>#VALUE!</v>
      </c>
      <c r="AV129" t="e">
        <f>AND(tecantrop!D221,"AAAAAE//9i8=")</f>
        <v>#VALUE!</v>
      </c>
      <c r="AW129" t="e">
        <f>AND(tecantrop!E221,"AAAAAE//9jA=")</f>
        <v>#VALUE!</v>
      </c>
      <c r="AX129" t="e">
        <f>AND(tecantrop!F221,"AAAAAE//9jE=")</f>
        <v>#VALUE!</v>
      </c>
      <c r="AY129" t="e">
        <f>AND(tecantrop!G221,"AAAAAE//9jI=")</f>
        <v>#VALUE!</v>
      </c>
      <c r="AZ129" t="e">
        <f>AND(tecantrop!H221,"AAAAAE//9jM=")</f>
        <v>#VALUE!</v>
      </c>
      <c r="BA129" t="e">
        <f>AND(tecantrop!I221,"AAAAAE//9jQ=")</f>
        <v>#VALUE!</v>
      </c>
      <c r="BB129" t="e">
        <f>AND(tecantrop!J221,"AAAAAE//9jU=")</f>
        <v>#VALUE!</v>
      </c>
      <c r="BC129" t="e">
        <f>AND(tecantrop!K221,"AAAAAE//9jY=")</f>
        <v>#VALUE!</v>
      </c>
      <c r="BD129" t="e">
        <f>AND(tecantrop!L221,"AAAAAE//9jc=")</f>
        <v>#VALUE!</v>
      </c>
      <c r="BE129" t="e">
        <f>AND(tecantrop!M221,"AAAAAE//9jg=")</f>
        <v>#VALUE!</v>
      </c>
      <c r="BF129" t="e">
        <f>AND(tecantrop!N221,"AAAAAE//9jk=")</f>
        <v>#VALUE!</v>
      </c>
      <c r="BG129" t="e">
        <f>AND(tecantrop!O221,"AAAAAE//9jo=")</f>
        <v>#VALUE!</v>
      </c>
      <c r="BH129" t="e">
        <f>AND(tecantrop!P221,"AAAAAE//9js=")</f>
        <v>#VALUE!</v>
      </c>
      <c r="BI129" t="e">
        <f>AND(tecantrop!Q221,"AAAAAE//9jw=")</f>
        <v>#VALUE!</v>
      </c>
      <c r="BJ129" t="e">
        <f>AND(tecantrop!R221,"AAAAAE//9j0=")</f>
        <v>#VALUE!</v>
      </c>
      <c r="BK129" t="e">
        <f>AND(tecantrop!S221,"AAAAAE//9j4=")</f>
        <v>#VALUE!</v>
      </c>
      <c r="BL129" t="e">
        <f>AND(tecantrop!T221,"AAAAAE//9j8=")</f>
        <v>#VALUE!</v>
      </c>
      <c r="BM129" t="e">
        <f>AND(tecantrop!U221,"AAAAAE//9kA=")</f>
        <v>#VALUE!</v>
      </c>
      <c r="BN129" t="e">
        <f>AND(tecantrop!V221,"AAAAAE//9kE=")</f>
        <v>#VALUE!</v>
      </c>
      <c r="BO129" t="e">
        <f>AND(tecantrop!W221,"AAAAAE//9kI=")</f>
        <v>#VALUE!</v>
      </c>
      <c r="BP129" t="e">
        <f>AND(tecantrop!X221,"AAAAAE//9kM=")</f>
        <v>#VALUE!</v>
      </c>
      <c r="BQ129">
        <f>IF(tecantrop!222:222,"AAAAAE//9kQ=",0)</f>
        <v>0</v>
      </c>
      <c r="BR129" t="e">
        <f>AND(tecantrop!A222,"AAAAAE//9kU=")</f>
        <v>#VALUE!</v>
      </c>
      <c r="BS129" t="e">
        <f>AND(tecantrop!B222,"AAAAAE//9kY=")</f>
        <v>#VALUE!</v>
      </c>
      <c r="BT129" t="e">
        <f>AND(tecantrop!C222,"AAAAAE//9kc=")</f>
        <v>#VALUE!</v>
      </c>
      <c r="BU129" t="e">
        <f>AND(tecantrop!D222,"AAAAAE//9kg=")</f>
        <v>#VALUE!</v>
      </c>
      <c r="BV129" t="e">
        <f>AND(tecantrop!E222,"AAAAAE//9kk=")</f>
        <v>#VALUE!</v>
      </c>
      <c r="BW129" t="e">
        <f>AND(tecantrop!F222,"AAAAAE//9ko=")</f>
        <v>#VALUE!</v>
      </c>
      <c r="BX129" t="e">
        <f>AND(tecantrop!G222,"AAAAAE//9ks=")</f>
        <v>#VALUE!</v>
      </c>
      <c r="BY129" t="e">
        <f>AND(tecantrop!H222,"AAAAAE//9kw=")</f>
        <v>#VALUE!</v>
      </c>
      <c r="BZ129" t="e">
        <f>AND(tecantrop!I222,"AAAAAE//9k0=")</f>
        <v>#VALUE!</v>
      </c>
      <c r="CA129" t="e">
        <f>AND(tecantrop!J222,"AAAAAE//9k4=")</f>
        <v>#VALUE!</v>
      </c>
      <c r="CB129" t="e">
        <f>AND(tecantrop!K222,"AAAAAE//9k8=")</f>
        <v>#VALUE!</v>
      </c>
      <c r="CC129" t="e">
        <f>AND(tecantrop!L222,"AAAAAE//9lA=")</f>
        <v>#VALUE!</v>
      </c>
      <c r="CD129" t="e">
        <f>AND(tecantrop!M222,"AAAAAE//9lE=")</f>
        <v>#VALUE!</v>
      </c>
      <c r="CE129" t="e">
        <f>AND(tecantrop!N222,"AAAAAE//9lI=")</f>
        <v>#VALUE!</v>
      </c>
      <c r="CF129" t="e">
        <f>AND(tecantrop!O222,"AAAAAE//9lM=")</f>
        <v>#VALUE!</v>
      </c>
      <c r="CG129" t="e">
        <f>AND(tecantrop!P222,"AAAAAE//9lQ=")</f>
        <v>#VALUE!</v>
      </c>
      <c r="CH129" t="e">
        <f>AND(tecantrop!Q222,"AAAAAE//9lU=")</f>
        <v>#VALUE!</v>
      </c>
      <c r="CI129" t="e">
        <f>AND(tecantrop!R222,"AAAAAE//9lY=")</f>
        <v>#VALUE!</v>
      </c>
      <c r="CJ129" t="e">
        <f>AND(tecantrop!S222,"AAAAAE//9lc=")</f>
        <v>#VALUE!</v>
      </c>
      <c r="CK129" t="e">
        <f>AND(tecantrop!T222,"AAAAAE//9lg=")</f>
        <v>#VALUE!</v>
      </c>
      <c r="CL129" t="e">
        <f>AND(tecantrop!U222,"AAAAAE//9lk=")</f>
        <v>#VALUE!</v>
      </c>
      <c r="CM129" t="e">
        <f>AND(tecantrop!V222,"AAAAAE//9lo=")</f>
        <v>#VALUE!</v>
      </c>
      <c r="CN129" t="e">
        <f>AND(tecantrop!W222,"AAAAAE//9ls=")</f>
        <v>#VALUE!</v>
      </c>
      <c r="CO129" t="e">
        <f>AND(tecantrop!X222,"AAAAAE//9lw=")</f>
        <v>#VALUE!</v>
      </c>
      <c r="CP129">
        <f>IF(tecantrop!223:223,"AAAAAE//9l0=",0)</f>
        <v>0</v>
      </c>
      <c r="CQ129" t="e">
        <f>AND(tecantrop!A223,"AAAAAE//9l4=")</f>
        <v>#VALUE!</v>
      </c>
      <c r="CR129" t="e">
        <f>AND(tecantrop!B223,"AAAAAE//9l8=")</f>
        <v>#VALUE!</v>
      </c>
      <c r="CS129" t="e">
        <f>AND(tecantrop!C223,"AAAAAE//9mA=")</f>
        <v>#VALUE!</v>
      </c>
      <c r="CT129" t="e">
        <f>AND(tecantrop!D223,"AAAAAE//9mE=")</f>
        <v>#VALUE!</v>
      </c>
      <c r="CU129" t="e">
        <f>AND(tecantrop!E223,"AAAAAE//9mI=")</f>
        <v>#VALUE!</v>
      </c>
      <c r="CV129" t="e">
        <f>AND(tecantrop!F223,"AAAAAE//9mM=")</f>
        <v>#VALUE!</v>
      </c>
      <c r="CW129" t="e">
        <f>AND(tecantrop!G223,"AAAAAE//9mQ=")</f>
        <v>#VALUE!</v>
      </c>
      <c r="CX129" t="e">
        <f>AND(tecantrop!H223,"AAAAAE//9mU=")</f>
        <v>#VALUE!</v>
      </c>
      <c r="CY129" t="e">
        <f>AND(tecantrop!I223,"AAAAAE//9mY=")</f>
        <v>#VALUE!</v>
      </c>
      <c r="CZ129" t="e">
        <f>AND(tecantrop!J223,"AAAAAE//9mc=")</f>
        <v>#VALUE!</v>
      </c>
      <c r="DA129" t="e">
        <f>AND(tecantrop!K223,"AAAAAE//9mg=")</f>
        <v>#VALUE!</v>
      </c>
      <c r="DB129" t="e">
        <f>AND(tecantrop!L223,"AAAAAE//9mk=")</f>
        <v>#VALUE!</v>
      </c>
      <c r="DC129" t="e">
        <f>AND(tecantrop!M223,"AAAAAE//9mo=")</f>
        <v>#VALUE!</v>
      </c>
      <c r="DD129" t="e">
        <f>AND(tecantrop!N223,"AAAAAE//9ms=")</f>
        <v>#VALUE!</v>
      </c>
      <c r="DE129" t="e">
        <f>AND(tecantrop!O223,"AAAAAE//9mw=")</f>
        <v>#VALUE!</v>
      </c>
      <c r="DF129" t="e">
        <f>AND(tecantrop!P223,"AAAAAE//9m0=")</f>
        <v>#VALUE!</v>
      </c>
      <c r="DG129" t="e">
        <f>AND(tecantrop!Q223,"AAAAAE//9m4=")</f>
        <v>#VALUE!</v>
      </c>
      <c r="DH129" t="e">
        <f>AND(tecantrop!R223,"AAAAAE//9m8=")</f>
        <v>#VALUE!</v>
      </c>
      <c r="DI129" t="e">
        <f>AND(tecantrop!S223,"AAAAAE//9nA=")</f>
        <v>#VALUE!</v>
      </c>
      <c r="DJ129" t="e">
        <f>AND(tecantrop!T223,"AAAAAE//9nE=")</f>
        <v>#VALUE!</v>
      </c>
      <c r="DK129" t="e">
        <f>AND(tecantrop!U223,"AAAAAE//9nI=")</f>
        <v>#VALUE!</v>
      </c>
      <c r="DL129" t="e">
        <f>AND(tecantrop!V223,"AAAAAE//9nM=")</f>
        <v>#VALUE!</v>
      </c>
      <c r="DM129" t="e">
        <f>AND(tecantrop!W223,"AAAAAE//9nQ=")</f>
        <v>#VALUE!</v>
      </c>
      <c r="DN129" t="e">
        <f>AND(tecantrop!X223,"AAAAAE//9nU=")</f>
        <v>#VALUE!</v>
      </c>
      <c r="DO129">
        <f>IF(tecantrop!224:224,"AAAAAE//9nY=",0)</f>
        <v>0</v>
      </c>
      <c r="DP129" t="e">
        <f>AND(tecantrop!A224,"AAAAAE//9nc=")</f>
        <v>#VALUE!</v>
      </c>
      <c r="DQ129" t="e">
        <f>AND(tecantrop!B224,"AAAAAE//9ng=")</f>
        <v>#VALUE!</v>
      </c>
      <c r="DR129" t="e">
        <f>AND(tecantrop!C224,"AAAAAE//9nk=")</f>
        <v>#VALUE!</v>
      </c>
      <c r="DS129" t="e">
        <f>AND(tecantrop!D224,"AAAAAE//9no=")</f>
        <v>#VALUE!</v>
      </c>
      <c r="DT129" t="e">
        <f>AND(tecantrop!E224,"AAAAAE//9ns=")</f>
        <v>#VALUE!</v>
      </c>
      <c r="DU129" t="e">
        <f>AND(tecantrop!F224,"AAAAAE//9nw=")</f>
        <v>#VALUE!</v>
      </c>
      <c r="DV129" t="e">
        <f>AND(tecantrop!G224,"AAAAAE//9n0=")</f>
        <v>#VALUE!</v>
      </c>
      <c r="DW129" t="e">
        <f>AND(tecantrop!H224,"AAAAAE//9n4=")</f>
        <v>#VALUE!</v>
      </c>
      <c r="DX129" t="e">
        <f>AND(tecantrop!I224,"AAAAAE//9n8=")</f>
        <v>#VALUE!</v>
      </c>
      <c r="DY129" t="e">
        <f>AND(tecantrop!J224,"AAAAAE//9oA=")</f>
        <v>#VALUE!</v>
      </c>
      <c r="DZ129" t="e">
        <f>AND(tecantrop!K224,"AAAAAE//9oE=")</f>
        <v>#VALUE!</v>
      </c>
      <c r="EA129" t="e">
        <f>AND(tecantrop!L224,"AAAAAE//9oI=")</f>
        <v>#VALUE!</v>
      </c>
      <c r="EB129" t="e">
        <f>AND(tecantrop!M224,"AAAAAE//9oM=")</f>
        <v>#VALUE!</v>
      </c>
      <c r="EC129" t="e">
        <f>AND(tecantrop!N224,"AAAAAE//9oQ=")</f>
        <v>#VALUE!</v>
      </c>
      <c r="ED129" t="e">
        <f>AND(tecantrop!O224,"AAAAAE//9oU=")</f>
        <v>#VALUE!</v>
      </c>
      <c r="EE129" t="e">
        <f>AND(tecantrop!P224,"AAAAAE//9oY=")</f>
        <v>#VALUE!</v>
      </c>
      <c r="EF129" t="e">
        <f>AND(tecantrop!Q224,"AAAAAE//9oc=")</f>
        <v>#VALUE!</v>
      </c>
      <c r="EG129" t="e">
        <f>AND(tecantrop!R224,"AAAAAE//9og=")</f>
        <v>#VALUE!</v>
      </c>
      <c r="EH129" t="e">
        <f>AND(tecantrop!S224,"AAAAAE//9ok=")</f>
        <v>#VALUE!</v>
      </c>
      <c r="EI129" t="e">
        <f>AND(tecantrop!T224,"AAAAAE//9oo=")</f>
        <v>#VALUE!</v>
      </c>
      <c r="EJ129" t="e">
        <f>AND(tecantrop!U224,"AAAAAE//9os=")</f>
        <v>#VALUE!</v>
      </c>
      <c r="EK129" t="e">
        <f>AND(tecantrop!V224,"AAAAAE//9ow=")</f>
        <v>#VALUE!</v>
      </c>
      <c r="EL129" t="e">
        <f>AND(tecantrop!W224,"AAAAAE//9o0=")</f>
        <v>#VALUE!</v>
      </c>
      <c r="EM129" t="e">
        <f>AND(tecantrop!X224,"AAAAAE//9o4=")</f>
        <v>#VALUE!</v>
      </c>
      <c r="EN129">
        <f>IF(tecantrop!225:225,"AAAAAE//9o8=",0)</f>
        <v>0</v>
      </c>
      <c r="EO129" t="e">
        <f>AND(tecantrop!A225,"AAAAAE//9pA=")</f>
        <v>#VALUE!</v>
      </c>
      <c r="EP129" t="e">
        <f>AND(tecantrop!B225,"AAAAAE//9pE=")</f>
        <v>#VALUE!</v>
      </c>
      <c r="EQ129" t="e">
        <f>AND(tecantrop!C225,"AAAAAE//9pI=")</f>
        <v>#VALUE!</v>
      </c>
      <c r="ER129" t="e">
        <f>AND(tecantrop!D225,"AAAAAE//9pM=")</f>
        <v>#VALUE!</v>
      </c>
      <c r="ES129" t="e">
        <f>AND(tecantrop!E225,"AAAAAE//9pQ=")</f>
        <v>#VALUE!</v>
      </c>
      <c r="ET129" t="e">
        <f>AND(tecantrop!F225,"AAAAAE//9pU=")</f>
        <v>#VALUE!</v>
      </c>
      <c r="EU129" t="e">
        <f>AND(tecantrop!G225,"AAAAAE//9pY=")</f>
        <v>#VALUE!</v>
      </c>
      <c r="EV129" t="e">
        <f>AND(tecantrop!H225,"AAAAAE//9pc=")</f>
        <v>#VALUE!</v>
      </c>
      <c r="EW129" t="e">
        <f>AND(tecantrop!I225,"AAAAAE//9pg=")</f>
        <v>#VALUE!</v>
      </c>
      <c r="EX129" t="e">
        <f>AND(tecantrop!J225,"AAAAAE//9pk=")</f>
        <v>#VALUE!</v>
      </c>
      <c r="EY129" t="e">
        <f>AND(tecantrop!K225,"AAAAAE//9po=")</f>
        <v>#VALUE!</v>
      </c>
      <c r="EZ129" t="e">
        <f>AND(tecantrop!L225,"AAAAAE//9ps=")</f>
        <v>#VALUE!</v>
      </c>
      <c r="FA129" t="e">
        <f>AND(tecantrop!M225,"AAAAAE//9pw=")</f>
        <v>#VALUE!</v>
      </c>
      <c r="FB129" t="e">
        <f>AND(tecantrop!N225,"AAAAAE//9p0=")</f>
        <v>#VALUE!</v>
      </c>
      <c r="FC129" t="e">
        <f>AND(tecantrop!O225,"AAAAAE//9p4=")</f>
        <v>#VALUE!</v>
      </c>
      <c r="FD129" t="e">
        <f>AND(tecantrop!P225,"AAAAAE//9p8=")</f>
        <v>#VALUE!</v>
      </c>
      <c r="FE129" t="e">
        <f>AND(tecantrop!Q225,"AAAAAE//9qA=")</f>
        <v>#VALUE!</v>
      </c>
      <c r="FF129" t="e">
        <f>AND(tecantrop!R225,"AAAAAE//9qE=")</f>
        <v>#VALUE!</v>
      </c>
      <c r="FG129" t="e">
        <f>AND(tecantrop!S225,"AAAAAE//9qI=")</f>
        <v>#VALUE!</v>
      </c>
      <c r="FH129" t="e">
        <f>AND(tecantrop!T225,"AAAAAE//9qM=")</f>
        <v>#VALUE!</v>
      </c>
      <c r="FI129" t="e">
        <f>AND(tecantrop!U225,"AAAAAE//9qQ=")</f>
        <v>#VALUE!</v>
      </c>
      <c r="FJ129" t="e">
        <f>AND(tecantrop!V225,"AAAAAE//9qU=")</f>
        <v>#VALUE!</v>
      </c>
      <c r="FK129" t="e">
        <f>AND(tecantrop!W225,"AAAAAE//9qY=")</f>
        <v>#VALUE!</v>
      </c>
      <c r="FL129" t="e">
        <f>AND(tecantrop!X225,"AAAAAE//9qc=")</f>
        <v>#VALUE!</v>
      </c>
      <c r="FM129">
        <f>IF(tecantrop!226:226,"AAAAAE//9qg=",0)</f>
        <v>0</v>
      </c>
      <c r="FN129" t="e">
        <f>AND(tecantrop!A226,"AAAAAE//9qk=")</f>
        <v>#VALUE!</v>
      </c>
      <c r="FO129" t="e">
        <f>AND(tecantrop!B226,"AAAAAE//9qo=")</f>
        <v>#VALUE!</v>
      </c>
      <c r="FP129" t="e">
        <f>AND(tecantrop!C226,"AAAAAE//9qs=")</f>
        <v>#VALUE!</v>
      </c>
      <c r="FQ129" t="e">
        <f>AND(tecantrop!D226,"AAAAAE//9qw=")</f>
        <v>#VALUE!</v>
      </c>
      <c r="FR129" t="e">
        <f>AND(tecantrop!E226,"AAAAAE//9q0=")</f>
        <v>#VALUE!</v>
      </c>
      <c r="FS129" t="e">
        <f>AND(tecantrop!F226,"AAAAAE//9q4=")</f>
        <v>#VALUE!</v>
      </c>
      <c r="FT129" t="e">
        <f>AND(tecantrop!G226,"AAAAAE//9q8=")</f>
        <v>#VALUE!</v>
      </c>
      <c r="FU129" t="e">
        <f>AND(tecantrop!H226,"AAAAAE//9rA=")</f>
        <v>#VALUE!</v>
      </c>
      <c r="FV129" t="e">
        <f>AND(tecantrop!I226,"AAAAAE//9rE=")</f>
        <v>#VALUE!</v>
      </c>
      <c r="FW129" t="e">
        <f>AND(tecantrop!J226,"AAAAAE//9rI=")</f>
        <v>#VALUE!</v>
      </c>
      <c r="FX129" t="e">
        <f>AND(tecantrop!K226,"AAAAAE//9rM=")</f>
        <v>#VALUE!</v>
      </c>
      <c r="FY129" t="e">
        <f>AND(tecantrop!L226,"AAAAAE//9rQ=")</f>
        <v>#VALUE!</v>
      </c>
      <c r="FZ129" t="e">
        <f>AND(tecantrop!M226,"AAAAAE//9rU=")</f>
        <v>#VALUE!</v>
      </c>
      <c r="GA129" t="e">
        <f>AND(tecantrop!N226,"AAAAAE//9rY=")</f>
        <v>#VALUE!</v>
      </c>
      <c r="GB129" t="e">
        <f>AND(tecantrop!O226,"AAAAAE//9rc=")</f>
        <v>#VALUE!</v>
      </c>
      <c r="GC129" t="e">
        <f>AND(tecantrop!P226,"AAAAAE//9rg=")</f>
        <v>#VALUE!</v>
      </c>
      <c r="GD129" t="e">
        <f>AND(tecantrop!Q226,"AAAAAE//9rk=")</f>
        <v>#VALUE!</v>
      </c>
      <c r="GE129" t="e">
        <f>AND(tecantrop!R226,"AAAAAE//9ro=")</f>
        <v>#VALUE!</v>
      </c>
      <c r="GF129" t="e">
        <f>AND(tecantrop!S226,"AAAAAE//9rs=")</f>
        <v>#VALUE!</v>
      </c>
      <c r="GG129" t="e">
        <f>AND(tecantrop!T226,"AAAAAE//9rw=")</f>
        <v>#VALUE!</v>
      </c>
      <c r="GH129" t="e">
        <f>AND(tecantrop!U226,"AAAAAE//9r0=")</f>
        <v>#VALUE!</v>
      </c>
      <c r="GI129" t="e">
        <f>AND(tecantrop!V226,"AAAAAE//9r4=")</f>
        <v>#VALUE!</v>
      </c>
      <c r="GJ129" t="e">
        <f>AND(tecantrop!W226,"AAAAAE//9r8=")</f>
        <v>#VALUE!</v>
      </c>
      <c r="GK129" t="e">
        <f>AND(tecantrop!X226,"AAAAAE//9sA=")</f>
        <v>#VALUE!</v>
      </c>
      <c r="GL129">
        <f>IF(tecantrop!227:227,"AAAAAE//9sE=",0)</f>
        <v>0</v>
      </c>
      <c r="GM129" t="e">
        <f>AND(tecantrop!A227,"AAAAAE//9sI=")</f>
        <v>#VALUE!</v>
      </c>
      <c r="GN129" t="e">
        <f>AND(tecantrop!B227,"AAAAAE//9sM=")</f>
        <v>#VALUE!</v>
      </c>
      <c r="GO129" t="e">
        <f>AND(tecantrop!C227,"AAAAAE//9sQ=")</f>
        <v>#VALUE!</v>
      </c>
      <c r="GP129" t="e">
        <f>AND(tecantrop!D227,"AAAAAE//9sU=")</f>
        <v>#VALUE!</v>
      </c>
      <c r="GQ129" t="e">
        <f>AND(tecantrop!E227,"AAAAAE//9sY=")</f>
        <v>#VALUE!</v>
      </c>
      <c r="GR129" t="e">
        <f>AND(tecantrop!F227,"AAAAAE//9sc=")</f>
        <v>#VALUE!</v>
      </c>
      <c r="GS129" t="e">
        <f>AND(tecantrop!G227,"AAAAAE//9sg=")</f>
        <v>#VALUE!</v>
      </c>
      <c r="GT129" t="e">
        <f>AND(tecantrop!H227,"AAAAAE//9sk=")</f>
        <v>#VALUE!</v>
      </c>
      <c r="GU129" t="e">
        <f>AND(tecantrop!I227,"AAAAAE//9so=")</f>
        <v>#VALUE!</v>
      </c>
      <c r="GV129" t="e">
        <f>AND(tecantrop!J227,"AAAAAE//9ss=")</f>
        <v>#VALUE!</v>
      </c>
      <c r="GW129" t="e">
        <f>AND(tecantrop!K227,"AAAAAE//9sw=")</f>
        <v>#VALUE!</v>
      </c>
      <c r="GX129" t="e">
        <f>AND(tecantrop!L227,"AAAAAE//9s0=")</f>
        <v>#VALUE!</v>
      </c>
      <c r="GY129" t="e">
        <f>AND(tecantrop!M227,"AAAAAE//9s4=")</f>
        <v>#VALUE!</v>
      </c>
      <c r="GZ129" t="e">
        <f>AND(tecantrop!N227,"AAAAAE//9s8=")</f>
        <v>#VALUE!</v>
      </c>
      <c r="HA129" t="e">
        <f>AND(tecantrop!O227,"AAAAAE//9tA=")</f>
        <v>#VALUE!</v>
      </c>
      <c r="HB129" t="e">
        <f>AND(tecantrop!P227,"AAAAAE//9tE=")</f>
        <v>#VALUE!</v>
      </c>
      <c r="HC129" t="e">
        <f>AND(tecantrop!Q227,"AAAAAE//9tI=")</f>
        <v>#VALUE!</v>
      </c>
      <c r="HD129" t="e">
        <f>AND(tecantrop!R227,"AAAAAE//9tM=")</f>
        <v>#VALUE!</v>
      </c>
      <c r="HE129" t="e">
        <f>AND(tecantrop!S227,"AAAAAE//9tQ=")</f>
        <v>#VALUE!</v>
      </c>
      <c r="HF129" t="e">
        <f>AND(tecantrop!T227,"AAAAAE//9tU=")</f>
        <v>#VALUE!</v>
      </c>
      <c r="HG129" t="e">
        <f>AND(tecantrop!U227,"AAAAAE//9tY=")</f>
        <v>#VALUE!</v>
      </c>
      <c r="HH129" t="e">
        <f>AND(tecantrop!V227,"AAAAAE//9tc=")</f>
        <v>#VALUE!</v>
      </c>
      <c r="HI129" t="e">
        <f>AND(tecantrop!W227,"AAAAAE//9tg=")</f>
        <v>#VALUE!</v>
      </c>
      <c r="HJ129" t="e">
        <f>AND(tecantrop!X227,"AAAAAE//9tk=")</f>
        <v>#VALUE!</v>
      </c>
      <c r="HK129">
        <f>IF(tecantrop!228:228,"AAAAAE//9to=",0)</f>
        <v>0</v>
      </c>
      <c r="HL129" t="e">
        <f>AND(tecantrop!A228,"AAAAAE//9ts=")</f>
        <v>#VALUE!</v>
      </c>
      <c r="HM129" t="e">
        <f>AND(tecantrop!B228,"AAAAAE//9tw=")</f>
        <v>#VALUE!</v>
      </c>
      <c r="HN129" t="e">
        <f>AND(tecantrop!C228,"AAAAAE//9t0=")</f>
        <v>#VALUE!</v>
      </c>
      <c r="HO129" t="e">
        <f>AND(tecantrop!D228,"AAAAAE//9t4=")</f>
        <v>#VALUE!</v>
      </c>
      <c r="HP129" t="e">
        <f>AND(tecantrop!E228,"AAAAAE//9t8=")</f>
        <v>#VALUE!</v>
      </c>
      <c r="HQ129" t="e">
        <f>AND(tecantrop!F228,"AAAAAE//9uA=")</f>
        <v>#VALUE!</v>
      </c>
      <c r="HR129" t="e">
        <f>AND(tecantrop!G228,"AAAAAE//9uE=")</f>
        <v>#VALUE!</v>
      </c>
      <c r="HS129" t="e">
        <f>AND(tecantrop!H228,"AAAAAE//9uI=")</f>
        <v>#VALUE!</v>
      </c>
      <c r="HT129" t="e">
        <f>AND(tecantrop!I228,"AAAAAE//9uM=")</f>
        <v>#VALUE!</v>
      </c>
      <c r="HU129" t="e">
        <f>AND(tecantrop!J228,"AAAAAE//9uQ=")</f>
        <v>#VALUE!</v>
      </c>
      <c r="HV129" t="e">
        <f>AND(tecantrop!K228,"AAAAAE//9uU=")</f>
        <v>#VALUE!</v>
      </c>
      <c r="HW129" t="e">
        <f>AND(tecantrop!L228,"AAAAAE//9uY=")</f>
        <v>#VALUE!</v>
      </c>
      <c r="HX129" t="e">
        <f>AND(tecantrop!M228,"AAAAAE//9uc=")</f>
        <v>#VALUE!</v>
      </c>
      <c r="HY129" t="e">
        <f>AND(tecantrop!N228,"AAAAAE//9ug=")</f>
        <v>#VALUE!</v>
      </c>
      <c r="HZ129" t="e">
        <f>AND(tecantrop!O228,"AAAAAE//9uk=")</f>
        <v>#VALUE!</v>
      </c>
      <c r="IA129" t="e">
        <f>AND(tecantrop!P228,"AAAAAE//9uo=")</f>
        <v>#VALUE!</v>
      </c>
      <c r="IB129" t="e">
        <f>AND(tecantrop!Q228,"AAAAAE//9us=")</f>
        <v>#VALUE!</v>
      </c>
      <c r="IC129" t="e">
        <f>AND(tecantrop!R228,"AAAAAE//9uw=")</f>
        <v>#VALUE!</v>
      </c>
      <c r="ID129" t="e">
        <f>AND(tecantrop!S228,"AAAAAE//9u0=")</f>
        <v>#VALUE!</v>
      </c>
      <c r="IE129" t="e">
        <f>AND(tecantrop!T228,"AAAAAE//9u4=")</f>
        <v>#VALUE!</v>
      </c>
      <c r="IF129" t="e">
        <f>AND(tecantrop!U228,"AAAAAE//9u8=")</f>
        <v>#VALUE!</v>
      </c>
      <c r="IG129" t="e">
        <f>AND(tecantrop!V228,"AAAAAE//9vA=")</f>
        <v>#VALUE!</v>
      </c>
      <c r="IH129" t="e">
        <f>AND(tecantrop!W228,"AAAAAE//9vE=")</f>
        <v>#VALUE!</v>
      </c>
      <c r="II129" t="e">
        <f>AND(tecantrop!X228,"AAAAAE//9vI=")</f>
        <v>#VALUE!</v>
      </c>
      <c r="IJ129">
        <f>IF(tecantrop!229:229,"AAAAAE//9vM=",0)</f>
        <v>0</v>
      </c>
      <c r="IK129" t="e">
        <f>AND(tecantrop!A229,"AAAAAE//9vQ=")</f>
        <v>#VALUE!</v>
      </c>
      <c r="IL129" t="e">
        <f>AND(tecantrop!B229,"AAAAAE//9vU=")</f>
        <v>#VALUE!</v>
      </c>
      <c r="IM129" t="e">
        <f>AND(tecantrop!C229,"AAAAAE//9vY=")</f>
        <v>#VALUE!</v>
      </c>
      <c r="IN129" t="e">
        <f>AND(tecantrop!D229,"AAAAAE//9vc=")</f>
        <v>#VALUE!</v>
      </c>
      <c r="IO129" t="e">
        <f>AND(tecantrop!E229,"AAAAAE//9vg=")</f>
        <v>#VALUE!</v>
      </c>
      <c r="IP129" t="e">
        <f>AND(tecantrop!F229,"AAAAAE//9vk=")</f>
        <v>#VALUE!</v>
      </c>
      <c r="IQ129" t="e">
        <f>AND(tecantrop!G229,"AAAAAE//9vo=")</f>
        <v>#VALUE!</v>
      </c>
      <c r="IR129" t="e">
        <f>AND(tecantrop!H229,"AAAAAE//9vs=")</f>
        <v>#VALUE!</v>
      </c>
      <c r="IS129" t="e">
        <f>AND(tecantrop!I229,"AAAAAE//9vw=")</f>
        <v>#VALUE!</v>
      </c>
      <c r="IT129" t="e">
        <f>AND(tecantrop!J229,"AAAAAE//9v0=")</f>
        <v>#VALUE!</v>
      </c>
      <c r="IU129" t="e">
        <f>AND(tecantrop!K229,"AAAAAE//9v4=")</f>
        <v>#VALUE!</v>
      </c>
      <c r="IV129" t="e">
        <f>AND(tecantrop!L229,"AAAAAE//9v8=")</f>
        <v>#VALUE!</v>
      </c>
    </row>
    <row r="130" spans="1:256" x14ac:dyDescent="0.2">
      <c r="A130" t="e">
        <f>AND(tecantrop!M229,"AAAAAD/16QA=")</f>
        <v>#VALUE!</v>
      </c>
      <c r="B130" t="e">
        <f>AND(tecantrop!N229,"AAAAAD/16QE=")</f>
        <v>#VALUE!</v>
      </c>
      <c r="C130" t="e">
        <f>AND(tecantrop!O229,"AAAAAD/16QI=")</f>
        <v>#VALUE!</v>
      </c>
      <c r="D130" t="e">
        <f>AND(tecantrop!P229,"AAAAAD/16QM=")</f>
        <v>#VALUE!</v>
      </c>
      <c r="E130" t="e">
        <f>AND(tecantrop!Q229,"AAAAAD/16QQ=")</f>
        <v>#VALUE!</v>
      </c>
      <c r="F130" t="e">
        <f>AND(tecantrop!R229,"AAAAAD/16QU=")</f>
        <v>#VALUE!</v>
      </c>
      <c r="G130" t="e">
        <f>AND(tecantrop!S229,"AAAAAD/16QY=")</f>
        <v>#VALUE!</v>
      </c>
      <c r="H130" t="e">
        <f>AND(tecantrop!T229,"AAAAAD/16Qc=")</f>
        <v>#VALUE!</v>
      </c>
      <c r="I130" t="e">
        <f>AND(tecantrop!U229,"AAAAAD/16Qg=")</f>
        <v>#VALUE!</v>
      </c>
      <c r="J130" t="e">
        <f>AND(tecantrop!V229,"AAAAAD/16Qk=")</f>
        <v>#VALUE!</v>
      </c>
      <c r="K130" t="e">
        <f>AND(tecantrop!W229,"AAAAAD/16Qo=")</f>
        <v>#VALUE!</v>
      </c>
      <c r="L130" t="e">
        <f>AND(tecantrop!X229,"AAAAAD/16Qs=")</f>
        <v>#VALUE!</v>
      </c>
      <c r="M130">
        <f>IF(tecantrop!230:230,"AAAAAD/16Qw=",0)</f>
        <v>0</v>
      </c>
      <c r="N130" t="e">
        <f>AND(tecantrop!A230,"AAAAAD/16Q0=")</f>
        <v>#VALUE!</v>
      </c>
      <c r="O130" t="e">
        <f>AND(tecantrop!B230,"AAAAAD/16Q4=")</f>
        <v>#VALUE!</v>
      </c>
      <c r="P130" t="e">
        <f>AND(tecantrop!C230,"AAAAAD/16Q8=")</f>
        <v>#VALUE!</v>
      </c>
      <c r="Q130" t="e">
        <f>AND(tecantrop!D230,"AAAAAD/16RA=")</f>
        <v>#VALUE!</v>
      </c>
      <c r="R130" t="e">
        <f>AND(tecantrop!E230,"AAAAAD/16RE=")</f>
        <v>#VALUE!</v>
      </c>
      <c r="S130" t="e">
        <f>AND(tecantrop!F230,"AAAAAD/16RI=")</f>
        <v>#VALUE!</v>
      </c>
      <c r="T130" t="e">
        <f>AND(tecantrop!G230,"AAAAAD/16RM=")</f>
        <v>#VALUE!</v>
      </c>
      <c r="U130" t="e">
        <f>AND(tecantrop!H230,"AAAAAD/16RQ=")</f>
        <v>#VALUE!</v>
      </c>
      <c r="V130" t="e">
        <f>AND(tecantrop!I230,"AAAAAD/16RU=")</f>
        <v>#VALUE!</v>
      </c>
      <c r="W130" t="e">
        <f>AND(tecantrop!J230,"AAAAAD/16RY=")</f>
        <v>#VALUE!</v>
      </c>
      <c r="X130" t="e">
        <f>AND(tecantrop!K230,"AAAAAD/16Rc=")</f>
        <v>#VALUE!</v>
      </c>
      <c r="Y130" t="e">
        <f>AND(tecantrop!L230,"AAAAAD/16Rg=")</f>
        <v>#VALUE!</v>
      </c>
      <c r="Z130" t="e">
        <f>AND(tecantrop!M230,"AAAAAD/16Rk=")</f>
        <v>#VALUE!</v>
      </c>
      <c r="AA130" t="e">
        <f>AND(tecantrop!N230,"AAAAAD/16Ro=")</f>
        <v>#VALUE!</v>
      </c>
      <c r="AB130" t="e">
        <f>AND(tecantrop!O230,"AAAAAD/16Rs=")</f>
        <v>#VALUE!</v>
      </c>
      <c r="AC130" t="e">
        <f>AND(tecantrop!P230,"AAAAAD/16Rw=")</f>
        <v>#VALUE!</v>
      </c>
      <c r="AD130" t="e">
        <f>AND(tecantrop!Q230,"AAAAAD/16R0=")</f>
        <v>#VALUE!</v>
      </c>
      <c r="AE130" t="e">
        <f>AND(tecantrop!R230,"AAAAAD/16R4=")</f>
        <v>#VALUE!</v>
      </c>
      <c r="AF130" t="e">
        <f>AND(tecantrop!S230,"AAAAAD/16R8=")</f>
        <v>#VALUE!</v>
      </c>
      <c r="AG130" t="e">
        <f>AND(tecantrop!T230,"AAAAAD/16SA=")</f>
        <v>#VALUE!</v>
      </c>
      <c r="AH130" t="e">
        <f>AND(tecantrop!U230,"AAAAAD/16SE=")</f>
        <v>#VALUE!</v>
      </c>
      <c r="AI130" t="e">
        <f>AND(tecantrop!V230,"AAAAAD/16SI=")</f>
        <v>#VALUE!</v>
      </c>
      <c r="AJ130" t="e">
        <f>AND(tecantrop!W230,"AAAAAD/16SM=")</f>
        <v>#VALUE!</v>
      </c>
      <c r="AK130" t="e">
        <f>AND(tecantrop!X230,"AAAAAD/16SQ=")</f>
        <v>#VALUE!</v>
      </c>
      <c r="AL130">
        <f>IF(tecantrop!231:231,"AAAAAD/16SU=",0)</f>
        <v>0</v>
      </c>
      <c r="AM130" t="e">
        <f>AND(tecantrop!A231,"AAAAAD/16SY=")</f>
        <v>#VALUE!</v>
      </c>
      <c r="AN130" t="e">
        <f>AND(tecantrop!B231,"AAAAAD/16Sc=")</f>
        <v>#VALUE!</v>
      </c>
      <c r="AO130" t="e">
        <f>AND(tecantrop!C231,"AAAAAD/16Sg=")</f>
        <v>#VALUE!</v>
      </c>
      <c r="AP130" t="e">
        <f>AND(tecantrop!D231,"AAAAAD/16Sk=")</f>
        <v>#VALUE!</v>
      </c>
      <c r="AQ130" t="e">
        <f>AND(tecantrop!E231,"AAAAAD/16So=")</f>
        <v>#VALUE!</v>
      </c>
      <c r="AR130" t="e">
        <f>AND(tecantrop!F231,"AAAAAD/16Ss=")</f>
        <v>#VALUE!</v>
      </c>
      <c r="AS130" t="e">
        <f>AND(tecantrop!G231,"AAAAAD/16Sw=")</f>
        <v>#VALUE!</v>
      </c>
      <c r="AT130" t="e">
        <f>AND(tecantrop!H231,"AAAAAD/16S0=")</f>
        <v>#VALUE!</v>
      </c>
      <c r="AU130" t="e">
        <f>AND(tecantrop!I231,"AAAAAD/16S4=")</f>
        <v>#VALUE!</v>
      </c>
      <c r="AV130" t="e">
        <f>AND(tecantrop!J231,"AAAAAD/16S8=")</f>
        <v>#VALUE!</v>
      </c>
      <c r="AW130" t="e">
        <f>AND(tecantrop!K231,"AAAAAD/16TA=")</f>
        <v>#VALUE!</v>
      </c>
      <c r="AX130" t="e">
        <f>AND(tecantrop!L231,"AAAAAD/16TE=")</f>
        <v>#VALUE!</v>
      </c>
      <c r="AY130" t="e">
        <f>AND(tecantrop!M231,"AAAAAD/16TI=")</f>
        <v>#VALUE!</v>
      </c>
      <c r="AZ130" t="e">
        <f>AND(tecantrop!N231,"AAAAAD/16TM=")</f>
        <v>#VALUE!</v>
      </c>
      <c r="BA130" t="e">
        <f>AND(tecantrop!O231,"AAAAAD/16TQ=")</f>
        <v>#VALUE!</v>
      </c>
      <c r="BB130" t="e">
        <f>AND(tecantrop!P231,"AAAAAD/16TU=")</f>
        <v>#VALUE!</v>
      </c>
      <c r="BC130" t="e">
        <f>AND(tecantrop!Q231,"AAAAAD/16TY=")</f>
        <v>#VALUE!</v>
      </c>
      <c r="BD130" t="e">
        <f>AND(tecantrop!R231,"AAAAAD/16Tc=")</f>
        <v>#VALUE!</v>
      </c>
      <c r="BE130" t="e">
        <f>AND(tecantrop!S231,"AAAAAD/16Tg=")</f>
        <v>#VALUE!</v>
      </c>
      <c r="BF130" t="e">
        <f>AND(tecantrop!T231,"AAAAAD/16Tk=")</f>
        <v>#VALUE!</v>
      </c>
      <c r="BG130" t="e">
        <f>AND(tecantrop!U231,"AAAAAD/16To=")</f>
        <v>#VALUE!</v>
      </c>
      <c r="BH130" t="e">
        <f>AND(tecantrop!V231,"AAAAAD/16Ts=")</f>
        <v>#VALUE!</v>
      </c>
      <c r="BI130" t="e">
        <f>AND(tecantrop!W231,"AAAAAD/16Tw=")</f>
        <v>#VALUE!</v>
      </c>
      <c r="BJ130" t="e">
        <f>AND(tecantrop!X231,"AAAAAD/16T0=")</f>
        <v>#VALUE!</v>
      </c>
      <c r="BK130">
        <f>IF(tecantrop!232:232,"AAAAAD/16T4=",0)</f>
        <v>0</v>
      </c>
      <c r="BL130" t="e">
        <f>AND(tecantrop!A232,"AAAAAD/16T8=")</f>
        <v>#VALUE!</v>
      </c>
      <c r="BM130" t="e">
        <f>AND(tecantrop!B232,"AAAAAD/16UA=")</f>
        <v>#VALUE!</v>
      </c>
      <c r="BN130" t="e">
        <f>AND(tecantrop!C232,"AAAAAD/16UE=")</f>
        <v>#VALUE!</v>
      </c>
      <c r="BO130" t="e">
        <f>AND(tecantrop!D232,"AAAAAD/16UI=")</f>
        <v>#VALUE!</v>
      </c>
      <c r="BP130" t="e">
        <f>AND(tecantrop!E232,"AAAAAD/16UM=")</f>
        <v>#VALUE!</v>
      </c>
      <c r="BQ130" t="e">
        <f>AND(tecantrop!F232,"AAAAAD/16UQ=")</f>
        <v>#VALUE!</v>
      </c>
      <c r="BR130" t="e">
        <f>AND(tecantrop!G232,"AAAAAD/16UU=")</f>
        <v>#VALUE!</v>
      </c>
      <c r="BS130" t="e">
        <f>AND(tecantrop!H232,"AAAAAD/16UY=")</f>
        <v>#VALUE!</v>
      </c>
      <c r="BT130" t="e">
        <f>AND(tecantrop!I232,"AAAAAD/16Uc=")</f>
        <v>#VALUE!</v>
      </c>
      <c r="BU130" t="e">
        <f>AND(tecantrop!J232,"AAAAAD/16Ug=")</f>
        <v>#VALUE!</v>
      </c>
      <c r="BV130" t="e">
        <f>AND(tecantrop!K232,"AAAAAD/16Uk=")</f>
        <v>#VALUE!</v>
      </c>
      <c r="BW130" t="e">
        <f>AND(tecantrop!L232,"AAAAAD/16Uo=")</f>
        <v>#VALUE!</v>
      </c>
      <c r="BX130" t="e">
        <f>AND(tecantrop!M232,"AAAAAD/16Us=")</f>
        <v>#VALUE!</v>
      </c>
      <c r="BY130" t="e">
        <f>AND(tecantrop!N232,"AAAAAD/16Uw=")</f>
        <v>#VALUE!</v>
      </c>
      <c r="BZ130" t="e">
        <f>AND(tecantrop!O232,"AAAAAD/16U0=")</f>
        <v>#VALUE!</v>
      </c>
      <c r="CA130" t="e">
        <f>AND(tecantrop!P232,"AAAAAD/16U4=")</f>
        <v>#VALUE!</v>
      </c>
      <c r="CB130" t="e">
        <f>AND(tecantrop!Q232,"AAAAAD/16U8=")</f>
        <v>#VALUE!</v>
      </c>
      <c r="CC130" t="e">
        <f>AND(tecantrop!R232,"AAAAAD/16VA=")</f>
        <v>#VALUE!</v>
      </c>
      <c r="CD130" t="e">
        <f>AND(tecantrop!S232,"AAAAAD/16VE=")</f>
        <v>#VALUE!</v>
      </c>
      <c r="CE130" t="e">
        <f>AND(tecantrop!T232,"AAAAAD/16VI=")</f>
        <v>#VALUE!</v>
      </c>
      <c r="CF130" t="e">
        <f>AND(tecantrop!U232,"AAAAAD/16VM=")</f>
        <v>#VALUE!</v>
      </c>
      <c r="CG130" t="e">
        <f>AND(tecantrop!V232,"AAAAAD/16VQ=")</f>
        <v>#VALUE!</v>
      </c>
      <c r="CH130" t="e">
        <f>AND(tecantrop!W232,"AAAAAD/16VU=")</f>
        <v>#VALUE!</v>
      </c>
      <c r="CI130" t="e">
        <f>AND(tecantrop!X232,"AAAAAD/16VY=")</f>
        <v>#VALUE!</v>
      </c>
      <c r="CJ130">
        <f>IF(tecantrop!233:233,"AAAAAD/16Vc=",0)</f>
        <v>0</v>
      </c>
      <c r="CK130" t="e">
        <f>AND(tecantrop!A233,"AAAAAD/16Vg=")</f>
        <v>#VALUE!</v>
      </c>
      <c r="CL130" t="e">
        <f>AND(tecantrop!B233,"AAAAAD/16Vk=")</f>
        <v>#VALUE!</v>
      </c>
      <c r="CM130" t="e">
        <f>AND(tecantrop!C233,"AAAAAD/16Vo=")</f>
        <v>#VALUE!</v>
      </c>
      <c r="CN130" t="e">
        <f>AND(tecantrop!D233,"AAAAAD/16Vs=")</f>
        <v>#VALUE!</v>
      </c>
      <c r="CO130" t="e">
        <f>AND(tecantrop!E233,"AAAAAD/16Vw=")</f>
        <v>#VALUE!</v>
      </c>
      <c r="CP130" t="e">
        <f>AND(tecantrop!F233,"AAAAAD/16V0=")</f>
        <v>#VALUE!</v>
      </c>
      <c r="CQ130" t="e">
        <f>AND(tecantrop!G233,"AAAAAD/16V4=")</f>
        <v>#VALUE!</v>
      </c>
      <c r="CR130" t="e">
        <f>AND(tecantrop!H233,"AAAAAD/16V8=")</f>
        <v>#VALUE!</v>
      </c>
      <c r="CS130" t="e">
        <f>AND(tecantrop!I233,"AAAAAD/16WA=")</f>
        <v>#VALUE!</v>
      </c>
      <c r="CT130" t="e">
        <f>AND(tecantrop!J233,"AAAAAD/16WE=")</f>
        <v>#VALUE!</v>
      </c>
      <c r="CU130" t="e">
        <f>AND(tecantrop!K233,"AAAAAD/16WI=")</f>
        <v>#VALUE!</v>
      </c>
      <c r="CV130" t="e">
        <f>AND(tecantrop!L233,"AAAAAD/16WM=")</f>
        <v>#VALUE!</v>
      </c>
      <c r="CW130" t="e">
        <f>AND(tecantrop!M233,"AAAAAD/16WQ=")</f>
        <v>#VALUE!</v>
      </c>
      <c r="CX130" t="e">
        <f>AND(tecantrop!N233,"AAAAAD/16WU=")</f>
        <v>#VALUE!</v>
      </c>
      <c r="CY130" t="e">
        <f>AND(tecantrop!O233,"AAAAAD/16WY=")</f>
        <v>#VALUE!</v>
      </c>
      <c r="CZ130" t="e">
        <f>AND(tecantrop!P233,"AAAAAD/16Wc=")</f>
        <v>#VALUE!</v>
      </c>
      <c r="DA130" t="e">
        <f>AND(tecantrop!Q233,"AAAAAD/16Wg=")</f>
        <v>#VALUE!</v>
      </c>
      <c r="DB130" t="e">
        <f>AND(tecantrop!R233,"AAAAAD/16Wk=")</f>
        <v>#VALUE!</v>
      </c>
      <c r="DC130" t="e">
        <f>AND(tecantrop!S233,"AAAAAD/16Wo=")</f>
        <v>#VALUE!</v>
      </c>
      <c r="DD130" t="e">
        <f>AND(tecantrop!T233,"AAAAAD/16Ws=")</f>
        <v>#VALUE!</v>
      </c>
      <c r="DE130" t="e">
        <f>AND(tecantrop!U233,"AAAAAD/16Ww=")</f>
        <v>#VALUE!</v>
      </c>
      <c r="DF130" t="e">
        <f>AND(tecantrop!V233,"AAAAAD/16W0=")</f>
        <v>#VALUE!</v>
      </c>
      <c r="DG130" t="e">
        <f>AND(tecantrop!W233,"AAAAAD/16W4=")</f>
        <v>#VALUE!</v>
      </c>
      <c r="DH130" t="e">
        <f>AND(tecantrop!X233,"AAAAAD/16W8=")</f>
        <v>#VALUE!</v>
      </c>
      <c r="DI130">
        <f>IF(tecantrop!234:234,"AAAAAD/16XA=",0)</f>
        <v>0</v>
      </c>
      <c r="DJ130" t="e">
        <f>AND(tecantrop!A234,"AAAAAD/16XE=")</f>
        <v>#VALUE!</v>
      </c>
      <c r="DK130" t="e">
        <f>AND(tecantrop!B234,"AAAAAD/16XI=")</f>
        <v>#VALUE!</v>
      </c>
      <c r="DL130" t="e">
        <f>AND(tecantrop!C234,"AAAAAD/16XM=")</f>
        <v>#VALUE!</v>
      </c>
      <c r="DM130" t="e">
        <f>AND(tecantrop!D234,"AAAAAD/16XQ=")</f>
        <v>#VALUE!</v>
      </c>
      <c r="DN130" t="e">
        <f>AND(tecantrop!E234,"AAAAAD/16XU=")</f>
        <v>#VALUE!</v>
      </c>
      <c r="DO130" t="e">
        <f>AND(tecantrop!F234,"AAAAAD/16XY=")</f>
        <v>#VALUE!</v>
      </c>
      <c r="DP130" t="e">
        <f>AND(tecantrop!G234,"AAAAAD/16Xc=")</f>
        <v>#VALUE!</v>
      </c>
      <c r="DQ130" t="e">
        <f>AND(tecantrop!H234,"AAAAAD/16Xg=")</f>
        <v>#VALUE!</v>
      </c>
      <c r="DR130" t="e">
        <f>AND(tecantrop!I234,"AAAAAD/16Xk=")</f>
        <v>#VALUE!</v>
      </c>
      <c r="DS130" t="e">
        <f>AND(tecantrop!J234,"AAAAAD/16Xo=")</f>
        <v>#VALUE!</v>
      </c>
      <c r="DT130" t="e">
        <f>AND(tecantrop!K234,"AAAAAD/16Xs=")</f>
        <v>#VALUE!</v>
      </c>
      <c r="DU130" t="e">
        <f>AND(tecantrop!L234,"AAAAAD/16Xw=")</f>
        <v>#VALUE!</v>
      </c>
      <c r="DV130" t="e">
        <f>AND(tecantrop!M234,"AAAAAD/16X0=")</f>
        <v>#VALUE!</v>
      </c>
      <c r="DW130" t="e">
        <f>AND(tecantrop!N234,"AAAAAD/16X4=")</f>
        <v>#VALUE!</v>
      </c>
      <c r="DX130" t="e">
        <f>AND(tecantrop!O234,"AAAAAD/16X8=")</f>
        <v>#VALUE!</v>
      </c>
      <c r="DY130" t="e">
        <f>AND(tecantrop!P234,"AAAAAD/16YA=")</f>
        <v>#VALUE!</v>
      </c>
      <c r="DZ130" t="e">
        <f>AND(tecantrop!Q234,"AAAAAD/16YE=")</f>
        <v>#VALUE!</v>
      </c>
      <c r="EA130" t="e">
        <f>AND(tecantrop!R234,"AAAAAD/16YI=")</f>
        <v>#VALUE!</v>
      </c>
      <c r="EB130" t="e">
        <f>AND(tecantrop!S234,"AAAAAD/16YM=")</f>
        <v>#VALUE!</v>
      </c>
      <c r="EC130" t="e">
        <f>AND(tecantrop!T234,"AAAAAD/16YQ=")</f>
        <v>#VALUE!</v>
      </c>
      <c r="ED130" t="e">
        <f>AND(tecantrop!U234,"AAAAAD/16YU=")</f>
        <v>#VALUE!</v>
      </c>
      <c r="EE130" t="e">
        <f>AND(tecantrop!V234,"AAAAAD/16YY=")</f>
        <v>#VALUE!</v>
      </c>
      <c r="EF130" t="e">
        <f>AND(tecantrop!W234,"AAAAAD/16Yc=")</f>
        <v>#VALUE!</v>
      </c>
      <c r="EG130" t="e">
        <f>AND(tecantrop!X234,"AAAAAD/16Yg=")</f>
        <v>#VALUE!</v>
      </c>
      <c r="EH130">
        <f>IF(tecantrop!235:235,"AAAAAD/16Yk=",0)</f>
        <v>0</v>
      </c>
      <c r="EI130" t="e">
        <f>AND(tecantrop!A235,"AAAAAD/16Yo=")</f>
        <v>#VALUE!</v>
      </c>
      <c r="EJ130" t="e">
        <f>AND(tecantrop!B235,"AAAAAD/16Ys=")</f>
        <v>#VALUE!</v>
      </c>
      <c r="EK130" t="e">
        <f>AND(tecantrop!C235,"AAAAAD/16Yw=")</f>
        <v>#VALUE!</v>
      </c>
      <c r="EL130" t="e">
        <f>AND(tecantrop!D235,"AAAAAD/16Y0=")</f>
        <v>#VALUE!</v>
      </c>
      <c r="EM130" t="e">
        <f>AND(tecantrop!E235,"AAAAAD/16Y4=")</f>
        <v>#VALUE!</v>
      </c>
      <c r="EN130" t="e">
        <f>AND(tecantrop!F235,"AAAAAD/16Y8=")</f>
        <v>#VALUE!</v>
      </c>
      <c r="EO130" t="e">
        <f>AND(tecantrop!G235,"AAAAAD/16ZA=")</f>
        <v>#VALUE!</v>
      </c>
      <c r="EP130" t="e">
        <f>AND(tecantrop!H235,"AAAAAD/16ZE=")</f>
        <v>#VALUE!</v>
      </c>
      <c r="EQ130" t="e">
        <f>AND(tecantrop!I235,"AAAAAD/16ZI=")</f>
        <v>#VALUE!</v>
      </c>
      <c r="ER130" t="e">
        <f>AND(tecantrop!J235,"AAAAAD/16ZM=")</f>
        <v>#VALUE!</v>
      </c>
      <c r="ES130" t="e">
        <f>AND(tecantrop!K235,"AAAAAD/16ZQ=")</f>
        <v>#VALUE!</v>
      </c>
      <c r="ET130" t="e">
        <f>AND(tecantrop!L235,"AAAAAD/16ZU=")</f>
        <v>#VALUE!</v>
      </c>
      <c r="EU130" t="e">
        <f>AND(tecantrop!M235,"AAAAAD/16ZY=")</f>
        <v>#VALUE!</v>
      </c>
      <c r="EV130" t="e">
        <f>AND(tecantrop!N235,"AAAAAD/16Zc=")</f>
        <v>#VALUE!</v>
      </c>
      <c r="EW130" t="e">
        <f>AND(tecantrop!O235,"AAAAAD/16Zg=")</f>
        <v>#VALUE!</v>
      </c>
      <c r="EX130" t="e">
        <f>AND(tecantrop!P235,"AAAAAD/16Zk=")</f>
        <v>#VALUE!</v>
      </c>
      <c r="EY130" t="e">
        <f>AND(tecantrop!Q235,"AAAAAD/16Zo=")</f>
        <v>#VALUE!</v>
      </c>
      <c r="EZ130" t="e">
        <f>AND(tecantrop!R235,"AAAAAD/16Zs=")</f>
        <v>#VALUE!</v>
      </c>
      <c r="FA130" t="e">
        <f>AND(tecantrop!S235,"AAAAAD/16Zw=")</f>
        <v>#VALUE!</v>
      </c>
      <c r="FB130" t="e">
        <f>AND(tecantrop!T235,"AAAAAD/16Z0=")</f>
        <v>#VALUE!</v>
      </c>
      <c r="FC130" t="e">
        <f>AND(tecantrop!U235,"AAAAAD/16Z4=")</f>
        <v>#VALUE!</v>
      </c>
      <c r="FD130" t="e">
        <f>AND(tecantrop!V235,"AAAAAD/16Z8=")</f>
        <v>#VALUE!</v>
      </c>
      <c r="FE130" t="e">
        <f>AND(tecantrop!W235,"AAAAAD/16aA=")</f>
        <v>#VALUE!</v>
      </c>
      <c r="FF130" t="e">
        <f>AND(tecantrop!X235,"AAAAAD/16aE=")</f>
        <v>#VALUE!</v>
      </c>
      <c r="FG130">
        <f>IF(tecantrop!236:236,"AAAAAD/16aI=",0)</f>
        <v>0</v>
      </c>
      <c r="FH130" t="e">
        <f>AND(tecantrop!A236,"AAAAAD/16aM=")</f>
        <v>#VALUE!</v>
      </c>
      <c r="FI130" t="e">
        <f>AND(tecantrop!B236,"AAAAAD/16aQ=")</f>
        <v>#VALUE!</v>
      </c>
      <c r="FJ130" t="e">
        <f>AND(tecantrop!C236,"AAAAAD/16aU=")</f>
        <v>#VALUE!</v>
      </c>
      <c r="FK130" t="e">
        <f>AND(tecantrop!D236,"AAAAAD/16aY=")</f>
        <v>#VALUE!</v>
      </c>
      <c r="FL130" t="e">
        <f>AND(tecantrop!E236,"AAAAAD/16ac=")</f>
        <v>#VALUE!</v>
      </c>
      <c r="FM130" t="e">
        <f>AND(tecantrop!F236,"AAAAAD/16ag=")</f>
        <v>#VALUE!</v>
      </c>
      <c r="FN130" t="e">
        <f>AND(tecantrop!G236,"AAAAAD/16ak=")</f>
        <v>#VALUE!</v>
      </c>
      <c r="FO130" t="e">
        <f>AND(tecantrop!H236,"AAAAAD/16ao=")</f>
        <v>#VALUE!</v>
      </c>
      <c r="FP130" t="e">
        <f>AND(tecantrop!I236,"AAAAAD/16as=")</f>
        <v>#VALUE!</v>
      </c>
      <c r="FQ130" t="e">
        <f>AND(tecantrop!J236,"AAAAAD/16aw=")</f>
        <v>#VALUE!</v>
      </c>
      <c r="FR130" t="e">
        <f>AND(tecantrop!K236,"AAAAAD/16a0=")</f>
        <v>#VALUE!</v>
      </c>
      <c r="FS130" t="e">
        <f>AND(tecantrop!L236,"AAAAAD/16a4=")</f>
        <v>#VALUE!</v>
      </c>
      <c r="FT130" t="e">
        <f>AND(tecantrop!M236,"AAAAAD/16a8=")</f>
        <v>#VALUE!</v>
      </c>
      <c r="FU130" t="e">
        <f>AND(tecantrop!N236,"AAAAAD/16bA=")</f>
        <v>#VALUE!</v>
      </c>
      <c r="FV130" t="e">
        <f>AND(tecantrop!O236,"AAAAAD/16bE=")</f>
        <v>#VALUE!</v>
      </c>
      <c r="FW130" t="e">
        <f>AND(tecantrop!P236,"AAAAAD/16bI=")</f>
        <v>#VALUE!</v>
      </c>
      <c r="FX130" t="e">
        <f>AND(tecantrop!Q236,"AAAAAD/16bM=")</f>
        <v>#VALUE!</v>
      </c>
      <c r="FY130" t="e">
        <f>AND(tecantrop!R236,"AAAAAD/16bQ=")</f>
        <v>#VALUE!</v>
      </c>
      <c r="FZ130" t="e">
        <f>AND(tecantrop!S236,"AAAAAD/16bU=")</f>
        <v>#VALUE!</v>
      </c>
      <c r="GA130" t="e">
        <f>AND(tecantrop!T236,"AAAAAD/16bY=")</f>
        <v>#VALUE!</v>
      </c>
      <c r="GB130" t="e">
        <f>AND(tecantrop!U236,"AAAAAD/16bc=")</f>
        <v>#VALUE!</v>
      </c>
      <c r="GC130" t="e">
        <f>AND(tecantrop!V236,"AAAAAD/16bg=")</f>
        <v>#VALUE!</v>
      </c>
      <c r="GD130" t="e">
        <f>AND(tecantrop!W236,"AAAAAD/16bk=")</f>
        <v>#VALUE!</v>
      </c>
      <c r="GE130" t="e">
        <f>AND(tecantrop!X236,"AAAAAD/16bo=")</f>
        <v>#VALUE!</v>
      </c>
      <c r="GF130">
        <f>IF(tecantrop!237:237,"AAAAAD/16bs=",0)</f>
        <v>0</v>
      </c>
      <c r="GG130" t="e">
        <f>AND(tecantrop!A237,"AAAAAD/16bw=")</f>
        <v>#VALUE!</v>
      </c>
      <c r="GH130" t="e">
        <f>AND(tecantrop!B237,"AAAAAD/16b0=")</f>
        <v>#VALUE!</v>
      </c>
      <c r="GI130" t="e">
        <f>AND(tecantrop!C237,"AAAAAD/16b4=")</f>
        <v>#VALUE!</v>
      </c>
      <c r="GJ130" t="e">
        <f>AND(tecantrop!D237,"AAAAAD/16b8=")</f>
        <v>#VALUE!</v>
      </c>
      <c r="GK130" t="e">
        <f>AND(tecantrop!E237,"AAAAAD/16cA=")</f>
        <v>#VALUE!</v>
      </c>
      <c r="GL130" t="e">
        <f>AND(tecantrop!F237,"AAAAAD/16cE=")</f>
        <v>#VALUE!</v>
      </c>
      <c r="GM130" t="e">
        <f>AND(tecantrop!G237,"AAAAAD/16cI=")</f>
        <v>#VALUE!</v>
      </c>
      <c r="GN130" t="e">
        <f>AND(tecantrop!H237,"AAAAAD/16cM=")</f>
        <v>#VALUE!</v>
      </c>
      <c r="GO130" t="e">
        <f>AND(tecantrop!I237,"AAAAAD/16cQ=")</f>
        <v>#VALUE!</v>
      </c>
      <c r="GP130" t="e">
        <f>AND(tecantrop!J237,"AAAAAD/16cU=")</f>
        <v>#VALUE!</v>
      </c>
      <c r="GQ130" t="e">
        <f>AND(tecantrop!K237,"AAAAAD/16cY=")</f>
        <v>#VALUE!</v>
      </c>
      <c r="GR130" t="e">
        <f>AND(tecantrop!L237,"AAAAAD/16cc=")</f>
        <v>#VALUE!</v>
      </c>
      <c r="GS130" t="e">
        <f>AND(tecantrop!M237,"AAAAAD/16cg=")</f>
        <v>#VALUE!</v>
      </c>
      <c r="GT130" t="e">
        <f>AND(tecantrop!N237,"AAAAAD/16ck=")</f>
        <v>#VALUE!</v>
      </c>
      <c r="GU130" t="e">
        <f>AND(tecantrop!O237,"AAAAAD/16co=")</f>
        <v>#VALUE!</v>
      </c>
      <c r="GV130" t="e">
        <f>AND(tecantrop!P237,"AAAAAD/16cs=")</f>
        <v>#VALUE!</v>
      </c>
      <c r="GW130" t="e">
        <f>AND(tecantrop!Q237,"AAAAAD/16cw=")</f>
        <v>#VALUE!</v>
      </c>
      <c r="GX130" t="e">
        <f>AND(tecantrop!R237,"AAAAAD/16c0=")</f>
        <v>#VALUE!</v>
      </c>
      <c r="GY130" t="e">
        <f>AND(tecantrop!S237,"AAAAAD/16c4=")</f>
        <v>#VALUE!</v>
      </c>
      <c r="GZ130" t="e">
        <f>AND(tecantrop!T237,"AAAAAD/16c8=")</f>
        <v>#VALUE!</v>
      </c>
      <c r="HA130" t="e">
        <f>AND(tecantrop!U237,"AAAAAD/16dA=")</f>
        <v>#VALUE!</v>
      </c>
      <c r="HB130" t="e">
        <f>AND(tecantrop!V237,"AAAAAD/16dE=")</f>
        <v>#VALUE!</v>
      </c>
      <c r="HC130" t="e">
        <f>AND(tecantrop!W237,"AAAAAD/16dI=")</f>
        <v>#VALUE!</v>
      </c>
      <c r="HD130" t="e">
        <f>AND(tecantrop!X237,"AAAAAD/16dM=")</f>
        <v>#VALUE!</v>
      </c>
      <c r="HE130">
        <f>IF(tecantrop!238:238,"AAAAAD/16dQ=",0)</f>
        <v>0</v>
      </c>
      <c r="HF130" t="e">
        <f>AND(tecantrop!A238,"AAAAAD/16dU=")</f>
        <v>#VALUE!</v>
      </c>
      <c r="HG130" t="e">
        <f>AND(tecantrop!B238,"AAAAAD/16dY=")</f>
        <v>#VALUE!</v>
      </c>
      <c r="HH130" t="e">
        <f>AND(tecantrop!C238,"AAAAAD/16dc=")</f>
        <v>#VALUE!</v>
      </c>
      <c r="HI130" t="e">
        <f>AND(tecantrop!D238,"AAAAAD/16dg=")</f>
        <v>#VALUE!</v>
      </c>
      <c r="HJ130" t="e">
        <f>AND(tecantrop!E238,"AAAAAD/16dk=")</f>
        <v>#VALUE!</v>
      </c>
      <c r="HK130" t="e">
        <f>AND(tecantrop!F238,"AAAAAD/16do=")</f>
        <v>#VALUE!</v>
      </c>
      <c r="HL130" t="e">
        <f>AND(tecantrop!G238,"AAAAAD/16ds=")</f>
        <v>#VALUE!</v>
      </c>
      <c r="HM130" t="e">
        <f>AND(tecantrop!H238,"AAAAAD/16dw=")</f>
        <v>#VALUE!</v>
      </c>
      <c r="HN130" t="e">
        <f>AND(tecantrop!I238,"AAAAAD/16d0=")</f>
        <v>#VALUE!</v>
      </c>
      <c r="HO130" t="e">
        <f>AND(tecantrop!J238,"AAAAAD/16d4=")</f>
        <v>#VALUE!</v>
      </c>
      <c r="HP130" t="e">
        <f>AND(tecantrop!K238,"AAAAAD/16d8=")</f>
        <v>#VALUE!</v>
      </c>
      <c r="HQ130" t="e">
        <f>AND(tecantrop!L238,"AAAAAD/16eA=")</f>
        <v>#VALUE!</v>
      </c>
      <c r="HR130" t="e">
        <f>AND(tecantrop!M238,"AAAAAD/16eE=")</f>
        <v>#VALUE!</v>
      </c>
      <c r="HS130" t="e">
        <f>AND(tecantrop!N238,"AAAAAD/16eI=")</f>
        <v>#VALUE!</v>
      </c>
      <c r="HT130" t="e">
        <f>AND(tecantrop!O238,"AAAAAD/16eM=")</f>
        <v>#VALUE!</v>
      </c>
      <c r="HU130" t="e">
        <f>AND(tecantrop!P238,"AAAAAD/16eQ=")</f>
        <v>#VALUE!</v>
      </c>
      <c r="HV130" t="e">
        <f>AND(tecantrop!Q238,"AAAAAD/16eU=")</f>
        <v>#VALUE!</v>
      </c>
      <c r="HW130" t="e">
        <f>AND(tecantrop!R238,"AAAAAD/16eY=")</f>
        <v>#VALUE!</v>
      </c>
      <c r="HX130" t="e">
        <f>AND(tecantrop!S238,"AAAAAD/16ec=")</f>
        <v>#VALUE!</v>
      </c>
      <c r="HY130" t="e">
        <f>AND(tecantrop!T238,"AAAAAD/16eg=")</f>
        <v>#VALUE!</v>
      </c>
      <c r="HZ130" t="e">
        <f>AND(tecantrop!U238,"AAAAAD/16ek=")</f>
        <v>#VALUE!</v>
      </c>
      <c r="IA130" t="e">
        <f>AND(tecantrop!V238,"AAAAAD/16eo=")</f>
        <v>#VALUE!</v>
      </c>
      <c r="IB130" t="e">
        <f>AND(tecantrop!W238,"AAAAAD/16es=")</f>
        <v>#VALUE!</v>
      </c>
      <c r="IC130" t="e">
        <f>AND(tecantrop!X238,"AAAAAD/16ew=")</f>
        <v>#VALUE!</v>
      </c>
      <c r="ID130">
        <f>IF(tecantrop!239:239,"AAAAAD/16e0=",0)</f>
        <v>0</v>
      </c>
      <c r="IE130" t="e">
        <f>AND(tecantrop!A239,"AAAAAD/16e4=")</f>
        <v>#VALUE!</v>
      </c>
      <c r="IF130" t="e">
        <f>AND(tecantrop!B239,"AAAAAD/16e8=")</f>
        <v>#VALUE!</v>
      </c>
      <c r="IG130" t="e">
        <f>AND(tecantrop!C239,"AAAAAD/16fA=")</f>
        <v>#VALUE!</v>
      </c>
      <c r="IH130" t="e">
        <f>AND(tecantrop!D239,"AAAAAD/16fE=")</f>
        <v>#VALUE!</v>
      </c>
      <c r="II130" t="e">
        <f>AND(tecantrop!E239,"AAAAAD/16fI=")</f>
        <v>#VALUE!</v>
      </c>
      <c r="IJ130" t="e">
        <f>AND(tecantrop!F239,"AAAAAD/16fM=")</f>
        <v>#VALUE!</v>
      </c>
      <c r="IK130" t="e">
        <f>AND(tecantrop!G239,"AAAAAD/16fQ=")</f>
        <v>#VALUE!</v>
      </c>
      <c r="IL130" t="e">
        <f>AND(tecantrop!H239,"AAAAAD/16fU=")</f>
        <v>#VALUE!</v>
      </c>
      <c r="IM130" t="e">
        <f>AND(tecantrop!I239,"AAAAAD/16fY=")</f>
        <v>#VALUE!</v>
      </c>
      <c r="IN130" t="e">
        <f>AND(tecantrop!J239,"AAAAAD/16fc=")</f>
        <v>#VALUE!</v>
      </c>
      <c r="IO130" t="e">
        <f>AND(tecantrop!K239,"AAAAAD/16fg=")</f>
        <v>#VALUE!</v>
      </c>
      <c r="IP130" t="e">
        <f>AND(tecantrop!L239,"AAAAAD/16fk=")</f>
        <v>#VALUE!</v>
      </c>
      <c r="IQ130" t="e">
        <f>AND(tecantrop!M239,"AAAAAD/16fo=")</f>
        <v>#VALUE!</v>
      </c>
      <c r="IR130" t="e">
        <f>AND(tecantrop!N239,"AAAAAD/16fs=")</f>
        <v>#VALUE!</v>
      </c>
      <c r="IS130" t="e">
        <f>AND(tecantrop!O239,"AAAAAD/16fw=")</f>
        <v>#VALUE!</v>
      </c>
      <c r="IT130" t="e">
        <f>AND(tecantrop!P239,"AAAAAD/16f0=")</f>
        <v>#VALUE!</v>
      </c>
      <c r="IU130" t="e">
        <f>AND(tecantrop!Q239,"AAAAAD/16f4=")</f>
        <v>#VALUE!</v>
      </c>
      <c r="IV130" t="e">
        <f>AND(tecantrop!R239,"AAAAAD/16f8=")</f>
        <v>#VALUE!</v>
      </c>
    </row>
    <row r="131" spans="1:256" x14ac:dyDescent="0.2">
      <c r="A131" t="e">
        <f>AND(tecantrop!S239,"AAAAAD82tQA=")</f>
        <v>#VALUE!</v>
      </c>
      <c r="B131" t="e">
        <f>AND(tecantrop!T239,"AAAAAD82tQE=")</f>
        <v>#VALUE!</v>
      </c>
      <c r="C131" t="e">
        <f>AND(tecantrop!U239,"AAAAAD82tQI=")</f>
        <v>#VALUE!</v>
      </c>
      <c r="D131" t="e">
        <f>AND(tecantrop!V239,"AAAAAD82tQM=")</f>
        <v>#VALUE!</v>
      </c>
      <c r="E131" t="e">
        <f>AND(tecantrop!W239,"AAAAAD82tQQ=")</f>
        <v>#VALUE!</v>
      </c>
      <c r="F131" t="e">
        <f>AND(tecantrop!X239,"AAAAAD82tQU=")</f>
        <v>#VALUE!</v>
      </c>
      <c r="G131">
        <f>IF(tecantrop!240:240,"AAAAAD82tQY=",0)</f>
        <v>0</v>
      </c>
      <c r="H131" t="e">
        <f>AND(tecantrop!A240,"AAAAAD82tQc=")</f>
        <v>#VALUE!</v>
      </c>
      <c r="I131" t="e">
        <f>AND(tecantrop!B240,"AAAAAD82tQg=")</f>
        <v>#VALUE!</v>
      </c>
      <c r="J131" t="e">
        <f>AND(tecantrop!C240,"AAAAAD82tQk=")</f>
        <v>#VALUE!</v>
      </c>
      <c r="K131" t="e">
        <f>AND(tecantrop!D240,"AAAAAD82tQo=")</f>
        <v>#VALUE!</v>
      </c>
      <c r="L131" t="e">
        <f>AND(tecantrop!E240,"AAAAAD82tQs=")</f>
        <v>#VALUE!</v>
      </c>
      <c r="M131" t="e">
        <f>AND(tecantrop!F240,"AAAAAD82tQw=")</f>
        <v>#VALUE!</v>
      </c>
      <c r="N131" t="e">
        <f>AND(tecantrop!G240,"AAAAAD82tQ0=")</f>
        <v>#VALUE!</v>
      </c>
      <c r="O131" t="e">
        <f>AND(tecantrop!H240,"AAAAAD82tQ4=")</f>
        <v>#VALUE!</v>
      </c>
      <c r="P131" t="e">
        <f>AND(tecantrop!I240,"AAAAAD82tQ8=")</f>
        <v>#VALUE!</v>
      </c>
      <c r="Q131" t="e">
        <f>AND(tecantrop!J240,"AAAAAD82tRA=")</f>
        <v>#VALUE!</v>
      </c>
      <c r="R131" t="e">
        <f>AND(tecantrop!K240,"AAAAAD82tRE=")</f>
        <v>#VALUE!</v>
      </c>
      <c r="S131" t="e">
        <f>AND(tecantrop!L240,"AAAAAD82tRI=")</f>
        <v>#VALUE!</v>
      </c>
      <c r="T131" t="e">
        <f>AND(tecantrop!M240,"AAAAAD82tRM=")</f>
        <v>#VALUE!</v>
      </c>
      <c r="U131" t="e">
        <f>AND(tecantrop!N240,"AAAAAD82tRQ=")</f>
        <v>#VALUE!</v>
      </c>
      <c r="V131" t="e">
        <f>AND(tecantrop!O240,"AAAAAD82tRU=")</f>
        <v>#VALUE!</v>
      </c>
      <c r="W131" t="e">
        <f>AND(tecantrop!P240,"AAAAAD82tRY=")</f>
        <v>#VALUE!</v>
      </c>
      <c r="X131" t="e">
        <f>AND(tecantrop!Q240,"AAAAAD82tRc=")</f>
        <v>#VALUE!</v>
      </c>
      <c r="Y131" t="e">
        <f>AND(tecantrop!R240,"AAAAAD82tRg=")</f>
        <v>#VALUE!</v>
      </c>
      <c r="Z131" t="e">
        <f>AND(tecantrop!S240,"AAAAAD82tRk=")</f>
        <v>#VALUE!</v>
      </c>
      <c r="AA131" t="e">
        <f>AND(tecantrop!T240,"AAAAAD82tRo=")</f>
        <v>#VALUE!</v>
      </c>
      <c r="AB131" t="e">
        <f>AND(tecantrop!U240,"AAAAAD82tRs=")</f>
        <v>#VALUE!</v>
      </c>
      <c r="AC131" t="e">
        <f>AND(tecantrop!V240,"AAAAAD82tRw=")</f>
        <v>#VALUE!</v>
      </c>
      <c r="AD131" t="e">
        <f>AND(tecantrop!W240,"AAAAAD82tR0=")</f>
        <v>#VALUE!</v>
      </c>
      <c r="AE131" t="e">
        <f>AND(tecantrop!X240,"AAAAAD82tR4=")</f>
        <v>#VALUE!</v>
      </c>
      <c r="AF131">
        <f>IF(tecantrop!241:241,"AAAAAD82tR8=",0)</f>
        <v>0</v>
      </c>
      <c r="AG131" t="e">
        <f>AND(tecantrop!A241,"AAAAAD82tSA=")</f>
        <v>#VALUE!</v>
      </c>
      <c r="AH131" t="e">
        <f>AND(tecantrop!B241,"AAAAAD82tSE=")</f>
        <v>#VALUE!</v>
      </c>
      <c r="AI131" t="e">
        <f>AND(tecantrop!C241,"AAAAAD82tSI=")</f>
        <v>#VALUE!</v>
      </c>
      <c r="AJ131" t="e">
        <f>AND(tecantrop!D241,"AAAAAD82tSM=")</f>
        <v>#VALUE!</v>
      </c>
      <c r="AK131" t="e">
        <f>AND(tecantrop!E241,"AAAAAD82tSQ=")</f>
        <v>#VALUE!</v>
      </c>
      <c r="AL131" t="e">
        <f>AND(tecantrop!F241,"AAAAAD82tSU=")</f>
        <v>#VALUE!</v>
      </c>
      <c r="AM131" t="e">
        <f>AND(tecantrop!G241,"AAAAAD82tSY=")</f>
        <v>#VALUE!</v>
      </c>
      <c r="AN131" t="e">
        <f>AND(tecantrop!H241,"AAAAAD82tSc=")</f>
        <v>#VALUE!</v>
      </c>
      <c r="AO131" t="e">
        <f>AND(tecantrop!I241,"AAAAAD82tSg=")</f>
        <v>#VALUE!</v>
      </c>
      <c r="AP131" t="e">
        <f>AND(tecantrop!J241,"AAAAAD82tSk=")</f>
        <v>#VALUE!</v>
      </c>
      <c r="AQ131" t="e">
        <f>AND(tecantrop!K241,"AAAAAD82tSo=")</f>
        <v>#VALUE!</v>
      </c>
      <c r="AR131" t="e">
        <f>AND(tecantrop!L241,"AAAAAD82tSs=")</f>
        <v>#VALUE!</v>
      </c>
      <c r="AS131" t="e">
        <f>AND(tecantrop!M241,"AAAAAD82tSw=")</f>
        <v>#VALUE!</v>
      </c>
      <c r="AT131" t="e">
        <f>AND(tecantrop!N241,"AAAAAD82tS0=")</f>
        <v>#VALUE!</v>
      </c>
      <c r="AU131" t="e">
        <f>AND(tecantrop!O241,"AAAAAD82tS4=")</f>
        <v>#VALUE!</v>
      </c>
      <c r="AV131" t="e">
        <f>AND(tecantrop!P241,"AAAAAD82tS8=")</f>
        <v>#VALUE!</v>
      </c>
      <c r="AW131" t="e">
        <f>AND(tecantrop!Q241,"AAAAAD82tTA=")</f>
        <v>#VALUE!</v>
      </c>
      <c r="AX131" t="e">
        <f>AND(tecantrop!R241,"AAAAAD82tTE=")</f>
        <v>#VALUE!</v>
      </c>
      <c r="AY131" t="e">
        <f>AND(tecantrop!S241,"AAAAAD82tTI=")</f>
        <v>#VALUE!</v>
      </c>
      <c r="AZ131" t="e">
        <f>AND(tecantrop!T241,"AAAAAD82tTM=")</f>
        <v>#VALUE!</v>
      </c>
      <c r="BA131" t="e">
        <f>AND(tecantrop!U241,"AAAAAD82tTQ=")</f>
        <v>#VALUE!</v>
      </c>
      <c r="BB131" t="e">
        <f>AND(tecantrop!V241,"AAAAAD82tTU=")</f>
        <v>#VALUE!</v>
      </c>
      <c r="BC131" t="e">
        <f>AND(tecantrop!W241,"AAAAAD82tTY=")</f>
        <v>#VALUE!</v>
      </c>
      <c r="BD131" t="e">
        <f>AND(tecantrop!X241,"AAAAAD82tTc=")</f>
        <v>#VALUE!</v>
      </c>
      <c r="BE131">
        <f>IF(tecantrop!242:242,"AAAAAD82tTg=",0)</f>
        <v>0</v>
      </c>
      <c r="BF131" t="e">
        <f>AND(tecantrop!A242,"AAAAAD82tTk=")</f>
        <v>#VALUE!</v>
      </c>
      <c r="BG131" t="e">
        <f>AND(tecantrop!B242,"AAAAAD82tTo=")</f>
        <v>#VALUE!</v>
      </c>
      <c r="BH131" t="e">
        <f>AND(tecantrop!C242,"AAAAAD82tTs=")</f>
        <v>#VALUE!</v>
      </c>
      <c r="BI131" t="e">
        <f>AND(tecantrop!D242,"AAAAAD82tTw=")</f>
        <v>#VALUE!</v>
      </c>
      <c r="BJ131" t="e">
        <f>AND(tecantrop!E242,"AAAAAD82tT0=")</f>
        <v>#VALUE!</v>
      </c>
      <c r="BK131" t="e">
        <f>AND(tecantrop!F242,"AAAAAD82tT4=")</f>
        <v>#VALUE!</v>
      </c>
      <c r="BL131" t="e">
        <f>AND(tecantrop!G242,"AAAAAD82tT8=")</f>
        <v>#VALUE!</v>
      </c>
      <c r="BM131" t="e">
        <f>AND(tecantrop!H242,"AAAAAD82tUA=")</f>
        <v>#VALUE!</v>
      </c>
      <c r="BN131" t="e">
        <f>AND(tecantrop!I242,"AAAAAD82tUE=")</f>
        <v>#VALUE!</v>
      </c>
      <c r="BO131" t="e">
        <f>AND(tecantrop!J242,"AAAAAD82tUI=")</f>
        <v>#VALUE!</v>
      </c>
      <c r="BP131" t="e">
        <f>AND(tecantrop!K242,"AAAAAD82tUM=")</f>
        <v>#VALUE!</v>
      </c>
      <c r="BQ131" t="e">
        <f>AND(tecantrop!L242,"AAAAAD82tUQ=")</f>
        <v>#VALUE!</v>
      </c>
      <c r="BR131" t="e">
        <f>AND(tecantrop!M242,"AAAAAD82tUU=")</f>
        <v>#VALUE!</v>
      </c>
      <c r="BS131" t="e">
        <f>AND(tecantrop!N242,"AAAAAD82tUY=")</f>
        <v>#VALUE!</v>
      </c>
      <c r="BT131" t="e">
        <f>AND(tecantrop!O242,"AAAAAD82tUc=")</f>
        <v>#VALUE!</v>
      </c>
      <c r="BU131" t="e">
        <f>AND(tecantrop!P242,"AAAAAD82tUg=")</f>
        <v>#VALUE!</v>
      </c>
      <c r="BV131" t="e">
        <f>AND(tecantrop!Q242,"AAAAAD82tUk=")</f>
        <v>#VALUE!</v>
      </c>
      <c r="BW131" t="e">
        <f>AND(tecantrop!R242,"AAAAAD82tUo=")</f>
        <v>#VALUE!</v>
      </c>
      <c r="BX131" t="e">
        <f>AND(tecantrop!S242,"AAAAAD82tUs=")</f>
        <v>#VALUE!</v>
      </c>
      <c r="BY131" t="e">
        <f>AND(tecantrop!T242,"AAAAAD82tUw=")</f>
        <v>#VALUE!</v>
      </c>
      <c r="BZ131" t="e">
        <f>AND(tecantrop!U242,"AAAAAD82tU0=")</f>
        <v>#VALUE!</v>
      </c>
      <c r="CA131" t="e">
        <f>AND(tecantrop!V242,"AAAAAD82tU4=")</f>
        <v>#VALUE!</v>
      </c>
      <c r="CB131" t="e">
        <f>AND(tecantrop!W242,"AAAAAD82tU8=")</f>
        <v>#VALUE!</v>
      </c>
      <c r="CC131" t="e">
        <f>AND(tecantrop!X242,"AAAAAD82tVA=")</f>
        <v>#VALUE!</v>
      </c>
      <c r="CD131">
        <f>IF(tecantrop!243:243,"AAAAAD82tVE=",0)</f>
        <v>0</v>
      </c>
      <c r="CE131" t="e">
        <f>AND(tecantrop!A243,"AAAAAD82tVI=")</f>
        <v>#VALUE!</v>
      </c>
      <c r="CF131" t="e">
        <f>AND(tecantrop!B243,"AAAAAD82tVM=")</f>
        <v>#VALUE!</v>
      </c>
      <c r="CG131" t="e">
        <f>AND(tecantrop!C243,"AAAAAD82tVQ=")</f>
        <v>#VALUE!</v>
      </c>
      <c r="CH131" t="e">
        <f>AND(tecantrop!D243,"AAAAAD82tVU=")</f>
        <v>#VALUE!</v>
      </c>
      <c r="CI131" t="e">
        <f>AND(tecantrop!E243,"AAAAAD82tVY=")</f>
        <v>#VALUE!</v>
      </c>
      <c r="CJ131" t="e">
        <f>AND(tecantrop!F243,"AAAAAD82tVc=")</f>
        <v>#VALUE!</v>
      </c>
      <c r="CK131" t="e">
        <f>AND(tecantrop!G243,"AAAAAD82tVg=")</f>
        <v>#VALUE!</v>
      </c>
      <c r="CL131" t="e">
        <f>AND(tecantrop!H243,"AAAAAD82tVk=")</f>
        <v>#VALUE!</v>
      </c>
      <c r="CM131" t="e">
        <f>AND(tecantrop!I243,"AAAAAD82tVo=")</f>
        <v>#VALUE!</v>
      </c>
      <c r="CN131" t="e">
        <f>AND(tecantrop!J243,"AAAAAD82tVs=")</f>
        <v>#VALUE!</v>
      </c>
      <c r="CO131" t="e">
        <f>AND(tecantrop!K243,"AAAAAD82tVw=")</f>
        <v>#VALUE!</v>
      </c>
      <c r="CP131" t="e">
        <f>AND(tecantrop!L243,"AAAAAD82tV0=")</f>
        <v>#VALUE!</v>
      </c>
      <c r="CQ131" t="e">
        <f>AND(tecantrop!M243,"AAAAAD82tV4=")</f>
        <v>#VALUE!</v>
      </c>
      <c r="CR131" t="e">
        <f>AND(tecantrop!N243,"AAAAAD82tV8=")</f>
        <v>#VALUE!</v>
      </c>
      <c r="CS131" t="e">
        <f>AND(tecantrop!O243,"AAAAAD82tWA=")</f>
        <v>#VALUE!</v>
      </c>
      <c r="CT131" t="e">
        <f>AND(tecantrop!P243,"AAAAAD82tWE=")</f>
        <v>#VALUE!</v>
      </c>
      <c r="CU131" t="e">
        <f>AND(tecantrop!Q243,"AAAAAD82tWI=")</f>
        <v>#VALUE!</v>
      </c>
      <c r="CV131" t="e">
        <f>AND(tecantrop!R243,"AAAAAD82tWM=")</f>
        <v>#VALUE!</v>
      </c>
      <c r="CW131" t="e">
        <f>AND(tecantrop!S243,"AAAAAD82tWQ=")</f>
        <v>#VALUE!</v>
      </c>
      <c r="CX131" t="e">
        <f>AND(tecantrop!T243,"AAAAAD82tWU=")</f>
        <v>#VALUE!</v>
      </c>
      <c r="CY131" t="e">
        <f>AND(tecantrop!U243,"AAAAAD82tWY=")</f>
        <v>#VALUE!</v>
      </c>
      <c r="CZ131" t="e">
        <f>AND(tecantrop!V243,"AAAAAD82tWc=")</f>
        <v>#VALUE!</v>
      </c>
      <c r="DA131" t="e">
        <f>AND(tecantrop!W243,"AAAAAD82tWg=")</f>
        <v>#VALUE!</v>
      </c>
      <c r="DB131" t="e">
        <f>AND(tecantrop!X243,"AAAAAD82tWk=")</f>
        <v>#VALUE!</v>
      </c>
      <c r="DC131">
        <f>IF(tecantrop!244:244,"AAAAAD82tWo=",0)</f>
        <v>0</v>
      </c>
      <c r="DD131" t="e">
        <f>AND(tecantrop!A244,"AAAAAD82tWs=")</f>
        <v>#VALUE!</v>
      </c>
      <c r="DE131" t="e">
        <f>AND(tecantrop!B244,"AAAAAD82tWw=")</f>
        <v>#VALUE!</v>
      </c>
      <c r="DF131" t="e">
        <f>AND(tecantrop!C244,"AAAAAD82tW0=")</f>
        <v>#VALUE!</v>
      </c>
      <c r="DG131" t="e">
        <f>AND(tecantrop!D244,"AAAAAD82tW4=")</f>
        <v>#VALUE!</v>
      </c>
      <c r="DH131" t="e">
        <f>AND(tecantrop!E244,"AAAAAD82tW8=")</f>
        <v>#VALUE!</v>
      </c>
      <c r="DI131" t="e">
        <f>AND(tecantrop!F244,"AAAAAD82tXA=")</f>
        <v>#VALUE!</v>
      </c>
      <c r="DJ131" t="e">
        <f>AND(tecantrop!G244,"AAAAAD82tXE=")</f>
        <v>#VALUE!</v>
      </c>
      <c r="DK131" t="e">
        <f>AND(tecantrop!H244,"AAAAAD82tXI=")</f>
        <v>#VALUE!</v>
      </c>
      <c r="DL131" t="e">
        <f>AND(tecantrop!I244,"AAAAAD82tXM=")</f>
        <v>#VALUE!</v>
      </c>
      <c r="DM131" t="e">
        <f>AND(tecantrop!J244,"AAAAAD82tXQ=")</f>
        <v>#VALUE!</v>
      </c>
      <c r="DN131" t="e">
        <f>AND(tecantrop!K244,"AAAAAD82tXU=")</f>
        <v>#VALUE!</v>
      </c>
      <c r="DO131" t="e">
        <f>AND(tecantrop!L244,"AAAAAD82tXY=")</f>
        <v>#VALUE!</v>
      </c>
      <c r="DP131" t="e">
        <f>AND(tecantrop!M244,"AAAAAD82tXc=")</f>
        <v>#VALUE!</v>
      </c>
      <c r="DQ131" t="e">
        <f>AND(tecantrop!N244,"AAAAAD82tXg=")</f>
        <v>#VALUE!</v>
      </c>
      <c r="DR131" t="e">
        <f>AND(tecantrop!O244,"AAAAAD82tXk=")</f>
        <v>#VALUE!</v>
      </c>
      <c r="DS131" t="e">
        <f>AND(tecantrop!P244,"AAAAAD82tXo=")</f>
        <v>#VALUE!</v>
      </c>
      <c r="DT131" t="e">
        <f>AND(tecantrop!Q244,"AAAAAD82tXs=")</f>
        <v>#VALUE!</v>
      </c>
      <c r="DU131" t="e">
        <f>AND(tecantrop!R244,"AAAAAD82tXw=")</f>
        <v>#VALUE!</v>
      </c>
      <c r="DV131" t="e">
        <f>AND(tecantrop!S244,"AAAAAD82tX0=")</f>
        <v>#VALUE!</v>
      </c>
      <c r="DW131" t="e">
        <f>AND(tecantrop!T244,"AAAAAD82tX4=")</f>
        <v>#VALUE!</v>
      </c>
      <c r="DX131" t="e">
        <f>AND(tecantrop!U244,"AAAAAD82tX8=")</f>
        <v>#VALUE!</v>
      </c>
      <c r="DY131" t="e">
        <f>AND(tecantrop!V244,"AAAAAD82tYA=")</f>
        <v>#VALUE!</v>
      </c>
      <c r="DZ131" t="e">
        <f>AND(tecantrop!W244,"AAAAAD82tYE=")</f>
        <v>#VALUE!</v>
      </c>
      <c r="EA131" t="e">
        <f>AND(tecantrop!X244,"AAAAAD82tYI=")</f>
        <v>#VALUE!</v>
      </c>
      <c r="EB131">
        <f>IF(tecantrop!245:245,"AAAAAD82tYM=",0)</f>
        <v>0</v>
      </c>
      <c r="EC131" t="e">
        <f>AND(tecantrop!A245,"AAAAAD82tYQ=")</f>
        <v>#VALUE!</v>
      </c>
      <c r="ED131" t="e">
        <f>AND(tecantrop!B245,"AAAAAD82tYU=")</f>
        <v>#VALUE!</v>
      </c>
      <c r="EE131" t="e">
        <f>AND(tecantrop!C245,"AAAAAD82tYY=")</f>
        <v>#VALUE!</v>
      </c>
      <c r="EF131" t="e">
        <f>AND(tecantrop!D245,"AAAAAD82tYc=")</f>
        <v>#VALUE!</v>
      </c>
      <c r="EG131" t="e">
        <f>AND(tecantrop!E245,"AAAAAD82tYg=")</f>
        <v>#VALUE!</v>
      </c>
      <c r="EH131" t="e">
        <f>AND(tecantrop!F245,"AAAAAD82tYk=")</f>
        <v>#VALUE!</v>
      </c>
      <c r="EI131" t="e">
        <f>AND(tecantrop!G245,"AAAAAD82tYo=")</f>
        <v>#VALUE!</v>
      </c>
      <c r="EJ131" t="e">
        <f>AND(tecantrop!H245,"AAAAAD82tYs=")</f>
        <v>#VALUE!</v>
      </c>
      <c r="EK131" t="e">
        <f>AND(tecantrop!I245,"AAAAAD82tYw=")</f>
        <v>#VALUE!</v>
      </c>
      <c r="EL131" t="e">
        <f>AND(tecantrop!J245,"AAAAAD82tY0=")</f>
        <v>#VALUE!</v>
      </c>
      <c r="EM131" t="e">
        <f>AND(tecantrop!K245,"AAAAAD82tY4=")</f>
        <v>#VALUE!</v>
      </c>
      <c r="EN131" t="e">
        <f>AND(tecantrop!L245,"AAAAAD82tY8=")</f>
        <v>#VALUE!</v>
      </c>
      <c r="EO131" t="e">
        <f>AND(tecantrop!M245,"AAAAAD82tZA=")</f>
        <v>#VALUE!</v>
      </c>
      <c r="EP131" t="e">
        <f>AND(tecantrop!N245,"AAAAAD82tZE=")</f>
        <v>#VALUE!</v>
      </c>
      <c r="EQ131" t="e">
        <f>AND(tecantrop!O245,"AAAAAD82tZI=")</f>
        <v>#VALUE!</v>
      </c>
      <c r="ER131" t="e">
        <f>AND(tecantrop!P245,"AAAAAD82tZM=")</f>
        <v>#VALUE!</v>
      </c>
      <c r="ES131" t="e">
        <f>AND(tecantrop!Q245,"AAAAAD82tZQ=")</f>
        <v>#VALUE!</v>
      </c>
      <c r="ET131" t="e">
        <f>AND(tecantrop!R245,"AAAAAD82tZU=")</f>
        <v>#VALUE!</v>
      </c>
      <c r="EU131" t="e">
        <f>AND(tecantrop!S245,"AAAAAD82tZY=")</f>
        <v>#VALUE!</v>
      </c>
      <c r="EV131" t="e">
        <f>AND(tecantrop!T245,"AAAAAD82tZc=")</f>
        <v>#VALUE!</v>
      </c>
      <c r="EW131" t="e">
        <f>AND(tecantrop!U245,"AAAAAD82tZg=")</f>
        <v>#VALUE!</v>
      </c>
      <c r="EX131" t="e">
        <f>AND(tecantrop!V245,"AAAAAD82tZk=")</f>
        <v>#VALUE!</v>
      </c>
      <c r="EY131" t="e">
        <f>AND(tecantrop!W245,"AAAAAD82tZo=")</f>
        <v>#VALUE!</v>
      </c>
      <c r="EZ131" t="e">
        <f>AND(tecantrop!X245,"AAAAAD82tZs=")</f>
        <v>#VALUE!</v>
      </c>
      <c r="FA131">
        <f>IF(tecantrop!246:246,"AAAAAD82tZw=",0)</f>
        <v>0</v>
      </c>
      <c r="FB131" t="e">
        <f>AND(tecantrop!A246,"AAAAAD82tZ0=")</f>
        <v>#VALUE!</v>
      </c>
      <c r="FC131" t="e">
        <f>AND(tecantrop!B246,"AAAAAD82tZ4=")</f>
        <v>#VALUE!</v>
      </c>
      <c r="FD131" t="e">
        <f>AND(tecantrop!C246,"AAAAAD82tZ8=")</f>
        <v>#VALUE!</v>
      </c>
      <c r="FE131" t="e">
        <f>AND(tecantrop!D246,"AAAAAD82taA=")</f>
        <v>#VALUE!</v>
      </c>
      <c r="FF131" t="e">
        <f>AND(tecantrop!E246,"AAAAAD82taE=")</f>
        <v>#VALUE!</v>
      </c>
      <c r="FG131" t="e">
        <f>AND(tecantrop!F246,"AAAAAD82taI=")</f>
        <v>#VALUE!</v>
      </c>
      <c r="FH131" t="e">
        <f>AND(tecantrop!G246,"AAAAAD82taM=")</f>
        <v>#VALUE!</v>
      </c>
      <c r="FI131" t="e">
        <f>AND(tecantrop!H246,"AAAAAD82taQ=")</f>
        <v>#VALUE!</v>
      </c>
      <c r="FJ131" t="e">
        <f>AND(tecantrop!I246,"AAAAAD82taU=")</f>
        <v>#VALUE!</v>
      </c>
      <c r="FK131" t="e">
        <f>AND(tecantrop!J246,"AAAAAD82taY=")</f>
        <v>#VALUE!</v>
      </c>
      <c r="FL131" t="e">
        <f>AND(tecantrop!K246,"AAAAAD82tac=")</f>
        <v>#VALUE!</v>
      </c>
      <c r="FM131" t="e">
        <f>AND(tecantrop!L246,"AAAAAD82tag=")</f>
        <v>#VALUE!</v>
      </c>
      <c r="FN131" t="e">
        <f>AND(tecantrop!M246,"AAAAAD82tak=")</f>
        <v>#VALUE!</v>
      </c>
      <c r="FO131" t="e">
        <f>AND(tecantrop!N246,"AAAAAD82tao=")</f>
        <v>#VALUE!</v>
      </c>
      <c r="FP131" t="e">
        <f>AND(tecantrop!O246,"AAAAAD82tas=")</f>
        <v>#VALUE!</v>
      </c>
      <c r="FQ131" t="e">
        <f>AND(tecantrop!P246,"AAAAAD82taw=")</f>
        <v>#VALUE!</v>
      </c>
      <c r="FR131" t="e">
        <f>AND(tecantrop!Q246,"AAAAAD82ta0=")</f>
        <v>#VALUE!</v>
      </c>
      <c r="FS131" t="e">
        <f>AND(tecantrop!R246,"AAAAAD82ta4=")</f>
        <v>#VALUE!</v>
      </c>
      <c r="FT131" t="e">
        <f>AND(tecantrop!S246,"AAAAAD82ta8=")</f>
        <v>#VALUE!</v>
      </c>
      <c r="FU131" t="e">
        <f>AND(tecantrop!T246,"AAAAAD82tbA=")</f>
        <v>#VALUE!</v>
      </c>
      <c r="FV131" t="e">
        <f>AND(tecantrop!U246,"AAAAAD82tbE=")</f>
        <v>#VALUE!</v>
      </c>
      <c r="FW131" t="e">
        <f>AND(tecantrop!V246,"AAAAAD82tbI=")</f>
        <v>#VALUE!</v>
      </c>
      <c r="FX131" t="e">
        <f>AND(tecantrop!W246,"AAAAAD82tbM=")</f>
        <v>#VALUE!</v>
      </c>
      <c r="FY131" t="e">
        <f>AND(tecantrop!X246,"AAAAAD82tbQ=")</f>
        <v>#VALUE!</v>
      </c>
      <c r="FZ131">
        <f>IF(tecantrop!247:247,"AAAAAD82tbU=",0)</f>
        <v>0</v>
      </c>
      <c r="GA131" t="e">
        <f>AND(tecantrop!A247,"AAAAAD82tbY=")</f>
        <v>#VALUE!</v>
      </c>
      <c r="GB131" t="e">
        <f>AND(tecantrop!B247,"AAAAAD82tbc=")</f>
        <v>#VALUE!</v>
      </c>
      <c r="GC131" t="e">
        <f>AND(tecantrop!C247,"AAAAAD82tbg=")</f>
        <v>#VALUE!</v>
      </c>
      <c r="GD131" t="e">
        <f>AND(tecantrop!D247,"AAAAAD82tbk=")</f>
        <v>#VALUE!</v>
      </c>
      <c r="GE131" t="e">
        <f>AND(tecantrop!E247,"AAAAAD82tbo=")</f>
        <v>#VALUE!</v>
      </c>
      <c r="GF131" t="e">
        <f>AND(tecantrop!F247,"AAAAAD82tbs=")</f>
        <v>#VALUE!</v>
      </c>
      <c r="GG131" t="e">
        <f>AND(tecantrop!G247,"AAAAAD82tbw=")</f>
        <v>#VALUE!</v>
      </c>
      <c r="GH131" t="e">
        <f>AND(tecantrop!H247,"AAAAAD82tb0=")</f>
        <v>#VALUE!</v>
      </c>
      <c r="GI131" t="e">
        <f>AND(tecantrop!I247,"AAAAAD82tb4=")</f>
        <v>#VALUE!</v>
      </c>
      <c r="GJ131" t="e">
        <f>AND(tecantrop!J247,"AAAAAD82tb8=")</f>
        <v>#VALUE!</v>
      </c>
      <c r="GK131" t="e">
        <f>AND(tecantrop!K247,"AAAAAD82tcA=")</f>
        <v>#VALUE!</v>
      </c>
      <c r="GL131" t="e">
        <f>AND(tecantrop!L247,"AAAAAD82tcE=")</f>
        <v>#VALUE!</v>
      </c>
      <c r="GM131" t="e">
        <f>AND(tecantrop!M247,"AAAAAD82tcI=")</f>
        <v>#VALUE!</v>
      </c>
      <c r="GN131" t="e">
        <f>AND(tecantrop!N247,"AAAAAD82tcM=")</f>
        <v>#VALUE!</v>
      </c>
      <c r="GO131" t="e">
        <f>AND(tecantrop!O247,"AAAAAD82tcQ=")</f>
        <v>#VALUE!</v>
      </c>
      <c r="GP131" t="e">
        <f>AND(tecantrop!P247,"AAAAAD82tcU=")</f>
        <v>#VALUE!</v>
      </c>
      <c r="GQ131" t="e">
        <f>AND(tecantrop!Q247,"AAAAAD82tcY=")</f>
        <v>#VALUE!</v>
      </c>
      <c r="GR131" t="e">
        <f>AND(tecantrop!R247,"AAAAAD82tcc=")</f>
        <v>#VALUE!</v>
      </c>
      <c r="GS131" t="e">
        <f>AND(tecantrop!S247,"AAAAAD82tcg=")</f>
        <v>#VALUE!</v>
      </c>
      <c r="GT131" t="e">
        <f>AND(tecantrop!T247,"AAAAAD82tck=")</f>
        <v>#VALUE!</v>
      </c>
      <c r="GU131" t="e">
        <f>AND(tecantrop!U247,"AAAAAD82tco=")</f>
        <v>#VALUE!</v>
      </c>
      <c r="GV131" t="e">
        <f>AND(tecantrop!V247,"AAAAAD82tcs=")</f>
        <v>#VALUE!</v>
      </c>
      <c r="GW131" t="e">
        <f>AND(tecantrop!W247,"AAAAAD82tcw=")</f>
        <v>#VALUE!</v>
      </c>
      <c r="GX131" t="e">
        <f>AND(tecantrop!X247,"AAAAAD82tc0=")</f>
        <v>#VALUE!</v>
      </c>
      <c r="GY131">
        <f>IF(tecantrop!248:248,"AAAAAD82tc4=",0)</f>
        <v>0</v>
      </c>
      <c r="GZ131" t="e">
        <f>AND(tecantrop!A248,"AAAAAD82tc8=")</f>
        <v>#VALUE!</v>
      </c>
      <c r="HA131" t="e">
        <f>AND(tecantrop!B248,"AAAAAD82tdA=")</f>
        <v>#VALUE!</v>
      </c>
      <c r="HB131" t="e">
        <f>AND(tecantrop!C248,"AAAAAD82tdE=")</f>
        <v>#VALUE!</v>
      </c>
      <c r="HC131" t="e">
        <f>AND(tecantrop!D248,"AAAAAD82tdI=")</f>
        <v>#VALUE!</v>
      </c>
      <c r="HD131" t="e">
        <f>AND(tecantrop!E248,"AAAAAD82tdM=")</f>
        <v>#VALUE!</v>
      </c>
      <c r="HE131" t="e">
        <f>AND(tecantrop!F248,"AAAAAD82tdQ=")</f>
        <v>#VALUE!</v>
      </c>
      <c r="HF131" t="e">
        <f>AND(tecantrop!G248,"AAAAAD82tdU=")</f>
        <v>#VALUE!</v>
      </c>
      <c r="HG131" t="e">
        <f>AND(tecantrop!H248,"AAAAAD82tdY=")</f>
        <v>#VALUE!</v>
      </c>
      <c r="HH131" t="e">
        <f>AND(tecantrop!I248,"AAAAAD82tdc=")</f>
        <v>#VALUE!</v>
      </c>
      <c r="HI131" t="e">
        <f>AND(tecantrop!J248,"AAAAAD82tdg=")</f>
        <v>#VALUE!</v>
      </c>
      <c r="HJ131" t="e">
        <f>AND(tecantrop!K248,"AAAAAD82tdk=")</f>
        <v>#VALUE!</v>
      </c>
      <c r="HK131" t="e">
        <f>AND(tecantrop!L248,"AAAAAD82tdo=")</f>
        <v>#VALUE!</v>
      </c>
      <c r="HL131" t="e">
        <f>AND(tecantrop!M248,"AAAAAD82tds=")</f>
        <v>#VALUE!</v>
      </c>
      <c r="HM131" t="e">
        <f>AND(tecantrop!N248,"AAAAAD82tdw=")</f>
        <v>#VALUE!</v>
      </c>
      <c r="HN131" t="e">
        <f>AND(tecantrop!O248,"AAAAAD82td0=")</f>
        <v>#VALUE!</v>
      </c>
      <c r="HO131" t="e">
        <f>AND(tecantrop!P248,"AAAAAD82td4=")</f>
        <v>#VALUE!</v>
      </c>
      <c r="HP131" t="e">
        <f>AND(tecantrop!Q248,"AAAAAD82td8=")</f>
        <v>#VALUE!</v>
      </c>
      <c r="HQ131" t="e">
        <f>AND(tecantrop!R248,"AAAAAD82teA=")</f>
        <v>#VALUE!</v>
      </c>
      <c r="HR131" t="e">
        <f>AND(tecantrop!S248,"AAAAAD82teE=")</f>
        <v>#VALUE!</v>
      </c>
      <c r="HS131" t="e">
        <f>AND(tecantrop!T248,"AAAAAD82teI=")</f>
        <v>#VALUE!</v>
      </c>
      <c r="HT131" t="e">
        <f>AND(tecantrop!U248,"AAAAAD82teM=")</f>
        <v>#VALUE!</v>
      </c>
      <c r="HU131" t="e">
        <f>AND(tecantrop!V248,"AAAAAD82teQ=")</f>
        <v>#VALUE!</v>
      </c>
      <c r="HV131" t="e">
        <f>AND(tecantrop!W248,"AAAAAD82teU=")</f>
        <v>#VALUE!</v>
      </c>
      <c r="HW131" t="e">
        <f>AND(tecantrop!X248,"AAAAAD82teY=")</f>
        <v>#VALUE!</v>
      </c>
      <c r="HX131">
        <f>IF(tecantrop!249:249,"AAAAAD82tec=",0)</f>
        <v>0</v>
      </c>
      <c r="HY131" t="e">
        <f>AND(tecantrop!A249,"AAAAAD82teg=")</f>
        <v>#VALUE!</v>
      </c>
      <c r="HZ131" t="e">
        <f>AND(tecantrop!B249,"AAAAAD82tek=")</f>
        <v>#VALUE!</v>
      </c>
      <c r="IA131" t="e">
        <f>AND(tecantrop!C249,"AAAAAD82teo=")</f>
        <v>#VALUE!</v>
      </c>
      <c r="IB131" t="e">
        <f>AND(tecantrop!D249,"AAAAAD82tes=")</f>
        <v>#VALUE!</v>
      </c>
      <c r="IC131" t="e">
        <f>AND(tecantrop!E249,"AAAAAD82tew=")</f>
        <v>#VALUE!</v>
      </c>
      <c r="ID131" t="e">
        <f>AND(tecantrop!F249,"AAAAAD82te0=")</f>
        <v>#VALUE!</v>
      </c>
      <c r="IE131" t="e">
        <f>AND(tecantrop!G249,"AAAAAD82te4=")</f>
        <v>#VALUE!</v>
      </c>
      <c r="IF131" t="e">
        <f>AND(tecantrop!H249,"AAAAAD82te8=")</f>
        <v>#VALUE!</v>
      </c>
      <c r="IG131" t="e">
        <f>AND(tecantrop!I249,"AAAAAD82tfA=")</f>
        <v>#VALUE!</v>
      </c>
      <c r="IH131" t="e">
        <f>AND(tecantrop!J249,"AAAAAD82tfE=")</f>
        <v>#VALUE!</v>
      </c>
      <c r="II131" t="e">
        <f>AND(tecantrop!K249,"AAAAAD82tfI=")</f>
        <v>#VALUE!</v>
      </c>
      <c r="IJ131" t="e">
        <f>AND(tecantrop!L249,"AAAAAD82tfM=")</f>
        <v>#VALUE!</v>
      </c>
      <c r="IK131" t="e">
        <f>AND(tecantrop!M249,"AAAAAD82tfQ=")</f>
        <v>#VALUE!</v>
      </c>
      <c r="IL131" t="e">
        <f>AND(tecantrop!N249,"AAAAAD82tfU=")</f>
        <v>#VALUE!</v>
      </c>
      <c r="IM131" t="e">
        <f>AND(tecantrop!O249,"AAAAAD82tfY=")</f>
        <v>#VALUE!</v>
      </c>
      <c r="IN131" t="e">
        <f>AND(tecantrop!P249,"AAAAAD82tfc=")</f>
        <v>#VALUE!</v>
      </c>
      <c r="IO131" t="e">
        <f>AND(tecantrop!Q249,"AAAAAD82tfg=")</f>
        <v>#VALUE!</v>
      </c>
      <c r="IP131" t="e">
        <f>AND(tecantrop!R249,"AAAAAD82tfk=")</f>
        <v>#VALUE!</v>
      </c>
      <c r="IQ131" t="e">
        <f>AND(tecantrop!S249,"AAAAAD82tfo=")</f>
        <v>#VALUE!</v>
      </c>
      <c r="IR131" t="e">
        <f>AND(tecantrop!T249,"AAAAAD82tfs=")</f>
        <v>#VALUE!</v>
      </c>
      <c r="IS131" t="e">
        <f>AND(tecantrop!U249,"AAAAAD82tfw=")</f>
        <v>#VALUE!</v>
      </c>
      <c r="IT131" t="e">
        <f>AND(tecantrop!V249,"AAAAAD82tf0=")</f>
        <v>#VALUE!</v>
      </c>
      <c r="IU131" t="e">
        <f>AND(tecantrop!W249,"AAAAAD82tf4=")</f>
        <v>#VALUE!</v>
      </c>
      <c r="IV131" t="e">
        <f>AND(tecantrop!X249,"AAAAAD82tf8=")</f>
        <v>#VALUE!</v>
      </c>
    </row>
    <row r="132" spans="1:256" x14ac:dyDescent="0.2">
      <c r="A132">
        <f>IF(tecantrop!250:250,"AAAAADuP/QA=",0)</f>
        <v>0</v>
      </c>
      <c r="B132" t="e">
        <f>AND(tecantrop!A250,"AAAAADuP/QE=")</f>
        <v>#VALUE!</v>
      </c>
      <c r="C132" t="e">
        <f>AND(tecantrop!B250,"AAAAADuP/QI=")</f>
        <v>#VALUE!</v>
      </c>
      <c r="D132" t="e">
        <f>AND(tecantrop!C250,"AAAAADuP/QM=")</f>
        <v>#VALUE!</v>
      </c>
      <c r="E132" t="e">
        <f>AND(tecantrop!D250,"AAAAADuP/QQ=")</f>
        <v>#VALUE!</v>
      </c>
      <c r="F132" t="e">
        <f>AND(tecantrop!E250,"AAAAADuP/QU=")</f>
        <v>#VALUE!</v>
      </c>
      <c r="G132" t="e">
        <f>AND(tecantrop!F250,"AAAAADuP/QY=")</f>
        <v>#VALUE!</v>
      </c>
      <c r="H132" t="e">
        <f>AND(tecantrop!G250,"AAAAADuP/Qc=")</f>
        <v>#VALUE!</v>
      </c>
      <c r="I132" t="e">
        <f>AND(tecantrop!H250,"AAAAADuP/Qg=")</f>
        <v>#VALUE!</v>
      </c>
      <c r="J132" t="e">
        <f>AND(tecantrop!I250,"AAAAADuP/Qk=")</f>
        <v>#VALUE!</v>
      </c>
      <c r="K132" t="e">
        <f>AND(tecantrop!J250,"AAAAADuP/Qo=")</f>
        <v>#VALUE!</v>
      </c>
      <c r="L132" t="e">
        <f>AND(tecantrop!K250,"AAAAADuP/Qs=")</f>
        <v>#VALUE!</v>
      </c>
      <c r="M132" t="e">
        <f>AND(tecantrop!L250,"AAAAADuP/Qw=")</f>
        <v>#VALUE!</v>
      </c>
      <c r="N132" t="e">
        <f>AND(tecantrop!M250,"AAAAADuP/Q0=")</f>
        <v>#VALUE!</v>
      </c>
      <c r="O132" t="e">
        <f>AND(tecantrop!N250,"AAAAADuP/Q4=")</f>
        <v>#VALUE!</v>
      </c>
      <c r="P132" t="e">
        <f>AND(tecantrop!O250,"AAAAADuP/Q8=")</f>
        <v>#VALUE!</v>
      </c>
      <c r="Q132" t="e">
        <f>AND(tecantrop!P250,"AAAAADuP/RA=")</f>
        <v>#VALUE!</v>
      </c>
      <c r="R132" t="e">
        <f>AND(tecantrop!Q250,"AAAAADuP/RE=")</f>
        <v>#VALUE!</v>
      </c>
      <c r="S132" t="e">
        <f>AND(tecantrop!R250,"AAAAADuP/RI=")</f>
        <v>#VALUE!</v>
      </c>
      <c r="T132" t="e">
        <f>AND(tecantrop!S250,"AAAAADuP/RM=")</f>
        <v>#VALUE!</v>
      </c>
      <c r="U132" t="e">
        <f>AND(tecantrop!T250,"AAAAADuP/RQ=")</f>
        <v>#VALUE!</v>
      </c>
      <c r="V132" t="e">
        <f>AND(tecantrop!U250,"AAAAADuP/RU=")</f>
        <v>#VALUE!</v>
      </c>
      <c r="W132" t="e">
        <f>AND(tecantrop!V250,"AAAAADuP/RY=")</f>
        <v>#VALUE!</v>
      </c>
      <c r="X132" t="e">
        <f>AND(tecantrop!W250,"AAAAADuP/Rc=")</f>
        <v>#VALUE!</v>
      </c>
      <c r="Y132" t="e">
        <f>AND(tecantrop!X250,"AAAAADuP/Rg=")</f>
        <v>#VALUE!</v>
      </c>
      <c r="Z132">
        <f>IF(tecantrop!251:251,"AAAAADuP/Rk=",0)</f>
        <v>0</v>
      </c>
      <c r="AA132" t="e">
        <f>AND(tecantrop!A251,"AAAAADuP/Ro=")</f>
        <v>#VALUE!</v>
      </c>
      <c r="AB132" t="e">
        <f>AND(tecantrop!B251,"AAAAADuP/Rs=")</f>
        <v>#VALUE!</v>
      </c>
      <c r="AC132" t="e">
        <f>AND(tecantrop!C251,"AAAAADuP/Rw=")</f>
        <v>#VALUE!</v>
      </c>
      <c r="AD132" t="e">
        <f>AND(tecantrop!D251,"AAAAADuP/R0=")</f>
        <v>#VALUE!</v>
      </c>
      <c r="AE132" t="e">
        <f>AND(tecantrop!E251,"AAAAADuP/R4=")</f>
        <v>#VALUE!</v>
      </c>
      <c r="AF132" t="e">
        <f>AND(tecantrop!F251,"AAAAADuP/R8=")</f>
        <v>#VALUE!</v>
      </c>
      <c r="AG132" t="e">
        <f>AND(tecantrop!G251,"AAAAADuP/SA=")</f>
        <v>#VALUE!</v>
      </c>
      <c r="AH132" t="e">
        <f>AND(tecantrop!H251,"AAAAADuP/SE=")</f>
        <v>#VALUE!</v>
      </c>
      <c r="AI132" t="e">
        <f>AND(tecantrop!I251,"AAAAADuP/SI=")</f>
        <v>#VALUE!</v>
      </c>
      <c r="AJ132" t="e">
        <f>AND(tecantrop!J251,"AAAAADuP/SM=")</f>
        <v>#VALUE!</v>
      </c>
      <c r="AK132" t="e">
        <f>AND(tecantrop!K251,"AAAAADuP/SQ=")</f>
        <v>#VALUE!</v>
      </c>
      <c r="AL132" t="e">
        <f>AND(tecantrop!L251,"AAAAADuP/SU=")</f>
        <v>#VALUE!</v>
      </c>
      <c r="AM132" t="e">
        <f>AND(tecantrop!M251,"AAAAADuP/SY=")</f>
        <v>#VALUE!</v>
      </c>
      <c r="AN132" t="e">
        <f>AND(tecantrop!N251,"AAAAADuP/Sc=")</f>
        <v>#VALUE!</v>
      </c>
      <c r="AO132" t="e">
        <f>AND(tecantrop!O251,"AAAAADuP/Sg=")</f>
        <v>#VALUE!</v>
      </c>
      <c r="AP132" t="e">
        <f>AND(tecantrop!P251,"AAAAADuP/Sk=")</f>
        <v>#VALUE!</v>
      </c>
      <c r="AQ132" t="e">
        <f>AND(tecantrop!Q251,"AAAAADuP/So=")</f>
        <v>#VALUE!</v>
      </c>
      <c r="AR132" t="e">
        <f>AND(tecantrop!R251,"AAAAADuP/Ss=")</f>
        <v>#VALUE!</v>
      </c>
      <c r="AS132" t="e">
        <f>AND(tecantrop!S251,"AAAAADuP/Sw=")</f>
        <v>#VALUE!</v>
      </c>
      <c r="AT132" t="e">
        <f>AND(tecantrop!T251,"AAAAADuP/S0=")</f>
        <v>#VALUE!</v>
      </c>
      <c r="AU132" t="e">
        <f>AND(tecantrop!U251,"AAAAADuP/S4=")</f>
        <v>#VALUE!</v>
      </c>
      <c r="AV132" t="e">
        <f>AND(tecantrop!V251,"AAAAADuP/S8=")</f>
        <v>#VALUE!</v>
      </c>
      <c r="AW132" t="e">
        <f>AND(tecantrop!W251,"AAAAADuP/TA=")</f>
        <v>#VALUE!</v>
      </c>
      <c r="AX132" t="e">
        <f>AND(tecantrop!X251,"AAAAADuP/TE=")</f>
        <v>#VALUE!</v>
      </c>
      <c r="AY132">
        <f>IF(tecantrop!252:252,"AAAAADuP/TI=",0)</f>
        <v>0</v>
      </c>
      <c r="AZ132" t="e">
        <f>AND(tecantrop!A252,"AAAAADuP/TM=")</f>
        <v>#VALUE!</v>
      </c>
      <c r="BA132" t="e">
        <f>AND(tecantrop!B252,"AAAAADuP/TQ=")</f>
        <v>#VALUE!</v>
      </c>
      <c r="BB132" t="e">
        <f>AND(tecantrop!C252,"AAAAADuP/TU=")</f>
        <v>#VALUE!</v>
      </c>
      <c r="BC132" t="e">
        <f>AND(tecantrop!D252,"AAAAADuP/TY=")</f>
        <v>#VALUE!</v>
      </c>
      <c r="BD132" t="e">
        <f>AND(tecantrop!E252,"AAAAADuP/Tc=")</f>
        <v>#VALUE!</v>
      </c>
      <c r="BE132" t="e">
        <f>AND(tecantrop!F252,"AAAAADuP/Tg=")</f>
        <v>#VALUE!</v>
      </c>
      <c r="BF132" t="e">
        <f>AND(tecantrop!G252,"AAAAADuP/Tk=")</f>
        <v>#VALUE!</v>
      </c>
      <c r="BG132" t="e">
        <f>AND(tecantrop!H252,"AAAAADuP/To=")</f>
        <v>#VALUE!</v>
      </c>
      <c r="BH132" t="e">
        <f>AND(tecantrop!I252,"AAAAADuP/Ts=")</f>
        <v>#VALUE!</v>
      </c>
      <c r="BI132" t="e">
        <f>AND(tecantrop!J252,"AAAAADuP/Tw=")</f>
        <v>#VALUE!</v>
      </c>
      <c r="BJ132" t="e">
        <f>AND(tecantrop!K252,"AAAAADuP/T0=")</f>
        <v>#VALUE!</v>
      </c>
      <c r="BK132" t="e">
        <f>AND(tecantrop!L252,"AAAAADuP/T4=")</f>
        <v>#VALUE!</v>
      </c>
      <c r="BL132" t="e">
        <f>AND(tecantrop!M252,"AAAAADuP/T8=")</f>
        <v>#VALUE!</v>
      </c>
      <c r="BM132" t="e">
        <f>AND(tecantrop!N252,"AAAAADuP/UA=")</f>
        <v>#VALUE!</v>
      </c>
      <c r="BN132" t="e">
        <f>AND(tecantrop!O252,"AAAAADuP/UE=")</f>
        <v>#VALUE!</v>
      </c>
      <c r="BO132" t="e">
        <f>AND(tecantrop!P252,"AAAAADuP/UI=")</f>
        <v>#VALUE!</v>
      </c>
      <c r="BP132" t="e">
        <f>AND(tecantrop!Q252,"AAAAADuP/UM=")</f>
        <v>#VALUE!</v>
      </c>
      <c r="BQ132" t="e">
        <f>AND(tecantrop!R252,"AAAAADuP/UQ=")</f>
        <v>#VALUE!</v>
      </c>
      <c r="BR132" t="e">
        <f>AND(tecantrop!S252,"AAAAADuP/UU=")</f>
        <v>#VALUE!</v>
      </c>
      <c r="BS132" t="e">
        <f>AND(tecantrop!T252,"AAAAADuP/UY=")</f>
        <v>#VALUE!</v>
      </c>
      <c r="BT132" t="e">
        <f>AND(tecantrop!U252,"AAAAADuP/Uc=")</f>
        <v>#VALUE!</v>
      </c>
      <c r="BU132" t="e">
        <f>AND(tecantrop!V252,"AAAAADuP/Ug=")</f>
        <v>#VALUE!</v>
      </c>
      <c r="BV132" t="e">
        <f>AND(tecantrop!W252,"AAAAADuP/Uk=")</f>
        <v>#VALUE!</v>
      </c>
      <c r="BW132" t="e">
        <f>AND(tecantrop!X252,"AAAAADuP/Uo=")</f>
        <v>#VALUE!</v>
      </c>
      <c r="BX132">
        <f>IF(tecantrop!253:253,"AAAAADuP/Us=",0)</f>
        <v>0</v>
      </c>
      <c r="BY132" t="e">
        <f>AND(tecantrop!A253,"AAAAADuP/Uw=")</f>
        <v>#VALUE!</v>
      </c>
      <c r="BZ132" t="e">
        <f>AND(tecantrop!B253,"AAAAADuP/U0=")</f>
        <v>#VALUE!</v>
      </c>
      <c r="CA132" t="e">
        <f>AND(tecantrop!C253,"AAAAADuP/U4=")</f>
        <v>#VALUE!</v>
      </c>
      <c r="CB132" t="e">
        <f>AND(tecantrop!D253,"AAAAADuP/U8=")</f>
        <v>#VALUE!</v>
      </c>
      <c r="CC132" t="e">
        <f>AND(tecantrop!E253,"AAAAADuP/VA=")</f>
        <v>#VALUE!</v>
      </c>
      <c r="CD132" t="e">
        <f>AND(tecantrop!F253,"AAAAADuP/VE=")</f>
        <v>#VALUE!</v>
      </c>
      <c r="CE132" t="e">
        <f>AND(tecantrop!G253,"AAAAADuP/VI=")</f>
        <v>#VALUE!</v>
      </c>
      <c r="CF132" t="e">
        <f>AND(tecantrop!H253,"AAAAADuP/VM=")</f>
        <v>#VALUE!</v>
      </c>
      <c r="CG132" t="e">
        <f>AND(tecantrop!I253,"AAAAADuP/VQ=")</f>
        <v>#VALUE!</v>
      </c>
      <c r="CH132" t="e">
        <f>AND(tecantrop!J253,"AAAAADuP/VU=")</f>
        <v>#VALUE!</v>
      </c>
      <c r="CI132" t="e">
        <f>AND(tecantrop!K253,"AAAAADuP/VY=")</f>
        <v>#VALUE!</v>
      </c>
      <c r="CJ132" t="e">
        <f>AND(tecantrop!L253,"AAAAADuP/Vc=")</f>
        <v>#VALUE!</v>
      </c>
      <c r="CK132" t="e">
        <f>AND(tecantrop!M253,"AAAAADuP/Vg=")</f>
        <v>#VALUE!</v>
      </c>
      <c r="CL132" t="e">
        <f>AND(tecantrop!N253,"AAAAADuP/Vk=")</f>
        <v>#VALUE!</v>
      </c>
      <c r="CM132" t="e">
        <f>AND(tecantrop!O253,"AAAAADuP/Vo=")</f>
        <v>#VALUE!</v>
      </c>
      <c r="CN132" t="e">
        <f>AND(tecantrop!P253,"AAAAADuP/Vs=")</f>
        <v>#VALUE!</v>
      </c>
      <c r="CO132" t="e">
        <f>AND(tecantrop!Q253,"AAAAADuP/Vw=")</f>
        <v>#VALUE!</v>
      </c>
      <c r="CP132" t="e">
        <f>AND(tecantrop!R253,"AAAAADuP/V0=")</f>
        <v>#VALUE!</v>
      </c>
      <c r="CQ132" t="e">
        <f>AND(tecantrop!S253,"AAAAADuP/V4=")</f>
        <v>#VALUE!</v>
      </c>
      <c r="CR132" t="e">
        <f>AND(tecantrop!T253,"AAAAADuP/V8=")</f>
        <v>#VALUE!</v>
      </c>
      <c r="CS132" t="e">
        <f>AND(tecantrop!U253,"AAAAADuP/WA=")</f>
        <v>#VALUE!</v>
      </c>
      <c r="CT132" t="e">
        <f>AND(tecantrop!V253,"AAAAADuP/WE=")</f>
        <v>#VALUE!</v>
      </c>
      <c r="CU132" t="e">
        <f>AND(tecantrop!W253,"AAAAADuP/WI=")</f>
        <v>#VALUE!</v>
      </c>
      <c r="CV132" t="e">
        <f>AND(tecantrop!X253,"AAAAADuP/WM=")</f>
        <v>#VALUE!</v>
      </c>
      <c r="CW132">
        <f>IF(tecantrop!254:254,"AAAAADuP/WQ=",0)</f>
        <v>0</v>
      </c>
      <c r="CX132" t="e">
        <f>AND(tecantrop!A254,"AAAAADuP/WU=")</f>
        <v>#VALUE!</v>
      </c>
      <c r="CY132" t="e">
        <f>AND(tecantrop!B254,"AAAAADuP/WY=")</f>
        <v>#VALUE!</v>
      </c>
      <c r="CZ132" t="e">
        <f>AND(tecantrop!C254,"AAAAADuP/Wc=")</f>
        <v>#VALUE!</v>
      </c>
      <c r="DA132" t="e">
        <f>AND(tecantrop!D254,"AAAAADuP/Wg=")</f>
        <v>#VALUE!</v>
      </c>
      <c r="DB132" t="e">
        <f>AND(tecantrop!E254,"AAAAADuP/Wk=")</f>
        <v>#VALUE!</v>
      </c>
      <c r="DC132" t="e">
        <f>AND(tecantrop!F254,"AAAAADuP/Wo=")</f>
        <v>#VALUE!</v>
      </c>
      <c r="DD132" t="e">
        <f>AND(tecantrop!G254,"AAAAADuP/Ws=")</f>
        <v>#VALUE!</v>
      </c>
      <c r="DE132" t="e">
        <f>AND(tecantrop!H254,"AAAAADuP/Ww=")</f>
        <v>#VALUE!</v>
      </c>
      <c r="DF132" t="e">
        <f>AND(tecantrop!I254,"AAAAADuP/W0=")</f>
        <v>#VALUE!</v>
      </c>
      <c r="DG132" t="e">
        <f>AND(tecantrop!J254,"AAAAADuP/W4=")</f>
        <v>#VALUE!</v>
      </c>
      <c r="DH132" t="e">
        <f>AND(tecantrop!K254,"AAAAADuP/W8=")</f>
        <v>#VALUE!</v>
      </c>
      <c r="DI132" t="e">
        <f>AND(tecantrop!L254,"AAAAADuP/XA=")</f>
        <v>#VALUE!</v>
      </c>
      <c r="DJ132" t="e">
        <f>AND(tecantrop!M254,"AAAAADuP/XE=")</f>
        <v>#VALUE!</v>
      </c>
      <c r="DK132" t="e">
        <f>AND(tecantrop!N254,"AAAAADuP/XI=")</f>
        <v>#VALUE!</v>
      </c>
      <c r="DL132" t="e">
        <f>AND(tecantrop!O254,"AAAAADuP/XM=")</f>
        <v>#VALUE!</v>
      </c>
      <c r="DM132" t="e">
        <f>AND(tecantrop!P254,"AAAAADuP/XQ=")</f>
        <v>#VALUE!</v>
      </c>
      <c r="DN132" t="e">
        <f>AND(tecantrop!Q254,"AAAAADuP/XU=")</f>
        <v>#VALUE!</v>
      </c>
      <c r="DO132" t="e">
        <f>AND(tecantrop!R254,"AAAAADuP/XY=")</f>
        <v>#VALUE!</v>
      </c>
      <c r="DP132" t="e">
        <f>AND(tecantrop!S254,"AAAAADuP/Xc=")</f>
        <v>#VALUE!</v>
      </c>
      <c r="DQ132" t="e">
        <f>AND(tecantrop!T254,"AAAAADuP/Xg=")</f>
        <v>#VALUE!</v>
      </c>
      <c r="DR132" t="e">
        <f>AND(tecantrop!U254,"AAAAADuP/Xk=")</f>
        <v>#VALUE!</v>
      </c>
      <c r="DS132" t="e">
        <f>AND(tecantrop!V254,"AAAAADuP/Xo=")</f>
        <v>#VALUE!</v>
      </c>
      <c r="DT132" t="e">
        <f>AND(tecantrop!W254,"AAAAADuP/Xs=")</f>
        <v>#VALUE!</v>
      </c>
      <c r="DU132" t="e">
        <f>AND(tecantrop!X254,"AAAAADuP/Xw=")</f>
        <v>#VALUE!</v>
      </c>
      <c r="DV132">
        <f>IF(tecantrop!255:255,"AAAAADuP/X0=",0)</f>
        <v>0</v>
      </c>
      <c r="DW132" t="e">
        <f>AND(tecantrop!A255,"AAAAADuP/X4=")</f>
        <v>#VALUE!</v>
      </c>
      <c r="DX132" t="e">
        <f>AND(tecantrop!B255,"AAAAADuP/X8=")</f>
        <v>#VALUE!</v>
      </c>
      <c r="DY132" t="e">
        <f>AND(tecantrop!C255,"AAAAADuP/YA=")</f>
        <v>#VALUE!</v>
      </c>
      <c r="DZ132" t="e">
        <f>AND(tecantrop!D255,"AAAAADuP/YE=")</f>
        <v>#VALUE!</v>
      </c>
      <c r="EA132" t="e">
        <f>AND(tecantrop!E255,"AAAAADuP/YI=")</f>
        <v>#VALUE!</v>
      </c>
      <c r="EB132" t="e">
        <f>AND(tecantrop!F255,"AAAAADuP/YM=")</f>
        <v>#VALUE!</v>
      </c>
      <c r="EC132" t="e">
        <f>AND(tecantrop!G255,"AAAAADuP/YQ=")</f>
        <v>#VALUE!</v>
      </c>
      <c r="ED132" t="e">
        <f>AND(tecantrop!H255,"AAAAADuP/YU=")</f>
        <v>#VALUE!</v>
      </c>
      <c r="EE132" t="e">
        <f>AND(tecantrop!I255,"AAAAADuP/YY=")</f>
        <v>#VALUE!</v>
      </c>
      <c r="EF132" t="e">
        <f>AND(tecantrop!J255,"AAAAADuP/Yc=")</f>
        <v>#VALUE!</v>
      </c>
      <c r="EG132" t="e">
        <f>AND(tecantrop!K255,"AAAAADuP/Yg=")</f>
        <v>#VALUE!</v>
      </c>
      <c r="EH132" t="e">
        <f>AND(tecantrop!L255,"AAAAADuP/Yk=")</f>
        <v>#VALUE!</v>
      </c>
      <c r="EI132" t="e">
        <f>AND(tecantrop!M255,"AAAAADuP/Yo=")</f>
        <v>#VALUE!</v>
      </c>
      <c r="EJ132" t="e">
        <f>AND(tecantrop!N255,"AAAAADuP/Ys=")</f>
        <v>#VALUE!</v>
      </c>
      <c r="EK132" t="e">
        <f>AND(tecantrop!O255,"AAAAADuP/Yw=")</f>
        <v>#VALUE!</v>
      </c>
      <c r="EL132" t="e">
        <f>AND(tecantrop!P255,"AAAAADuP/Y0=")</f>
        <v>#VALUE!</v>
      </c>
      <c r="EM132" t="e">
        <f>AND(tecantrop!Q255,"AAAAADuP/Y4=")</f>
        <v>#VALUE!</v>
      </c>
      <c r="EN132" t="e">
        <f>AND(tecantrop!R255,"AAAAADuP/Y8=")</f>
        <v>#VALUE!</v>
      </c>
      <c r="EO132" t="e">
        <f>AND(tecantrop!S255,"AAAAADuP/ZA=")</f>
        <v>#VALUE!</v>
      </c>
      <c r="EP132" t="e">
        <f>AND(tecantrop!T255,"AAAAADuP/ZE=")</f>
        <v>#VALUE!</v>
      </c>
      <c r="EQ132" t="e">
        <f>AND(tecantrop!U255,"AAAAADuP/ZI=")</f>
        <v>#VALUE!</v>
      </c>
      <c r="ER132" t="e">
        <f>AND(tecantrop!V255,"AAAAADuP/ZM=")</f>
        <v>#VALUE!</v>
      </c>
      <c r="ES132" t="e">
        <f>AND(tecantrop!W255,"AAAAADuP/ZQ=")</f>
        <v>#VALUE!</v>
      </c>
      <c r="ET132" t="e">
        <f>AND(tecantrop!X255,"AAAAADuP/ZU=")</f>
        <v>#VALUE!</v>
      </c>
      <c r="EU132">
        <f>IF(tecantrop!256:256,"AAAAADuP/ZY=",0)</f>
        <v>0</v>
      </c>
      <c r="EV132" t="e">
        <f>AND(tecantrop!A256,"AAAAADuP/Zc=")</f>
        <v>#VALUE!</v>
      </c>
      <c r="EW132" t="e">
        <f>AND(tecantrop!B256,"AAAAADuP/Zg=")</f>
        <v>#VALUE!</v>
      </c>
      <c r="EX132" t="e">
        <f>AND(tecantrop!C256,"AAAAADuP/Zk=")</f>
        <v>#VALUE!</v>
      </c>
      <c r="EY132" t="e">
        <f>AND(tecantrop!D256,"AAAAADuP/Zo=")</f>
        <v>#VALUE!</v>
      </c>
      <c r="EZ132" t="e">
        <f>AND(tecantrop!E256,"AAAAADuP/Zs=")</f>
        <v>#VALUE!</v>
      </c>
      <c r="FA132" t="e">
        <f>AND(tecantrop!F256,"AAAAADuP/Zw=")</f>
        <v>#VALUE!</v>
      </c>
      <c r="FB132" t="e">
        <f>AND(tecantrop!G256,"AAAAADuP/Z0=")</f>
        <v>#VALUE!</v>
      </c>
      <c r="FC132" t="e">
        <f>AND(tecantrop!H256,"AAAAADuP/Z4=")</f>
        <v>#VALUE!</v>
      </c>
      <c r="FD132" t="e">
        <f>AND(tecantrop!I256,"AAAAADuP/Z8=")</f>
        <v>#VALUE!</v>
      </c>
      <c r="FE132" t="e">
        <f>AND(tecantrop!J256,"AAAAADuP/aA=")</f>
        <v>#VALUE!</v>
      </c>
      <c r="FF132" t="e">
        <f>AND(tecantrop!K256,"AAAAADuP/aE=")</f>
        <v>#VALUE!</v>
      </c>
      <c r="FG132" t="e">
        <f>AND(tecantrop!L256,"AAAAADuP/aI=")</f>
        <v>#VALUE!</v>
      </c>
      <c r="FH132" t="e">
        <f>AND(tecantrop!M256,"AAAAADuP/aM=")</f>
        <v>#VALUE!</v>
      </c>
      <c r="FI132" t="e">
        <f>AND(tecantrop!N256,"AAAAADuP/aQ=")</f>
        <v>#VALUE!</v>
      </c>
      <c r="FJ132" t="e">
        <f>AND(tecantrop!O256,"AAAAADuP/aU=")</f>
        <v>#VALUE!</v>
      </c>
      <c r="FK132" t="e">
        <f>AND(tecantrop!P256,"AAAAADuP/aY=")</f>
        <v>#VALUE!</v>
      </c>
      <c r="FL132" t="e">
        <f>AND(tecantrop!Q256,"AAAAADuP/ac=")</f>
        <v>#VALUE!</v>
      </c>
      <c r="FM132" t="e">
        <f>AND(tecantrop!R256,"AAAAADuP/ag=")</f>
        <v>#VALUE!</v>
      </c>
      <c r="FN132" t="e">
        <f>AND(tecantrop!S256,"AAAAADuP/ak=")</f>
        <v>#VALUE!</v>
      </c>
      <c r="FO132" t="e">
        <f>AND(tecantrop!T256,"AAAAADuP/ao=")</f>
        <v>#VALUE!</v>
      </c>
      <c r="FP132" t="e">
        <f>AND(tecantrop!U256,"AAAAADuP/as=")</f>
        <v>#VALUE!</v>
      </c>
      <c r="FQ132" t="e">
        <f>AND(tecantrop!V256,"AAAAADuP/aw=")</f>
        <v>#VALUE!</v>
      </c>
      <c r="FR132" t="e">
        <f>AND(tecantrop!W256,"AAAAADuP/a0=")</f>
        <v>#VALUE!</v>
      </c>
      <c r="FS132" t="e">
        <f>AND(tecantrop!X256,"AAAAADuP/a4=")</f>
        <v>#VALUE!</v>
      </c>
      <c r="FT132">
        <f>IF(tecantrop!257:257,"AAAAADuP/a8=",0)</f>
        <v>0</v>
      </c>
      <c r="FU132" t="e">
        <f>AND(tecantrop!A257,"AAAAADuP/bA=")</f>
        <v>#VALUE!</v>
      </c>
      <c r="FV132" t="e">
        <f>AND(tecantrop!B257,"AAAAADuP/bE=")</f>
        <v>#VALUE!</v>
      </c>
      <c r="FW132" t="e">
        <f>AND(tecantrop!C257,"AAAAADuP/bI=")</f>
        <v>#VALUE!</v>
      </c>
      <c r="FX132" t="e">
        <f>AND(tecantrop!D257,"AAAAADuP/bM=")</f>
        <v>#VALUE!</v>
      </c>
      <c r="FY132" t="e">
        <f>AND(tecantrop!E257,"AAAAADuP/bQ=")</f>
        <v>#VALUE!</v>
      </c>
      <c r="FZ132" t="e">
        <f>AND(tecantrop!F257,"AAAAADuP/bU=")</f>
        <v>#VALUE!</v>
      </c>
      <c r="GA132" t="e">
        <f>AND(tecantrop!G257,"AAAAADuP/bY=")</f>
        <v>#VALUE!</v>
      </c>
      <c r="GB132" t="e">
        <f>AND(tecantrop!H257,"AAAAADuP/bc=")</f>
        <v>#VALUE!</v>
      </c>
      <c r="GC132" t="e">
        <f>AND(tecantrop!I257,"AAAAADuP/bg=")</f>
        <v>#VALUE!</v>
      </c>
      <c r="GD132" t="e">
        <f>AND(tecantrop!J257,"AAAAADuP/bk=")</f>
        <v>#VALUE!</v>
      </c>
      <c r="GE132" t="e">
        <f>AND(tecantrop!K257,"AAAAADuP/bo=")</f>
        <v>#VALUE!</v>
      </c>
      <c r="GF132" t="e">
        <f>AND(tecantrop!L257,"AAAAADuP/bs=")</f>
        <v>#VALUE!</v>
      </c>
      <c r="GG132" t="e">
        <f>AND(tecantrop!M257,"AAAAADuP/bw=")</f>
        <v>#VALUE!</v>
      </c>
      <c r="GH132" t="e">
        <f>AND(tecantrop!N257,"AAAAADuP/b0=")</f>
        <v>#VALUE!</v>
      </c>
      <c r="GI132" t="e">
        <f>AND(tecantrop!O257,"AAAAADuP/b4=")</f>
        <v>#VALUE!</v>
      </c>
      <c r="GJ132" t="e">
        <f>AND(tecantrop!P257,"AAAAADuP/b8=")</f>
        <v>#VALUE!</v>
      </c>
      <c r="GK132" t="e">
        <f>AND(tecantrop!Q257,"AAAAADuP/cA=")</f>
        <v>#VALUE!</v>
      </c>
      <c r="GL132" t="e">
        <f>AND(tecantrop!R257,"AAAAADuP/cE=")</f>
        <v>#VALUE!</v>
      </c>
      <c r="GM132" t="e">
        <f>AND(tecantrop!S257,"AAAAADuP/cI=")</f>
        <v>#VALUE!</v>
      </c>
      <c r="GN132" t="e">
        <f>AND(tecantrop!T257,"AAAAADuP/cM=")</f>
        <v>#VALUE!</v>
      </c>
      <c r="GO132" t="e">
        <f>AND(tecantrop!U257,"AAAAADuP/cQ=")</f>
        <v>#VALUE!</v>
      </c>
      <c r="GP132" t="e">
        <f>AND(tecantrop!V257,"AAAAADuP/cU=")</f>
        <v>#VALUE!</v>
      </c>
      <c r="GQ132" t="e">
        <f>AND(tecantrop!W257,"AAAAADuP/cY=")</f>
        <v>#VALUE!</v>
      </c>
      <c r="GR132" t="e">
        <f>AND(tecantrop!X257,"AAAAADuP/cc=")</f>
        <v>#VALUE!</v>
      </c>
      <c r="GS132">
        <f>IF(tecantrop!258:258,"AAAAADuP/cg=",0)</f>
        <v>0</v>
      </c>
      <c r="GT132" t="e">
        <f>AND(tecantrop!A258,"AAAAADuP/ck=")</f>
        <v>#VALUE!</v>
      </c>
      <c r="GU132" t="e">
        <f>AND(tecantrop!B258,"AAAAADuP/co=")</f>
        <v>#VALUE!</v>
      </c>
      <c r="GV132" t="e">
        <f>AND(tecantrop!C258,"AAAAADuP/cs=")</f>
        <v>#VALUE!</v>
      </c>
      <c r="GW132" t="e">
        <f>AND(tecantrop!D258,"AAAAADuP/cw=")</f>
        <v>#VALUE!</v>
      </c>
      <c r="GX132" t="e">
        <f>AND(tecantrop!E258,"AAAAADuP/c0=")</f>
        <v>#VALUE!</v>
      </c>
      <c r="GY132" t="e">
        <f>AND(tecantrop!F258,"AAAAADuP/c4=")</f>
        <v>#VALUE!</v>
      </c>
      <c r="GZ132" t="e">
        <f>AND(tecantrop!G258,"AAAAADuP/c8=")</f>
        <v>#VALUE!</v>
      </c>
      <c r="HA132" t="e">
        <f>AND(tecantrop!H258,"AAAAADuP/dA=")</f>
        <v>#VALUE!</v>
      </c>
      <c r="HB132" t="e">
        <f>AND(tecantrop!I258,"AAAAADuP/dE=")</f>
        <v>#VALUE!</v>
      </c>
      <c r="HC132" t="e">
        <f>AND(tecantrop!J258,"AAAAADuP/dI=")</f>
        <v>#VALUE!</v>
      </c>
      <c r="HD132" t="e">
        <f>AND(tecantrop!K258,"AAAAADuP/dM=")</f>
        <v>#VALUE!</v>
      </c>
      <c r="HE132" t="e">
        <f>AND(tecantrop!L258,"AAAAADuP/dQ=")</f>
        <v>#VALUE!</v>
      </c>
      <c r="HF132" t="e">
        <f>AND(tecantrop!M258,"AAAAADuP/dU=")</f>
        <v>#VALUE!</v>
      </c>
      <c r="HG132" t="e">
        <f>AND(tecantrop!N258,"AAAAADuP/dY=")</f>
        <v>#VALUE!</v>
      </c>
      <c r="HH132" t="e">
        <f>AND(tecantrop!O258,"AAAAADuP/dc=")</f>
        <v>#VALUE!</v>
      </c>
      <c r="HI132" t="e">
        <f>AND(tecantrop!P258,"AAAAADuP/dg=")</f>
        <v>#VALUE!</v>
      </c>
      <c r="HJ132" t="e">
        <f>AND(tecantrop!Q258,"AAAAADuP/dk=")</f>
        <v>#VALUE!</v>
      </c>
      <c r="HK132" t="e">
        <f>AND(tecantrop!R258,"AAAAADuP/do=")</f>
        <v>#VALUE!</v>
      </c>
      <c r="HL132" t="e">
        <f>AND(tecantrop!S258,"AAAAADuP/ds=")</f>
        <v>#VALUE!</v>
      </c>
      <c r="HM132" t="e">
        <f>AND(tecantrop!T258,"AAAAADuP/dw=")</f>
        <v>#VALUE!</v>
      </c>
      <c r="HN132" t="e">
        <f>AND(tecantrop!U258,"AAAAADuP/d0=")</f>
        <v>#VALUE!</v>
      </c>
      <c r="HO132" t="e">
        <f>AND(tecantrop!V258,"AAAAADuP/d4=")</f>
        <v>#VALUE!</v>
      </c>
      <c r="HP132" t="e">
        <f>AND(tecantrop!W258,"AAAAADuP/d8=")</f>
        <v>#VALUE!</v>
      </c>
      <c r="HQ132" t="e">
        <f>AND(tecantrop!X258,"AAAAADuP/eA=")</f>
        <v>#VALUE!</v>
      </c>
      <c r="HR132">
        <f>IF(tecantrop!259:259,"AAAAADuP/eE=",0)</f>
        <v>0</v>
      </c>
      <c r="HS132" t="e">
        <f>AND(tecantrop!A259,"AAAAADuP/eI=")</f>
        <v>#VALUE!</v>
      </c>
      <c r="HT132" t="e">
        <f>AND(tecantrop!B259,"AAAAADuP/eM=")</f>
        <v>#VALUE!</v>
      </c>
      <c r="HU132" t="e">
        <f>AND(tecantrop!C259,"AAAAADuP/eQ=")</f>
        <v>#VALUE!</v>
      </c>
      <c r="HV132" t="e">
        <f>AND(tecantrop!D259,"AAAAADuP/eU=")</f>
        <v>#VALUE!</v>
      </c>
      <c r="HW132" t="e">
        <f>AND(tecantrop!E259,"AAAAADuP/eY=")</f>
        <v>#VALUE!</v>
      </c>
      <c r="HX132" t="e">
        <f>AND(tecantrop!F259,"AAAAADuP/ec=")</f>
        <v>#VALUE!</v>
      </c>
      <c r="HY132" t="e">
        <f>AND(tecantrop!G259,"AAAAADuP/eg=")</f>
        <v>#VALUE!</v>
      </c>
      <c r="HZ132" t="e">
        <f>AND(tecantrop!H259,"AAAAADuP/ek=")</f>
        <v>#VALUE!</v>
      </c>
      <c r="IA132" t="e">
        <f>AND(tecantrop!I259,"AAAAADuP/eo=")</f>
        <v>#VALUE!</v>
      </c>
      <c r="IB132" t="e">
        <f>AND(tecantrop!J259,"AAAAADuP/es=")</f>
        <v>#VALUE!</v>
      </c>
      <c r="IC132" t="e">
        <f>AND(tecantrop!K259,"AAAAADuP/ew=")</f>
        <v>#VALUE!</v>
      </c>
      <c r="ID132" t="e">
        <f>AND(tecantrop!L259,"AAAAADuP/e0=")</f>
        <v>#VALUE!</v>
      </c>
      <c r="IE132" t="e">
        <f>AND(tecantrop!M259,"AAAAADuP/e4=")</f>
        <v>#VALUE!</v>
      </c>
      <c r="IF132" t="e">
        <f>AND(tecantrop!N259,"AAAAADuP/e8=")</f>
        <v>#VALUE!</v>
      </c>
      <c r="IG132" t="e">
        <f>AND(tecantrop!O259,"AAAAADuP/fA=")</f>
        <v>#VALUE!</v>
      </c>
      <c r="IH132" t="e">
        <f>AND(tecantrop!P259,"AAAAADuP/fE=")</f>
        <v>#VALUE!</v>
      </c>
      <c r="II132" t="e">
        <f>AND(tecantrop!Q259,"AAAAADuP/fI=")</f>
        <v>#VALUE!</v>
      </c>
      <c r="IJ132" t="e">
        <f>AND(tecantrop!R259,"AAAAADuP/fM=")</f>
        <v>#VALUE!</v>
      </c>
      <c r="IK132" t="e">
        <f>AND(tecantrop!S259,"AAAAADuP/fQ=")</f>
        <v>#VALUE!</v>
      </c>
      <c r="IL132" t="e">
        <f>AND(tecantrop!T259,"AAAAADuP/fU=")</f>
        <v>#VALUE!</v>
      </c>
      <c r="IM132" t="e">
        <f>AND(tecantrop!U259,"AAAAADuP/fY=")</f>
        <v>#VALUE!</v>
      </c>
      <c r="IN132" t="e">
        <f>AND(tecantrop!V259,"AAAAADuP/fc=")</f>
        <v>#VALUE!</v>
      </c>
      <c r="IO132" t="e">
        <f>AND(tecantrop!W259,"AAAAADuP/fg=")</f>
        <v>#VALUE!</v>
      </c>
      <c r="IP132" t="e">
        <f>AND(tecantrop!X259,"AAAAADuP/fk=")</f>
        <v>#VALUE!</v>
      </c>
      <c r="IQ132">
        <f>IF(tecantrop!260:260,"AAAAADuP/fo=",0)</f>
        <v>0</v>
      </c>
      <c r="IR132" t="e">
        <f>AND(tecantrop!A260,"AAAAADuP/fs=")</f>
        <v>#VALUE!</v>
      </c>
      <c r="IS132" t="e">
        <f>AND(tecantrop!B260,"AAAAADuP/fw=")</f>
        <v>#VALUE!</v>
      </c>
      <c r="IT132" t="e">
        <f>AND(tecantrop!C260,"AAAAADuP/f0=")</f>
        <v>#VALUE!</v>
      </c>
      <c r="IU132" t="e">
        <f>AND(tecantrop!D260,"AAAAADuP/f4=")</f>
        <v>#VALUE!</v>
      </c>
      <c r="IV132" t="e">
        <f>AND(tecantrop!E260,"AAAAADuP/f8=")</f>
        <v>#VALUE!</v>
      </c>
    </row>
    <row r="133" spans="1:256" x14ac:dyDescent="0.2">
      <c r="A133" t="e">
        <f>AND(tecantrop!F260,"AAAAAG/37wA=")</f>
        <v>#VALUE!</v>
      </c>
      <c r="B133" t="e">
        <f>AND(tecantrop!G260,"AAAAAG/37wE=")</f>
        <v>#VALUE!</v>
      </c>
      <c r="C133" t="e">
        <f>AND(tecantrop!H260,"AAAAAG/37wI=")</f>
        <v>#VALUE!</v>
      </c>
      <c r="D133" t="e">
        <f>AND(tecantrop!I260,"AAAAAG/37wM=")</f>
        <v>#VALUE!</v>
      </c>
      <c r="E133" t="e">
        <f>AND(tecantrop!J260,"AAAAAG/37wQ=")</f>
        <v>#VALUE!</v>
      </c>
      <c r="F133" t="e">
        <f>AND(tecantrop!K260,"AAAAAG/37wU=")</f>
        <v>#VALUE!</v>
      </c>
      <c r="G133" t="e">
        <f>AND(tecantrop!L260,"AAAAAG/37wY=")</f>
        <v>#VALUE!</v>
      </c>
      <c r="H133" t="e">
        <f>AND(tecantrop!M260,"AAAAAG/37wc=")</f>
        <v>#VALUE!</v>
      </c>
      <c r="I133" t="e">
        <f>AND(tecantrop!N260,"AAAAAG/37wg=")</f>
        <v>#VALUE!</v>
      </c>
      <c r="J133" t="e">
        <f>AND(tecantrop!O260,"AAAAAG/37wk=")</f>
        <v>#VALUE!</v>
      </c>
      <c r="K133" t="e">
        <f>AND(tecantrop!P260,"AAAAAG/37wo=")</f>
        <v>#VALUE!</v>
      </c>
      <c r="L133" t="e">
        <f>AND(tecantrop!Q260,"AAAAAG/37ws=")</f>
        <v>#VALUE!</v>
      </c>
      <c r="M133" t="e">
        <f>AND(tecantrop!R260,"AAAAAG/37ww=")</f>
        <v>#VALUE!</v>
      </c>
      <c r="N133" t="e">
        <f>AND(tecantrop!S260,"AAAAAG/37w0=")</f>
        <v>#VALUE!</v>
      </c>
      <c r="O133" t="e">
        <f>AND(tecantrop!T260,"AAAAAG/37w4=")</f>
        <v>#VALUE!</v>
      </c>
      <c r="P133" t="e">
        <f>AND(tecantrop!U260,"AAAAAG/37w8=")</f>
        <v>#VALUE!</v>
      </c>
      <c r="Q133" t="e">
        <f>AND(tecantrop!V260,"AAAAAG/37xA=")</f>
        <v>#VALUE!</v>
      </c>
      <c r="R133" t="e">
        <f>AND(tecantrop!W260,"AAAAAG/37xE=")</f>
        <v>#VALUE!</v>
      </c>
      <c r="S133" t="e">
        <f>AND(tecantrop!X260,"AAAAAG/37xI=")</f>
        <v>#VALUE!</v>
      </c>
      <c r="T133">
        <f>IF(tecantrop!261:261,"AAAAAG/37xM=",0)</f>
        <v>0</v>
      </c>
      <c r="U133" t="e">
        <f>AND(tecantrop!A261,"AAAAAG/37xQ=")</f>
        <v>#VALUE!</v>
      </c>
      <c r="V133" t="e">
        <f>AND(tecantrop!B261,"AAAAAG/37xU=")</f>
        <v>#VALUE!</v>
      </c>
      <c r="W133" t="e">
        <f>AND(tecantrop!C261,"AAAAAG/37xY=")</f>
        <v>#VALUE!</v>
      </c>
      <c r="X133" t="e">
        <f>AND(tecantrop!D261,"AAAAAG/37xc=")</f>
        <v>#VALUE!</v>
      </c>
      <c r="Y133" t="e">
        <f>AND(tecantrop!E261,"AAAAAG/37xg=")</f>
        <v>#VALUE!</v>
      </c>
      <c r="Z133" t="e">
        <f>AND(tecantrop!F261,"AAAAAG/37xk=")</f>
        <v>#VALUE!</v>
      </c>
      <c r="AA133" t="e">
        <f>AND(tecantrop!G261,"AAAAAG/37xo=")</f>
        <v>#VALUE!</v>
      </c>
      <c r="AB133" t="e">
        <f>AND(tecantrop!H261,"AAAAAG/37xs=")</f>
        <v>#VALUE!</v>
      </c>
      <c r="AC133" t="e">
        <f>AND(tecantrop!I261,"AAAAAG/37xw=")</f>
        <v>#VALUE!</v>
      </c>
      <c r="AD133" t="e">
        <f>AND(tecantrop!J261,"AAAAAG/37x0=")</f>
        <v>#VALUE!</v>
      </c>
      <c r="AE133" t="e">
        <f>AND(tecantrop!K261,"AAAAAG/37x4=")</f>
        <v>#VALUE!</v>
      </c>
      <c r="AF133" t="e">
        <f>AND(tecantrop!L261,"AAAAAG/37x8=")</f>
        <v>#VALUE!</v>
      </c>
      <c r="AG133" t="e">
        <f>AND(tecantrop!M261,"AAAAAG/37yA=")</f>
        <v>#VALUE!</v>
      </c>
      <c r="AH133" t="e">
        <f>AND(tecantrop!N261,"AAAAAG/37yE=")</f>
        <v>#VALUE!</v>
      </c>
      <c r="AI133" t="e">
        <f>AND(tecantrop!O261,"AAAAAG/37yI=")</f>
        <v>#VALUE!</v>
      </c>
      <c r="AJ133" t="e">
        <f>AND(tecantrop!P261,"AAAAAG/37yM=")</f>
        <v>#VALUE!</v>
      </c>
      <c r="AK133" t="e">
        <f>AND(tecantrop!Q261,"AAAAAG/37yQ=")</f>
        <v>#VALUE!</v>
      </c>
      <c r="AL133" t="e">
        <f>AND(tecantrop!R261,"AAAAAG/37yU=")</f>
        <v>#VALUE!</v>
      </c>
      <c r="AM133" t="e">
        <f>AND(tecantrop!S261,"AAAAAG/37yY=")</f>
        <v>#VALUE!</v>
      </c>
      <c r="AN133" t="e">
        <f>AND(tecantrop!T261,"AAAAAG/37yc=")</f>
        <v>#VALUE!</v>
      </c>
      <c r="AO133" t="e">
        <f>AND(tecantrop!U261,"AAAAAG/37yg=")</f>
        <v>#VALUE!</v>
      </c>
      <c r="AP133" t="e">
        <f>AND(tecantrop!V261,"AAAAAG/37yk=")</f>
        <v>#VALUE!</v>
      </c>
      <c r="AQ133" t="e">
        <f>AND(tecantrop!W261,"AAAAAG/37yo=")</f>
        <v>#VALUE!</v>
      </c>
      <c r="AR133" t="e">
        <f>AND(tecantrop!X261,"AAAAAG/37ys=")</f>
        <v>#VALUE!</v>
      </c>
      <c r="AS133">
        <f>IF(tecantrop!262:262,"AAAAAG/37yw=",0)</f>
        <v>0</v>
      </c>
      <c r="AT133" t="e">
        <f>AND(tecantrop!A262,"AAAAAG/37y0=")</f>
        <v>#VALUE!</v>
      </c>
      <c r="AU133" t="e">
        <f>AND(tecantrop!B262,"AAAAAG/37y4=")</f>
        <v>#VALUE!</v>
      </c>
      <c r="AV133" t="e">
        <f>AND(tecantrop!C262,"AAAAAG/37y8=")</f>
        <v>#VALUE!</v>
      </c>
      <c r="AW133" t="e">
        <f>AND(tecantrop!D262,"AAAAAG/37zA=")</f>
        <v>#VALUE!</v>
      </c>
      <c r="AX133" t="e">
        <f>AND(tecantrop!E262,"AAAAAG/37zE=")</f>
        <v>#VALUE!</v>
      </c>
      <c r="AY133" t="e">
        <f>AND(tecantrop!F262,"AAAAAG/37zI=")</f>
        <v>#VALUE!</v>
      </c>
      <c r="AZ133" t="e">
        <f>AND(tecantrop!G262,"AAAAAG/37zM=")</f>
        <v>#VALUE!</v>
      </c>
      <c r="BA133" t="e">
        <f>AND(tecantrop!H262,"AAAAAG/37zQ=")</f>
        <v>#VALUE!</v>
      </c>
      <c r="BB133" t="e">
        <f>AND(tecantrop!I262,"AAAAAG/37zU=")</f>
        <v>#VALUE!</v>
      </c>
      <c r="BC133" t="e">
        <f>AND(tecantrop!J262,"AAAAAG/37zY=")</f>
        <v>#VALUE!</v>
      </c>
      <c r="BD133" t="e">
        <f>AND(tecantrop!K262,"AAAAAG/37zc=")</f>
        <v>#VALUE!</v>
      </c>
      <c r="BE133" t="e">
        <f>AND(tecantrop!L262,"AAAAAG/37zg=")</f>
        <v>#VALUE!</v>
      </c>
      <c r="BF133" t="e">
        <f>AND(tecantrop!M262,"AAAAAG/37zk=")</f>
        <v>#VALUE!</v>
      </c>
      <c r="BG133" t="e">
        <f>AND(tecantrop!N262,"AAAAAG/37zo=")</f>
        <v>#VALUE!</v>
      </c>
      <c r="BH133" t="e">
        <f>AND(tecantrop!O262,"AAAAAG/37zs=")</f>
        <v>#VALUE!</v>
      </c>
      <c r="BI133" t="e">
        <f>AND(tecantrop!P262,"AAAAAG/37zw=")</f>
        <v>#VALUE!</v>
      </c>
      <c r="BJ133" t="e">
        <f>AND(tecantrop!Q262,"AAAAAG/37z0=")</f>
        <v>#VALUE!</v>
      </c>
      <c r="BK133" t="e">
        <f>AND(tecantrop!R262,"AAAAAG/37z4=")</f>
        <v>#VALUE!</v>
      </c>
      <c r="BL133" t="e">
        <f>AND(tecantrop!S262,"AAAAAG/37z8=")</f>
        <v>#VALUE!</v>
      </c>
      <c r="BM133" t="e">
        <f>AND(tecantrop!T262,"AAAAAG/370A=")</f>
        <v>#VALUE!</v>
      </c>
      <c r="BN133" t="e">
        <f>AND(tecantrop!U262,"AAAAAG/370E=")</f>
        <v>#VALUE!</v>
      </c>
      <c r="BO133" t="e">
        <f>AND(tecantrop!V262,"AAAAAG/370I=")</f>
        <v>#VALUE!</v>
      </c>
      <c r="BP133" t="e">
        <f>AND(tecantrop!W262,"AAAAAG/370M=")</f>
        <v>#VALUE!</v>
      </c>
      <c r="BQ133" t="e">
        <f>AND(tecantrop!X262,"AAAAAG/370Q=")</f>
        <v>#VALUE!</v>
      </c>
      <c r="BR133">
        <f>IF(tecantrop!263:263,"AAAAAG/370U=",0)</f>
        <v>0</v>
      </c>
      <c r="BS133" t="e">
        <f>AND(tecantrop!A263,"AAAAAG/370Y=")</f>
        <v>#VALUE!</v>
      </c>
      <c r="BT133" t="e">
        <f>AND(tecantrop!B263,"AAAAAG/370c=")</f>
        <v>#VALUE!</v>
      </c>
      <c r="BU133" t="e">
        <f>AND(tecantrop!C263,"AAAAAG/370g=")</f>
        <v>#VALUE!</v>
      </c>
      <c r="BV133" t="e">
        <f>AND(tecantrop!D263,"AAAAAG/370k=")</f>
        <v>#VALUE!</v>
      </c>
      <c r="BW133" t="e">
        <f>AND(tecantrop!E263,"AAAAAG/370o=")</f>
        <v>#VALUE!</v>
      </c>
      <c r="BX133" t="e">
        <f>AND(tecantrop!F263,"AAAAAG/370s=")</f>
        <v>#VALUE!</v>
      </c>
      <c r="BY133" t="e">
        <f>AND(tecantrop!G263,"AAAAAG/370w=")</f>
        <v>#VALUE!</v>
      </c>
      <c r="BZ133" t="e">
        <f>AND(tecantrop!H263,"AAAAAG/3700=")</f>
        <v>#VALUE!</v>
      </c>
      <c r="CA133" t="e">
        <f>AND(tecantrop!I263,"AAAAAG/3704=")</f>
        <v>#VALUE!</v>
      </c>
      <c r="CB133" t="e">
        <f>AND(tecantrop!J263,"AAAAAG/3708=")</f>
        <v>#VALUE!</v>
      </c>
      <c r="CC133" t="e">
        <f>AND(tecantrop!K263,"AAAAAG/371A=")</f>
        <v>#VALUE!</v>
      </c>
      <c r="CD133" t="e">
        <f>AND(tecantrop!L263,"AAAAAG/371E=")</f>
        <v>#VALUE!</v>
      </c>
      <c r="CE133" t="e">
        <f>AND(tecantrop!M263,"AAAAAG/371I=")</f>
        <v>#VALUE!</v>
      </c>
      <c r="CF133" t="e">
        <f>AND(tecantrop!N263,"AAAAAG/371M=")</f>
        <v>#VALUE!</v>
      </c>
      <c r="CG133" t="e">
        <f>AND(tecantrop!O263,"AAAAAG/371Q=")</f>
        <v>#VALUE!</v>
      </c>
      <c r="CH133" t="e">
        <f>AND(tecantrop!P263,"AAAAAG/371U=")</f>
        <v>#VALUE!</v>
      </c>
      <c r="CI133" t="e">
        <f>AND(tecantrop!Q263,"AAAAAG/371Y=")</f>
        <v>#VALUE!</v>
      </c>
      <c r="CJ133" t="e">
        <f>AND(tecantrop!R263,"AAAAAG/371c=")</f>
        <v>#VALUE!</v>
      </c>
      <c r="CK133" t="e">
        <f>AND(tecantrop!S263,"AAAAAG/371g=")</f>
        <v>#VALUE!</v>
      </c>
      <c r="CL133" t="e">
        <f>AND(tecantrop!T263,"AAAAAG/371k=")</f>
        <v>#VALUE!</v>
      </c>
      <c r="CM133" t="e">
        <f>AND(tecantrop!U263,"AAAAAG/371o=")</f>
        <v>#VALUE!</v>
      </c>
      <c r="CN133" t="e">
        <f>AND(tecantrop!V263,"AAAAAG/371s=")</f>
        <v>#VALUE!</v>
      </c>
      <c r="CO133" t="e">
        <f>AND(tecantrop!W263,"AAAAAG/371w=")</f>
        <v>#VALUE!</v>
      </c>
      <c r="CP133" t="e">
        <f>AND(tecantrop!X263,"AAAAAG/3710=")</f>
        <v>#VALUE!</v>
      </c>
      <c r="CQ133">
        <f>IF(tecantrop!264:264,"AAAAAG/3714=",0)</f>
        <v>0</v>
      </c>
      <c r="CR133" t="e">
        <f>AND(tecantrop!A264,"AAAAAG/3718=")</f>
        <v>#VALUE!</v>
      </c>
      <c r="CS133" t="e">
        <f>AND(tecantrop!B264,"AAAAAG/372A=")</f>
        <v>#VALUE!</v>
      </c>
      <c r="CT133" t="e">
        <f>AND(tecantrop!C264,"AAAAAG/372E=")</f>
        <v>#VALUE!</v>
      </c>
      <c r="CU133" t="e">
        <f>AND(tecantrop!D264,"AAAAAG/372I=")</f>
        <v>#VALUE!</v>
      </c>
      <c r="CV133" t="e">
        <f>AND(tecantrop!E264,"AAAAAG/372M=")</f>
        <v>#VALUE!</v>
      </c>
      <c r="CW133" t="e">
        <f>AND(tecantrop!F264,"AAAAAG/372Q=")</f>
        <v>#VALUE!</v>
      </c>
      <c r="CX133" t="e">
        <f>AND(tecantrop!G264,"AAAAAG/372U=")</f>
        <v>#VALUE!</v>
      </c>
      <c r="CY133" t="e">
        <f>AND(tecantrop!H264,"AAAAAG/372Y=")</f>
        <v>#VALUE!</v>
      </c>
      <c r="CZ133" t="e">
        <f>AND(tecantrop!I264,"AAAAAG/372c=")</f>
        <v>#VALUE!</v>
      </c>
      <c r="DA133" t="e">
        <f>AND(tecantrop!J264,"AAAAAG/372g=")</f>
        <v>#VALUE!</v>
      </c>
      <c r="DB133" t="e">
        <f>AND(tecantrop!K264,"AAAAAG/372k=")</f>
        <v>#VALUE!</v>
      </c>
      <c r="DC133" t="e">
        <f>AND(tecantrop!L264,"AAAAAG/372o=")</f>
        <v>#VALUE!</v>
      </c>
      <c r="DD133" t="e">
        <f>AND(tecantrop!M264,"AAAAAG/372s=")</f>
        <v>#VALUE!</v>
      </c>
      <c r="DE133" t="e">
        <f>AND(tecantrop!N264,"AAAAAG/372w=")</f>
        <v>#VALUE!</v>
      </c>
      <c r="DF133" t="e">
        <f>AND(tecantrop!O264,"AAAAAG/3720=")</f>
        <v>#VALUE!</v>
      </c>
      <c r="DG133" t="e">
        <f>AND(tecantrop!P264,"AAAAAG/3724=")</f>
        <v>#VALUE!</v>
      </c>
      <c r="DH133" t="e">
        <f>AND(tecantrop!Q264,"AAAAAG/3728=")</f>
        <v>#VALUE!</v>
      </c>
      <c r="DI133" t="e">
        <f>AND(tecantrop!R264,"AAAAAG/373A=")</f>
        <v>#VALUE!</v>
      </c>
      <c r="DJ133" t="e">
        <f>AND(tecantrop!S264,"AAAAAG/373E=")</f>
        <v>#VALUE!</v>
      </c>
      <c r="DK133" t="e">
        <f>AND(tecantrop!T264,"AAAAAG/373I=")</f>
        <v>#VALUE!</v>
      </c>
      <c r="DL133" t="e">
        <f>AND(tecantrop!U264,"AAAAAG/373M=")</f>
        <v>#VALUE!</v>
      </c>
      <c r="DM133" t="e">
        <f>AND(tecantrop!V264,"AAAAAG/373Q=")</f>
        <v>#VALUE!</v>
      </c>
      <c r="DN133" t="e">
        <f>AND(tecantrop!W264,"AAAAAG/373U=")</f>
        <v>#VALUE!</v>
      </c>
      <c r="DO133" t="e">
        <f>AND(tecantrop!X264,"AAAAAG/373Y=")</f>
        <v>#VALUE!</v>
      </c>
      <c r="DP133">
        <f>IF(tecantrop!265:265,"AAAAAG/373c=",0)</f>
        <v>0</v>
      </c>
      <c r="DQ133" t="e">
        <f>AND(tecantrop!A265,"AAAAAG/373g=")</f>
        <v>#VALUE!</v>
      </c>
      <c r="DR133" t="e">
        <f>AND(tecantrop!B265,"AAAAAG/373k=")</f>
        <v>#VALUE!</v>
      </c>
      <c r="DS133" t="e">
        <f>AND(tecantrop!C265,"AAAAAG/373o=")</f>
        <v>#VALUE!</v>
      </c>
      <c r="DT133" t="e">
        <f>AND(tecantrop!D265,"AAAAAG/373s=")</f>
        <v>#VALUE!</v>
      </c>
      <c r="DU133" t="e">
        <f>AND(tecantrop!E265,"AAAAAG/373w=")</f>
        <v>#VALUE!</v>
      </c>
      <c r="DV133" t="e">
        <f>AND(tecantrop!F265,"AAAAAG/3730=")</f>
        <v>#VALUE!</v>
      </c>
      <c r="DW133" t="e">
        <f>AND(tecantrop!G265,"AAAAAG/3734=")</f>
        <v>#VALUE!</v>
      </c>
      <c r="DX133" t="e">
        <f>AND(tecantrop!H265,"AAAAAG/3738=")</f>
        <v>#VALUE!</v>
      </c>
      <c r="DY133" t="e">
        <f>AND(tecantrop!I265,"AAAAAG/374A=")</f>
        <v>#VALUE!</v>
      </c>
      <c r="DZ133" t="e">
        <f>AND(tecantrop!J265,"AAAAAG/374E=")</f>
        <v>#VALUE!</v>
      </c>
      <c r="EA133" t="e">
        <f>AND(tecantrop!K265,"AAAAAG/374I=")</f>
        <v>#VALUE!</v>
      </c>
      <c r="EB133" t="e">
        <f>AND(tecantrop!L265,"AAAAAG/374M=")</f>
        <v>#VALUE!</v>
      </c>
      <c r="EC133" t="e">
        <f>AND(tecantrop!M265,"AAAAAG/374Q=")</f>
        <v>#VALUE!</v>
      </c>
      <c r="ED133" t="e">
        <f>AND(tecantrop!N265,"AAAAAG/374U=")</f>
        <v>#VALUE!</v>
      </c>
      <c r="EE133" t="e">
        <f>AND(tecantrop!O265,"AAAAAG/374Y=")</f>
        <v>#VALUE!</v>
      </c>
      <c r="EF133" t="e">
        <f>AND(tecantrop!P265,"AAAAAG/374c=")</f>
        <v>#VALUE!</v>
      </c>
      <c r="EG133" t="e">
        <f>AND(tecantrop!Q265,"AAAAAG/374g=")</f>
        <v>#VALUE!</v>
      </c>
      <c r="EH133" t="e">
        <f>AND(tecantrop!R265,"AAAAAG/374k=")</f>
        <v>#VALUE!</v>
      </c>
      <c r="EI133" t="e">
        <f>AND(tecantrop!S265,"AAAAAG/374o=")</f>
        <v>#VALUE!</v>
      </c>
      <c r="EJ133" t="e">
        <f>AND(tecantrop!T265,"AAAAAG/374s=")</f>
        <v>#VALUE!</v>
      </c>
      <c r="EK133" t="e">
        <f>AND(tecantrop!U265,"AAAAAG/374w=")</f>
        <v>#VALUE!</v>
      </c>
      <c r="EL133" t="e">
        <f>AND(tecantrop!V265,"AAAAAG/3740=")</f>
        <v>#VALUE!</v>
      </c>
      <c r="EM133" t="e">
        <f>AND(tecantrop!W265,"AAAAAG/3744=")</f>
        <v>#VALUE!</v>
      </c>
      <c r="EN133" t="e">
        <f>AND(tecantrop!X265,"AAAAAG/3748=")</f>
        <v>#VALUE!</v>
      </c>
      <c r="EO133">
        <f>IF(tecantrop!266:266,"AAAAAG/375A=",0)</f>
        <v>0</v>
      </c>
      <c r="EP133" t="e">
        <f>AND(tecantrop!A266,"AAAAAG/375E=")</f>
        <v>#VALUE!</v>
      </c>
      <c r="EQ133" t="e">
        <f>AND(tecantrop!B266,"AAAAAG/375I=")</f>
        <v>#VALUE!</v>
      </c>
      <c r="ER133" t="e">
        <f>AND(tecantrop!C266,"AAAAAG/375M=")</f>
        <v>#VALUE!</v>
      </c>
      <c r="ES133" t="e">
        <f>AND(tecantrop!D266,"AAAAAG/375Q=")</f>
        <v>#VALUE!</v>
      </c>
      <c r="ET133" t="e">
        <f>AND(tecantrop!E266,"AAAAAG/375U=")</f>
        <v>#VALUE!</v>
      </c>
      <c r="EU133" t="e">
        <f>AND(tecantrop!F266,"AAAAAG/375Y=")</f>
        <v>#VALUE!</v>
      </c>
      <c r="EV133" t="e">
        <f>AND(tecantrop!G266,"AAAAAG/375c=")</f>
        <v>#VALUE!</v>
      </c>
      <c r="EW133" t="e">
        <f>AND(tecantrop!H266,"AAAAAG/375g=")</f>
        <v>#VALUE!</v>
      </c>
      <c r="EX133" t="e">
        <f>AND(tecantrop!I266,"AAAAAG/375k=")</f>
        <v>#VALUE!</v>
      </c>
      <c r="EY133" t="e">
        <f>AND(tecantrop!J266,"AAAAAG/375o=")</f>
        <v>#VALUE!</v>
      </c>
      <c r="EZ133" t="e">
        <f>AND(tecantrop!K266,"AAAAAG/375s=")</f>
        <v>#VALUE!</v>
      </c>
      <c r="FA133" t="e">
        <f>AND(tecantrop!L266,"AAAAAG/375w=")</f>
        <v>#VALUE!</v>
      </c>
      <c r="FB133" t="e">
        <f>AND(tecantrop!M266,"AAAAAG/3750=")</f>
        <v>#VALUE!</v>
      </c>
      <c r="FC133" t="e">
        <f>AND(tecantrop!N266,"AAAAAG/3754=")</f>
        <v>#VALUE!</v>
      </c>
      <c r="FD133" t="e">
        <f>AND(tecantrop!O266,"AAAAAG/3758=")</f>
        <v>#VALUE!</v>
      </c>
      <c r="FE133" t="e">
        <f>AND(tecantrop!P266,"AAAAAG/376A=")</f>
        <v>#VALUE!</v>
      </c>
      <c r="FF133" t="e">
        <f>AND(tecantrop!Q266,"AAAAAG/376E=")</f>
        <v>#VALUE!</v>
      </c>
      <c r="FG133" t="e">
        <f>AND(tecantrop!R266,"AAAAAG/376I=")</f>
        <v>#VALUE!</v>
      </c>
      <c r="FH133" t="e">
        <f>AND(tecantrop!S266,"AAAAAG/376M=")</f>
        <v>#VALUE!</v>
      </c>
      <c r="FI133" t="e">
        <f>AND(tecantrop!T266,"AAAAAG/376Q=")</f>
        <v>#VALUE!</v>
      </c>
      <c r="FJ133" t="e">
        <f>AND(tecantrop!U266,"AAAAAG/376U=")</f>
        <v>#VALUE!</v>
      </c>
      <c r="FK133" t="e">
        <f>AND(tecantrop!V266,"AAAAAG/376Y=")</f>
        <v>#VALUE!</v>
      </c>
      <c r="FL133" t="e">
        <f>AND(tecantrop!W266,"AAAAAG/376c=")</f>
        <v>#VALUE!</v>
      </c>
      <c r="FM133" t="e">
        <f>AND(tecantrop!X266,"AAAAAG/376g=")</f>
        <v>#VALUE!</v>
      </c>
      <c r="FN133">
        <f>IF(tecantrop!267:267,"AAAAAG/376k=",0)</f>
        <v>0</v>
      </c>
      <c r="FO133" t="e">
        <f>AND(tecantrop!A267,"AAAAAG/376o=")</f>
        <v>#VALUE!</v>
      </c>
      <c r="FP133" t="e">
        <f>AND(tecantrop!B267,"AAAAAG/376s=")</f>
        <v>#VALUE!</v>
      </c>
      <c r="FQ133" t="e">
        <f>AND(tecantrop!C267,"AAAAAG/376w=")</f>
        <v>#VALUE!</v>
      </c>
      <c r="FR133" t="e">
        <f>AND(tecantrop!D267,"AAAAAG/3760=")</f>
        <v>#VALUE!</v>
      </c>
      <c r="FS133" t="e">
        <f>AND(tecantrop!E267,"AAAAAG/3764=")</f>
        <v>#VALUE!</v>
      </c>
      <c r="FT133" t="e">
        <f>AND(tecantrop!F267,"AAAAAG/3768=")</f>
        <v>#VALUE!</v>
      </c>
      <c r="FU133" t="e">
        <f>AND(tecantrop!G267,"AAAAAG/377A=")</f>
        <v>#VALUE!</v>
      </c>
      <c r="FV133" t="e">
        <f>AND(tecantrop!H267,"AAAAAG/377E=")</f>
        <v>#VALUE!</v>
      </c>
      <c r="FW133" t="e">
        <f>AND(tecantrop!I267,"AAAAAG/377I=")</f>
        <v>#VALUE!</v>
      </c>
      <c r="FX133" t="e">
        <f>AND(tecantrop!J267,"AAAAAG/377M=")</f>
        <v>#VALUE!</v>
      </c>
      <c r="FY133" t="e">
        <f>AND(tecantrop!K267,"AAAAAG/377Q=")</f>
        <v>#VALUE!</v>
      </c>
      <c r="FZ133" t="e">
        <f>AND(tecantrop!L267,"AAAAAG/377U=")</f>
        <v>#VALUE!</v>
      </c>
      <c r="GA133" t="e">
        <f>AND(tecantrop!M267,"AAAAAG/377Y=")</f>
        <v>#VALUE!</v>
      </c>
      <c r="GB133" t="e">
        <f>AND(tecantrop!N267,"AAAAAG/377c=")</f>
        <v>#VALUE!</v>
      </c>
      <c r="GC133" t="e">
        <f>AND(tecantrop!O267,"AAAAAG/377g=")</f>
        <v>#VALUE!</v>
      </c>
      <c r="GD133" t="e">
        <f>AND(tecantrop!P267,"AAAAAG/377k=")</f>
        <v>#VALUE!</v>
      </c>
      <c r="GE133" t="e">
        <f>AND(tecantrop!Q267,"AAAAAG/377o=")</f>
        <v>#VALUE!</v>
      </c>
      <c r="GF133" t="e">
        <f>AND(tecantrop!R267,"AAAAAG/377s=")</f>
        <v>#VALUE!</v>
      </c>
      <c r="GG133" t="e">
        <f>AND(tecantrop!S267,"AAAAAG/377w=")</f>
        <v>#VALUE!</v>
      </c>
      <c r="GH133" t="e">
        <f>AND(tecantrop!T267,"AAAAAG/3770=")</f>
        <v>#VALUE!</v>
      </c>
      <c r="GI133" t="e">
        <f>AND(tecantrop!U267,"AAAAAG/3774=")</f>
        <v>#VALUE!</v>
      </c>
      <c r="GJ133" t="e">
        <f>AND(tecantrop!V267,"AAAAAG/3778=")</f>
        <v>#VALUE!</v>
      </c>
      <c r="GK133" t="e">
        <f>AND(tecantrop!W267,"AAAAAG/378A=")</f>
        <v>#VALUE!</v>
      </c>
      <c r="GL133" t="e">
        <f>AND(tecantrop!X267,"AAAAAG/378E=")</f>
        <v>#VALUE!</v>
      </c>
      <c r="GM133">
        <f>IF(tecantrop!268:268,"AAAAAG/378I=",0)</f>
        <v>0</v>
      </c>
      <c r="GN133" t="e">
        <f>AND(tecantrop!A268,"AAAAAG/378M=")</f>
        <v>#VALUE!</v>
      </c>
      <c r="GO133" t="e">
        <f>AND(tecantrop!B268,"AAAAAG/378Q=")</f>
        <v>#VALUE!</v>
      </c>
      <c r="GP133" t="e">
        <f>AND(tecantrop!C268,"AAAAAG/378U=")</f>
        <v>#VALUE!</v>
      </c>
      <c r="GQ133" t="e">
        <f>AND(tecantrop!D268,"AAAAAG/378Y=")</f>
        <v>#VALUE!</v>
      </c>
      <c r="GR133" t="e">
        <f>AND(tecantrop!E268,"AAAAAG/378c=")</f>
        <v>#VALUE!</v>
      </c>
      <c r="GS133" t="e">
        <f>AND(tecantrop!F268,"AAAAAG/378g=")</f>
        <v>#VALUE!</v>
      </c>
      <c r="GT133" t="e">
        <f>AND(tecantrop!G268,"AAAAAG/378k=")</f>
        <v>#VALUE!</v>
      </c>
      <c r="GU133" t="e">
        <f>AND(tecantrop!H268,"AAAAAG/378o=")</f>
        <v>#VALUE!</v>
      </c>
      <c r="GV133" t="e">
        <f>AND(tecantrop!I268,"AAAAAG/378s=")</f>
        <v>#VALUE!</v>
      </c>
      <c r="GW133" t="e">
        <f>AND(tecantrop!J268,"AAAAAG/378w=")</f>
        <v>#VALUE!</v>
      </c>
      <c r="GX133" t="e">
        <f>AND(tecantrop!K268,"AAAAAG/3780=")</f>
        <v>#VALUE!</v>
      </c>
      <c r="GY133" t="e">
        <f>AND(tecantrop!L268,"AAAAAG/3784=")</f>
        <v>#VALUE!</v>
      </c>
      <c r="GZ133" t="e">
        <f>AND(tecantrop!M268,"AAAAAG/3788=")</f>
        <v>#VALUE!</v>
      </c>
      <c r="HA133" t="e">
        <f>AND(tecantrop!N268,"AAAAAG/379A=")</f>
        <v>#VALUE!</v>
      </c>
      <c r="HB133" t="e">
        <f>AND(tecantrop!O268,"AAAAAG/379E=")</f>
        <v>#VALUE!</v>
      </c>
      <c r="HC133" t="e">
        <f>AND(tecantrop!P268,"AAAAAG/379I=")</f>
        <v>#VALUE!</v>
      </c>
      <c r="HD133" t="e">
        <f>AND(tecantrop!Q268,"AAAAAG/379M=")</f>
        <v>#VALUE!</v>
      </c>
      <c r="HE133" t="e">
        <f>AND(tecantrop!R268,"AAAAAG/379Q=")</f>
        <v>#VALUE!</v>
      </c>
      <c r="HF133" t="e">
        <f>AND(tecantrop!S268,"AAAAAG/379U=")</f>
        <v>#VALUE!</v>
      </c>
      <c r="HG133" t="e">
        <f>AND(tecantrop!T268,"AAAAAG/379Y=")</f>
        <v>#VALUE!</v>
      </c>
      <c r="HH133" t="e">
        <f>AND(tecantrop!U268,"AAAAAG/379c=")</f>
        <v>#VALUE!</v>
      </c>
      <c r="HI133" t="e">
        <f>AND(tecantrop!V268,"AAAAAG/379g=")</f>
        <v>#VALUE!</v>
      </c>
      <c r="HJ133" t="e">
        <f>AND(tecantrop!W268,"AAAAAG/379k=")</f>
        <v>#VALUE!</v>
      </c>
      <c r="HK133" t="e">
        <f>AND(tecantrop!X268,"AAAAAG/379o=")</f>
        <v>#VALUE!</v>
      </c>
      <c r="HL133">
        <f>IF(tecantrop!269:269,"AAAAAG/379s=",0)</f>
        <v>0</v>
      </c>
      <c r="HM133" t="e">
        <f>AND(tecantrop!A269,"AAAAAG/379w=")</f>
        <v>#VALUE!</v>
      </c>
      <c r="HN133" t="e">
        <f>AND(tecantrop!B269,"AAAAAG/3790=")</f>
        <v>#VALUE!</v>
      </c>
      <c r="HO133" t="e">
        <f>AND(tecantrop!C269,"AAAAAG/3794=")</f>
        <v>#VALUE!</v>
      </c>
      <c r="HP133" t="e">
        <f>AND(tecantrop!D269,"AAAAAG/3798=")</f>
        <v>#VALUE!</v>
      </c>
      <c r="HQ133" t="e">
        <f>AND(tecantrop!E269,"AAAAAG/37+A=")</f>
        <v>#VALUE!</v>
      </c>
      <c r="HR133" t="e">
        <f>AND(tecantrop!F269,"AAAAAG/37+E=")</f>
        <v>#VALUE!</v>
      </c>
      <c r="HS133" t="e">
        <f>AND(tecantrop!G269,"AAAAAG/37+I=")</f>
        <v>#VALUE!</v>
      </c>
      <c r="HT133" t="e">
        <f>AND(tecantrop!H269,"AAAAAG/37+M=")</f>
        <v>#VALUE!</v>
      </c>
      <c r="HU133" t="e">
        <f>AND(tecantrop!I269,"AAAAAG/37+Q=")</f>
        <v>#VALUE!</v>
      </c>
      <c r="HV133" t="e">
        <f>AND(tecantrop!J269,"AAAAAG/37+U=")</f>
        <v>#VALUE!</v>
      </c>
      <c r="HW133" t="e">
        <f>AND(tecantrop!K269,"AAAAAG/37+Y=")</f>
        <v>#VALUE!</v>
      </c>
      <c r="HX133" t="e">
        <f>AND(tecantrop!L269,"AAAAAG/37+c=")</f>
        <v>#VALUE!</v>
      </c>
      <c r="HY133" t="e">
        <f>AND(tecantrop!M269,"AAAAAG/37+g=")</f>
        <v>#VALUE!</v>
      </c>
      <c r="HZ133" t="e">
        <f>AND(tecantrop!N269,"AAAAAG/37+k=")</f>
        <v>#VALUE!</v>
      </c>
      <c r="IA133" t="e">
        <f>AND(tecantrop!O269,"AAAAAG/37+o=")</f>
        <v>#VALUE!</v>
      </c>
      <c r="IB133" t="e">
        <f>AND(tecantrop!P269,"AAAAAG/37+s=")</f>
        <v>#VALUE!</v>
      </c>
      <c r="IC133" t="e">
        <f>AND(tecantrop!Q269,"AAAAAG/37+w=")</f>
        <v>#VALUE!</v>
      </c>
      <c r="ID133" t="e">
        <f>AND(tecantrop!R269,"AAAAAG/37+0=")</f>
        <v>#VALUE!</v>
      </c>
      <c r="IE133" t="e">
        <f>AND(tecantrop!S269,"AAAAAG/37+4=")</f>
        <v>#VALUE!</v>
      </c>
      <c r="IF133" t="e">
        <f>AND(tecantrop!T269,"AAAAAG/37+8=")</f>
        <v>#VALUE!</v>
      </c>
      <c r="IG133" t="e">
        <f>AND(tecantrop!U269,"AAAAAG/37/A=")</f>
        <v>#VALUE!</v>
      </c>
      <c r="IH133" t="e">
        <f>AND(tecantrop!V269,"AAAAAG/37/E=")</f>
        <v>#VALUE!</v>
      </c>
      <c r="II133" t="e">
        <f>AND(tecantrop!W269,"AAAAAG/37/I=")</f>
        <v>#VALUE!</v>
      </c>
      <c r="IJ133" t="e">
        <f>AND(tecantrop!X269,"AAAAAG/37/M=")</f>
        <v>#VALUE!</v>
      </c>
      <c r="IK133">
        <f>IF(tecantrop!270:270,"AAAAAG/37/Q=",0)</f>
        <v>0</v>
      </c>
      <c r="IL133" t="e">
        <f>AND(tecantrop!A270,"AAAAAG/37/U=")</f>
        <v>#VALUE!</v>
      </c>
      <c r="IM133" t="e">
        <f>AND(tecantrop!B270,"AAAAAG/37/Y=")</f>
        <v>#VALUE!</v>
      </c>
      <c r="IN133" t="e">
        <f>AND(tecantrop!C270,"AAAAAG/37/c=")</f>
        <v>#VALUE!</v>
      </c>
      <c r="IO133" t="e">
        <f>AND(tecantrop!D270,"AAAAAG/37/g=")</f>
        <v>#VALUE!</v>
      </c>
      <c r="IP133" t="e">
        <f>AND(tecantrop!E270,"AAAAAG/37/k=")</f>
        <v>#VALUE!</v>
      </c>
      <c r="IQ133" t="e">
        <f>AND(tecantrop!F270,"AAAAAG/37/o=")</f>
        <v>#VALUE!</v>
      </c>
      <c r="IR133" t="e">
        <f>AND(tecantrop!G270,"AAAAAG/37/s=")</f>
        <v>#VALUE!</v>
      </c>
      <c r="IS133" t="e">
        <f>AND(tecantrop!H270,"AAAAAG/37/w=")</f>
        <v>#VALUE!</v>
      </c>
      <c r="IT133" t="e">
        <f>AND(tecantrop!I270,"AAAAAG/37/0=")</f>
        <v>#VALUE!</v>
      </c>
      <c r="IU133" t="e">
        <f>AND(tecantrop!J270,"AAAAAG/37/4=")</f>
        <v>#VALUE!</v>
      </c>
      <c r="IV133" t="e">
        <f>AND(tecantrop!K270,"AAAAAG/37/8=")</f>
        <v>#VALUE!</v>
      </c>
    </row>
    <row r="134" spans="1:256" x14ac:dyDescent="0.2">
      <c r="A134" t="e">
        <f>AND(tecantrop!L270,"AAAAAF9f/wA=")</f>
        <v>#VALUE!</v>
      </c>
      <c r="B134" t="e">
        <f>AND(tecantrop!M270,"AAAAAF9f/wE=")</f>
        <v>#VALUE!</v>
      </c>
      <c r="C134" t="e">
        <f>AND(tecantrop!N270,"AAAAAF9f/wI=")</f>
        <v>#VALUE!</v>
      </c>
      <c r="D134" t="e">
        <f>AND(tecantrop!O270,"AAAAAF9f/wM=")</f>
        <v>#VALUE!</v>
      </c>
      <c r="E134" t="e">
        <f>AND(tecantrop!P270,"AAAAAF9f/wQ=")</f>
        <v>#VALUE!</v>
      </c>
      <c r="F134" t="e">
        <f>AND(tecantrop!Q270,"AAAAAF9f/wU=")</f>
        <v>#VALUE!</v>
      </c>
      <c r="G134" t="e">
        <f>AND(tecantrop!R270,"AAAAAF9f/wY=")</f>
        <v>#VALUE!</v>
      </c>
      <c r="H134" t="e">
        <f>AND(tecantrop!S270,"AAAAAF9f/wc=")</f>
        <v>#VALUE!</v>
      </c>
      <c r="I134" t="e">
        <f>AND(tecantrop!T270,"AAAAAF9f/wg=")</f>
        <v>#VALUE!</v>
      </c>
      <c r="J134" t="e">
        <f>AND(tecantrop!U270,"AAAAAF9f/wk=")</f>
        <v>#VALUE!</v>
      </c>
      <c r="K134" t="e">
        <f>AND(tecantrop!V270,"AAAAAF9f/wo=")</f>
        <v>#VALUE!</v>
      </c>
      <c r="L134" t="e">
        <f>AND(tecantrop!W270,"AAAAAF9f/ws=")</f>
        <v>#VALUE!</v>
      </c>
      <c r="M134" t="e">
        <f>AND(tecantrop!X270,"AAAAAF9f/ww=")</f>
        <v>#VALUE!</v>
      </c>
      <c r="N134">
        <f>IF(tecantrop!271:271,"AAAAAF9f/w0=",0)</f>
        <v>0</v>
      </c>
      <c r="O134" t="e">
        <f>AND(tecantrop!A271,"AAAAAF9f/w4=")</f>
        <v>#VALUE!</v>
      </c>
      <c r="P134" t="e">
        <f>AND(tecantrop!B271,"AAAAAF9f/w8=")</f>
        <v>#VALUE!</v>
      </c>
      <c r="Q134" t="e">
        <f>AND(tecantrop!C271,"AAAAAF9f/xA=")</f>
        <v>#VALUE!</v>
      </c>
      <c r="R134" t="e">
        <f>AND(tecantrop!D271,"AAAAAF9f/xE=")</f>
        <v>#VALUE!</v>
      </c>
      <c r="S134" t="e">
        <f>AND(tecantrop!E271,"AAAAAF9f/xI=")</f>
        <v>#VALUE!</v>
      </c>
      <c r="T134" t="e">
        <f>AND(tecantrop!F271,"AAAAAF9f/xM=")</f>
        <v>#VALUE!</v>
      </c>
      <c r="U134" t="e">
        <f>AND(tecantrop!G271,"AAAAAF9f/xQ=")</f>
        <v>#VALUE!</v>
      </c>
      <c r="V134" t="e">
        <f>AND(tecantrop!H271,"AAAAAF9f/xU=")</f>
        <v>#VALUE!</v>
      </c>
      <c r="W134" t="e">
        <f>AND(tecantrop!I271,"AAAAAF9f/xY=")</f>
        <v>#VALUE!</v>
      </c>
      <c r="X134" t="e">
        <f>AND(tecantrop!J271,"AAAAAF9f/xc=")</f>
        <v>#VALUE!</v>
      </c>
      <c r="Y134" t="e">
        <f>AND(tecantrop!K271,"AAAAAF9f/xg=")</f>
        <v>#VALUE!</v>
      </c>
      <c r="Z134" t="e">
        <f>AND(tecantrop!L271,"AAAAAF9f/xk=")</f>
        <v>#VALUE!</v>
      </c>
      <c r="AA134" t="e">
        <f>AND(tecantrop!M271,"AAAAAF9f/xo=")</f>
        <v>#VALUE!</v>
      </c>
      <c r="AB134" t="e">
        <f>AND(tecantrop!N271,"AAAAAF9f/xs=")</f>
        <v>#VALUE!</v>
      </c>
      <c r="AC134" t="e">
        <f>AND(tecantrop!O271,"AAAAAF9f/xw=")</f>
        <v>#VALUE!</v>
      </c>
      <c r="AD134" t="e">
        <f>AND(tecantrop!P271,"AAAAAF9f/x0=")</f>
        <v>#VALUE!</v>
      </c>
      <c r="AE134" t="e">
        <f>AND(tecantrop!Q271,"AAAAAF9f/x4=")</f>
        <v>#VALUE!</v>
      </c>
      <c r="AF134" t="e">
        <f>AND(tecantrop!R271,"AAAAAF9f/x8=")</f>
        <v>#VALUE!</v>
      </c>
      <c r="AG134" t="e">
        <f>AND(tecantrop!S271,"AAAAAF9f/yA=")</f>
        <v>#VALUE!</v>
      </c>
      <c r="AH134" t="e">
        <f>AND(tecantrop!T271,"AAAAAF9f/yE=")</f>
        <v>#VALUE!</v>
      </c>
      <c r="AI134" t="e">
        <f>AND(tecantrop!U271,"AAAAAF9f/yI=")</f>
        <v>#VALUE!</v>
      </c>
      <c r="AJ134" t="e">
        <f>AND(tecantrop!V271,"AAAAAF9f/yM=")</f>
        <v>#VALUE!</v>
      </c>
      <c r="AK134" t="e">
        <f>AND(tecantrop!W271,"AAAAAF9f/yQ=")</f>
        <v>#VALUE!</v>
      </c>
      <c r="AL134" t="e">
        <f>AND(tecantrop!X271,"AAAAAF9f/yU=")</f>
        <v>#VALUE!</v>
      </c>
      <c r="AM134">
        <f>IF(tecantrop!272:272,"AAAAAF9f/yY=",0)</f>
        <v>0</v>
      </c>
      <c r="AN134" t="e">
        <f>AND(tecantrop!A272,"AAAAAF9f/yc=")</f>
        <v>#VALUE!</v>
      </c>
      <c r="AO134" t="e">
        <f>AND(tecantrop!B272,"AAAAAF9f/yg=")</f>
        <v>#VALUE!</v>
      </c>
      <c r="AP134" t="e">
        <f>AND(tecantrop!C272,"AAAAAF9f/yk=")</f>
        <v>#VALUE!</v>
      </c>
      <c r="AQ134" t="e">
        <f>AND(tecantrop!D272,"AAAAAF9f/yo=")</f>
        <v>#VALUE!</v>
      </c>
      <c r="AR134" t="e">
        <f>AND(tecantrop!E272,"AAAAAF9f/ys=")</f>
        <v>#VALUE!</v>
      </c>
      <c r="AS134" t="e">
        <f>AND(tecantrop!F272,"AAAAAF9f/yw=")</f>
        <v>#VALUE!</v>
      </c>
      <c r="AT134" t="e">
        <f>AND(tecantrop!G272,"AAAAAF9f/y0=")</f>
        <v>#VALUE!</v>
      </c>
      <c r="AU134" t="e">
        <f>AND(tecantrop!H272,"AAAAAF9f/y4=")</f>
        <v>#VALUE!</v>
      </c>
      <c r="AV134" t="e">
        <f>AND(tecantrop!I272,"AAAAAF9f/y8=")</f>
        <v>#VALUE!</v>
      </c>
      <c r="AW134" t="e">
        <f>AND(tecantrop!J272,"AAAAAF9f/zA=")</f>
        <v>#VALUE!</v>
      </c>
      <c r="AX134" t="e">
        <f>AND(tecantrop!K272,"AAAAAF9f/zE=")</f>
        <v>#VALUE!</v>
      </c>
      <c r="AY134" t="e">
        <f>AND(tecantrop!L272,"AAAAAF9f/zI=")</f>
        <v>#VALUE!</v>
      </c>
      <c r="AZ134" t="e">
        <f>AND(tecantrop!M272,"AAAAAF9f/zM=")</f>
        <v>#VALUE!</v>
      </c>
      <c r="BA134" t="e">
        <f>AND(tecantrop!N272,"AAAAAF9f/zQ=")</f>
        <v>#VALUE!</v>
      </c>
      <c r="BB134" t="e">
        <f>AND(tecantrop!O272,"AAAAAF9f/zU=")</f>
        <v>#VALUE!</v>
      </c>
      <c r="BC134" t="e">
        <f>AND(tecantrop!P272,"AAAAAF9f/zY=")</f>
        <v>#VALUE!</v>
      </c>
      <c r="BD134" t="e">
        <f>AND(tecantrop!Q272,"AAAAAF9f/zc=")</f>
        <v>#VALUE!</v>
      </c>
      <c r="BE134" t="e">
        <f>AND(tecantrop!R272,"AAAAAF9f/zg=")</f>
        <v>#VALUE!</v>
      </c>
      <c r="BF134" t="e">
        <f>AND(tecantrop!S272,"AAAAAF9f/zk=")</f>
        <v>#VALUE!</v>
      </c>
      <c r="BG134" t="e">
        <f>AND(tecantrop!T272,"AAAAAF9f/zo=")</f>
        <v>#VALUE!</v>
      </c>
      <c r="BH134" t="e">
        <f>AND(tecantrop!U272,"AAAAAF9f/zs=")</f>
        <v>#VALUE!</v>
      </c>
      <c r="BI134" t="e">
        <f>AND(tecantrop!V272,"AAAAAF9f/zw=")</f>
        <v>#VALUE!</v>
      </c>
      <c r="BJ134" t="e">
        <f>AND(tecantrop!W272,"AAAAAF9f/z0=")</f>
        <v>#VALUE!</v>
      </c>
      <c r="BK134" t="e">
        <f>AND(tecantrop!X272,"AAAAAF9f/z4=")</f>
        <v>#VALUE!</v>
      </c>
      <c r="BL134">
        <f>IF(tecantrop!273:273,"AAAAAF9f/z8=",0)</f>
        <v>0</v>
      </c>
      <c r="BM134" t="e">
        <f>AND(tecantrop!A273,"AAAAAF9f/0A=")</f>
        <v>#VALUE!</v>
      </c>
      <c r="BN134" t="e">
        <f>AND(tecantrop!B273,"AAAAAF9f/0E=")</f>
        <v>#VALUE!</v>
      </c>
      <c r="BO134" t="e">
        <f>AND(tecantrop!C273,"AAAAAF9f/0I=")</f>
        <v>#VALUE!</v>
      </c>
      <c r="BP134" t="e">
        <f>AND(tecantrop!D273,"AAAAAF9f/0M=")</f>
        <v>#VALUE!</v>
      </c>
      <c r="BQ134" t="e">
        <f>AND(tecantrop!E273,"AAAAAF9f/0Q=")</f>
        <v>#VALUE!</v>
      </c>
      <c r="BR134" t="e">
        <f>AND(tecantrop!F273,"AAAAAF9f/0U=")</f>
        <v>#VALUE!</v>
      </c>
      <c r="BS134" t="e">
        <f>AND(tecantrop!G273,"AAAAAF9f/0Y=")</f>
        <v>#VALUE!</v>
      </c>
      <c r="BT134" t="e">
        <f>AND(tecantrop!H273,"AAAAAF9f/0c=")</f>
        <v>#VALUE!</v>
      </c>
      <c r="BU134" t="e">
        <f>AND(tecantrop!I273,"AAAAAF9f/0g=")</f>
        <v>#VALUE!</v>
      </c>
      <c r="BV134" t="e">
        <f>AND(tecantrop!J273,"AAAAAF9f/0k=")</f>
        <v>#VALUE!</v>
      </c>
      <c r="BW134" t="e">
        <f>AND(tecantrop!K273,"AAAAAF9f/0o=")</f>
        <v>#VALUE!</v>
      </c>
      <c r="BX134" t="e">
        <f>AND(tecantrop!L273,"AAAAAF9f/0s=")</f>
        <v>#VALUE!</v>
      </c>
      <c r="BY134" t="e">
        <f>AND(tecantrop!M273,"AAAAAF9f/0w=")</f>
        <v>#VALUE!</v>
      </c>
      <c r="BZ134" t="e">
        <f>AND(tecantrop!N273,"AAAAAF9f/00=")</f>
        <v>#VALUE!</v>
      </c>
      <c r="CA134" t="e">
        <f>AND(tecantrop!O273,"AAAAAF9f/04=")</f>
        <v>#VALUE!</v>
      </c>
      <c r="CB134" t="e">
        <f>AND(tecantrop!P273,"AAAAAF9f/08=")</f>
        <v>#VALUE!</v>
      </c>
      <c r="CC134" t="e">
        <f>AND(tecantrop!Q273,"AAAAAF9f/1A=")</f>
        <v>#VALUE!</v>
      </c>
      <c r="CD134" t="e">
        <f>AND(tecantrop!R273,"AAAAAF9f/1E=")</f>
        <v>#VALUE!</v>
      </c>
      <c r="CE134" t="e">
        <f>AND(tecantrop!S273,"AAAAAF9f/1I=")</f>
        <v>#VALUE!</v>
      </c>
      <c r="CF134" t="e">
        <f>AND(tecantrop!T273,"AAAAAF9f/1M=")</f>
        <v>#VALUE!</v>
      </c>
      <c r="CG134" t="e">
        <f>AND(tecantrop!U273,"AAAAAF9f/1Q=")</f>
        <v>#VALUE!</v>
      </c>
      <c r="CH134" t="e">
        <f>AND(tecantrop!V273,"AAAAAF9f/1U=")</f>
        <v>#VALUE!</v>
      </c>
      <c r="CI134" t="e">
        <f>AND(tecantrop!W273,"AAAAAF9f/1Y=")</f>
        <v>#VALUE!</v>
      </c>
      <c r="CJ134" t="e">
        <f>AND(tecantrop!X273,"AAAAAF9f/1c=")</f>
        <v>#VALUE!</v>
      </c>
      <c r="CK134">
        <f>IF(tecantrop!274:274,"AAAAAF9f/1g=",0)</f>
        <v>0</v>
      </c>
      <c r="CL134" t="e">
        <f>AND(tecantrop!A274,"AAAAAF9f/1k=")</f>
        <v>#VALUE!</v>
      </c>
      <c r="CM134" t="e">
        <f>AND(tecantrop!B274,"AAAAAF9f/1o=")</f>
        <v>#VALUE!</v>
      </c>
      <c r="CN134" t="e">
        <f>AND(tecantrop!C274,"AAAAAF9f/1s=")</f>
        <v>#VALUE!</v>
      </c>
      <c r="CO134" t="e">
        <f>AND(tecantrop!D274,"AAAAAF9f/1w=")</f>
        <v>#VALUE!</v>
      </c>
      <c r="CP134" t="e">
        <f>AND(tecantrop!E274,"AAAAAF9f/10=")</f>
        <v>#VALUE!</v>
      </c>
      <c r="CQ134" t="e">
        <f>AND(tecantrop!F274,"AAAAAF9f/14=")</f>
        <v>#VALUE!</v>
      </c>
      <c r="CR134" t="e">
        <f>AND(tecantrop!G274,"AAAAAF9f/18=")</f>
        <v>#VALUE!</v>
      </c>
      <c r="CS134" t="e">
        <f>AND(tecantrop!H274,"AAAAAF9f/2A=")</f>
        <v>#VALUE!</v>
      </c>
      <c r="CT134" t="e">
        <f>AND(tecantrop!I274,"AAAAAF9f/2E=")</f>
        <v>#VALUE!</v>
      </c>
      <c r="CU134" t="e">
        <f>AND(tecantrop!J274,"AAAAAF9f/2I=")</f>
        <v>#VALUE!</v>
      </c>
      <c r="CV134" t="e">
        <f>AND(tecantrop!K274,"AAAAAF9f/2M=")</f>
        <v>#VALUE!</v>
      </c>
      <c r="CW134" t="e">
        <f>AND(tecantrop!L274,"AAAAAF9f/2Q=")</f>
        <v>#VALUE!</v>
      </c>
      <c r="CX134" t="e">
        <f>AND(tecantrop!M274,"AAAAAF9f/2U=")</f>
        <v>#VALUE!</v>
      </c>
      <c r="CY134" t="e">
        <f>AND(tecantrop!N274,"AAAAAF9f/2Y=")</f>
        <v>#VALUE!</v>
      </c>
      <c r="CZ134" t="e">
        <f>AND(tecantrop!O274,"AAAAAF9f/2c=")</f>
        <v>#VALUE!</v>
      </c>
      <c r="DA134" t="e">
        <f>AND(tecantrop!P274,"AAAAAF9f/2g=")</f>
        <v>#VALUE!</v>
      </c>
      <c r="DB134" t="e">
        <f>AND(tecantrop!Q274,"AAAAAF9f/2k=")</f>
        <v>#VALUE!</v>
      </c>
      <c r="DC134" t="e">
        <f>AND(tecantrop!R274,"AAAAAF9f/2o=")</f>
        <v>#VALUE!</v>
      </c>
      <c r="DD134" t="e">
        <f>AND(tecantrop!S274,"AAAAAF9f/2s=")</f>
        <v>#VALUE!</v>
      </c>
      <c r="DE134" t="e">
        <f>AND(tecantrop!T274,"AAAAAF9f/2w=")</f>
        <v>#VALUE!</v>
      </c>
      <c r="DF134" t="e">
        <f>AND(tecantrop!U274,"AAAAAF9f/20=")</f>
        <v>#VALUE!</v>
      </c>
      <c r="DG134" t="e">
        <f>AND(tecantrop!V274,"AAAAAF9f/24=")</f>
        <v>#VALUE!</v>
      </c>
      <c r="DH134" t="e">
        <f>AND(tecantrop!W274,"AAAAAF9f/28=")</f>
        <v>#VALUE!</v>
      </c>
      <c r="DI134" t="e">
        <f>AND(tecantrop!X274,"AAAAAF9f/3A=")</f>
        <v>#VALUE!</v>
      </c>
      <c r="DJ134">
        <f>IF(tecantrop!275:275,"AAAAAF9f/3E=",0)</f>
        <v>0</v>
      </c>
      <c r="DK134" t="e">
        <f>AND(tecantrop!A275,"AAAAAF9f/3I=")</f>
        <v>#VALUE!</v>
      </c>
      <c r="DL134" t="e">
        <f>AND(tecantrop!B275,"AAAAAF9f/3M=")</f>
        <v>#VALUE!</v>
      </c>
      <c r="DM134" t="e">
        <f>AND(tecantrop!C275,"AAAAAF9f/3Q=")</f>
        <v>#VALUE!</v>
      </c>
      <c r="DN134" t="e">
        <f>AND(tecantrop!D275,"AAAAAF9f/3U=")</f>
        <v>#VALUE!</v>
      </c>
      <c r="DO134" t="e">
        <f>AND(tecantrop!E275,"AAAAAF9f/3Y=")</f>
        <v>#VALUE!</v>
      </c>
      <c r="DP134" t="e">
        <f>AND(tecantrop!F275,"AAAAAF9f/3c=")</f>
        <v>#VALUE!</v>
      </c>
      <c r="DQ134" t="e">
        <f>AND(tecantrop!G275,"AAAAAF9f/3g=")</f>
        <v>#VALUE!</v>
      </c>
      <c r="DR134" t="e">
        <f>AND(tecantrop!H275,"AAAAAF9f/3k=")</f>
        <v>#VALUE!</v>
      </c>
      <c r="DS134" t="e">
        <f>AND(tecantrop!I275,"AAAAAF9f/3o=")</f>
        <v>#VALUE!</v>
      </c>
      <c r="DT134" t="e">
        <f>AND(tecantrop!J275,"AAAAAF9f/3s=")</f>
        <v>#VALUE!</v>
      </c>
      <c r="DU134" t="e">
        <f>AND(tecantrop!K275,"AAAAAF9f/3w=")</f>
        <v>#VALUE!</v>
      </c>
      <c r="DV134" t="e">
        <f>AND(tecantrop!L275,"AAAAAF9f/30=")</f>
        <v>#VALUE!</v>
      </c>
      <c r="DW134" t="e">
        <f>AND(tecantrop!M275,"AAAAAF9f/34=")</f>
        <v>#VALUE!</v>
      </c>
      <c r="DX134" t="e">
        <f>AND(tecantrop!N275,"AAAAAF9f/38=")</f>
        <v>#VALUE!</v>
      </c>
      <c r="DY134" t="e">
        <f>AND(tecantrop!O275,"AAAAAF9f/4A=")</f>
        <v>#VALUE!</v>
      </c>
      <c r="DZ134" t="e">
        <f>AND(tecantrop!P275,"AAAAAF9f/4E=")</f>
        <v>#VALUE!</v>
      </c>
      <c r="EA134" t="e">
        <f>AND(tecantrop!Q275,"AAAAAF9f/4I=")</f>
        <v>#VALUE!</v>
      </c>
      <c r="EB134" t="e">
        <f>AND(tecantrop!R275,"AAAAAF9f/4M=")</f>
        <v>#VALUE!</v>
      </c>
      <c r="EC134" t="e">
        <f>AND(tecantrop!S275,"AAAAAF9f/4Q=")</f>
        <v>#VALUE!</v>
      </c>
      <c r="ED134" t="e">
        <f>AND(tecantrop!T275,"AAAAAF9f/4U=")</f>
        <v>#VALUE!</v>
      </c>
      <c r="EE134" t="e">
        <f>AND(tecantrop!U275,"AAAAAF9f/4Y=")</f>
        <v>#VALUE!</v>
      </c>
      <c r="EF134" t="e">
        <f>AND(tecantrop!V275,"AAAAAF9f/4c=")</f>
        <v>#VALUE!</v>
      </c>
      <c r="EG134" t="e">
        <f>AND(tecantrop!W275,"AAAAAF9f/4g=")</f>
        <v>#VALUE!</v>
      </c>
      <c r="EH134" t="e">
        <f>AND(tecantrop!X275,"AAAAAF9f/4k=")</f>
        <v>#VALUE!</v>
      </c>
      <c r="EI134">
        <f>IF(tecantrop!276:276,"AAAAAF9f/4o=",0)</f>
        <v>0</v>
      </c>
      <c r="EJ134" t="e">
        <f>AND(tecantrop!A276,"AAAAAF9f/4s=")</f>
        <v>#VALUE!</v>
      </c>
      <c r="EK134" t="e">
        <f>AND(tecantrop!B276,"AAAAAF9f/4w=")</f>
        <v>#VALUE!</v>
      </c>
      <c r="EL134" t="e">
        <f>AND(tecantrop!C276,"AAAAAF9f/40=")</f>
        <v>#VALUE!</v>
      </c>
      <c r="EM134" t="e">
        <f>AND(tecantrop!D276,"AAAAAF9f/44=")</f>
        <v>#VALUE!</v>
      </c>
      <c r="EN134" t="e">
        <f>AND(tecantrop!E276,"AAAAAF9f/48=")</f>
        <v>#VALUE!</v>
      </c>
      <c r="EO134" t="e">
        <f>AND(tecantrop!F276,"AAAAAF9f/5A=")</f>
        <v>#VALUE!</v>
      </c>
      <c r="EP134" t="e">
        <f>AND(tecantrop!G276,"AAAAAF9f/5E=")</f>
        <v>#VALUE!</v>
      </c>
      <c r="EQ134" t="e">
        <f>AND(tecantrop!H276,"AAAAAF9f/5I=")</f>
        <v>#VALUE!</v>
      </c>
      <c r="ER134" t="e">
        <f>AND(tecantrop!I276,"AAAAAF9f/5M=")</f>
        <v>#VALUE!</v>
      </c>
      <c r="ES134" t="e">
        <f>AND(tecantrop!J276,"AAAAAF9f/5Q=")</f>
        <v>#VALUE!</v>
      </c>
      <c r="ET134" t="e">
        <f>AND(tecantrop!K276,"AAAAAF9f/5U=")</f>
        <v>#VALUE!</v>
      </c>
      <c r="EU134" t="e">
        <f>AND(tecantrop!L276,"AAAAAF9f/5Y=")</f>
        <v>#VALUE!</v>
      </c>
      <c r="EV134" t="e">
        <f>AND(tecantrop!M276,"AAAAAF9f/5c=")</f>
        <v>#VALUE!</v>
      </c>
      <c r="EW134" t="e">
        <f>AND(tecantrop!N276,"AAAAAF9f/5g=")</f>
        <v>#VALUE!</v>
      </c>
      <c r="EX134" t="e">
        <f>AND(tecantrop!O276,"AAAAAF9f/5k=")</f>
        <v>#VALUE!</v>
      </c>
      <c r="EY134" t="e">
        <f>AND(tecantrop!P276,"AAAAAF9f/5o=")</f>
        <v>#VALUE!</v>
      </c>
      <c r="EZ134" t="e">
        <f>AND(tecantrop!Q276,"AAAAAF9f/5s=")</f>
        <v>#VALUE!</v>
      </c>
      <c r="FA134" t="e">
        <f>AND(tecantrop!R276,"AAAAAF9f/5w=")</f>
        <v>#VALUE!</v>
      </c>
      <c r="FB134" t="e">
        <f>AND(tecantrop!S276,"AAAAAF9f/50=")</f>
        <v>#VALUE!</v>
      </c>
      <c r="FC134" t="e">
        <f>AND(tecantrop!T276,"AAAAAF9f/54=")</f>
        <v>#VALUE!</v>
      </c>
      <c r="FD134" t="e">
        <f>AND(tecantrop!U276,"AAAAAF9f/58=")</f>
        <v>#VALUE!</v>
      </c>
      <c r="FE134" t="e">
        <f>AND(tecantrop!V276,"AAAAAF9f/6A=")</f>
        <v>#VALUE!</v>
      </c>
      <c r="FF134" t="e">
        <f>AND(tecantrop!W276,"AAAAAF9f/6E=")</f>
        <v>#VALUE!</v>
      </c>
      <c r="FG134" t="e">
        <f>AND(tecantrop!X276,"AAAAAF9f/6I=")</f>
        <v>#VALUE!</v>
      </c>
      <c r="FH134">
        <f>IF(tecantrop!277:277,"AAAAAF9f/6M=",0)</f>
        <v>0</v>
      </c>
      <c r="FI134" t="e">
        <f>AND(tecantrop!A277,"AAAAAF9f/6Q=")</f>
        <v>#VALUE!</v>
      </c>
      <c r="FJ134" t="e">
        <f>AND(tecantrop!B277,"AAAAAF9f/6U=")</f>
        <v>#VALUE!</v>
      </c>
      <c r="FK134" t="e">
        <f>AND(tecantrop!C277,"AAAAAF9f/6Y=")</f>
        <v>#VALUE!</v>
      </c>
      <c r="FL134" t="e">
        <f>AND(tecantrop!D277,"AAAAAF9f/6c=")</f>
        <v>#VALUE!</v>
      </c>
      <c r="FM134" t="e">
        <f>AND(tecantrop!E277,"AAAAAF9f/6g=")</f>
        <v>#VALUE!</v>
      </c>
      <c r="FN134" t="e">
        <f>AND(tecantrop!F277,"AAAAAF9f/6k=")</f>
        <v>#VALUE!</v>
      </c>
      <c r="FO134" t="e">
        <f>AND(tecantrop!G277,"AAAAAF9f/6o=")</f>
        <v>#VALUE!</v>
      </c>
      <c r="FP134" t="e">
        <f>AND(tecantrop!H277,"AAAAAF9f/6s=")</f>
        <v>#VALUE!</v>
      </c>
      <c r="FQ134" t="e">
        <f>AND(tecantrop!I277,"AAAAAF9f/6w=")</f>
        <v>#VALUE!</v>
      </c>
      <c r="FR134" t="e">
        <f>AND(tecantrop!J277,"AAAAAF9f/60=")</f>
        <v>#VALUE!</v>
      </c>
      <c r="FS134" t="e">
        <f>AND(tecantrop!K277,"AAAAAF9f/64=")</f>
        <v>#VALUE!</v>
      </c>
      <c r="FT134" t="e">
        <f>AND(tecantrop!L277,"AAAAAF9f/68=")</f>
        <v>#VALUE!</v>
      </c>
      <c r="FU134" t="e">
        <f>AND(tecantrop!M277,"AAAAAF9f/7A=")</f>
        <v>#VALUE!</v>
      </c>
      <c r="FV134" t="e">
        <f>AND(tecantrop!N277,"AAAAAF9f/7E=")</f>
        <v>#VALUE!</v>
      </c>
      <c r="FW134" t="e">
        <f>AND(tecantrop!O277,"AAAAAF9f/7I=")</f>
        <v>#VALUE!</v>
      </c>
      <c r="FX134" t="e">
        <f>AND(tecantrop!P277,"AAAAAF9f/7M=")</f>
        <v>#VALUE!</v>
      </c>
      <c r="FY134" t="e">
        <f>AND(tecantrop!Q277,"AAAAAF9f/7Q=")</f>
        <v>#VALUE!</v>
      </c>
      <c r="FZ134" t="e">
        <f>AND(tecantrop!R277,"AAAAAF9f/7U=")</f>
        <v>#VALUE!</v>
      </c>
      <c r="GA134" t="e">
        <f>AND(tecantrop!S277,"AAAAAF9f/7Y=")</f>
        <v>#VALUE!</v>
      </c>
      <c r="GB134" t="e">
        <f>AND(tecantrop!T277,"AAAAAF9f/7c=")</f>
        <v>#VALUE!</v>
      </c>
      <c r="GC134" t="e">
        <f>AND(tecantrop!U277,"AAAAAF9f/7g=")</f>
        <v>#VALUE!</v>
      </c>
      <c r="GD134" t="e">
        <f>AND(tecantrop!V277,"AAAAAF9f/7k=")</f>
        <v>#VALUE!</v>
      </c>
      <c r="GE134" t="e">
        <f>AND(tecantrop!W277,"AAAAAF9f/7o=")</f>
        <v>#VALUE!</v>
      </c>
      <c r="GF134" t="e">
        <f>AND(tecantrop!X277,"AAAAAF9f/7s=")</f>
        <v>#VALUE!</v>
      </c>
      <c r="GG134">
        <f>IF(tecantrop!278:278,"AAAAAF9f/7w=",0)</f>
        <v>0</v>
      </c>
      <c r="GH134" t="e">
        <f>AND(tecantrop!A278,"AAAAAF9f/70=")</f>
        <v>#VALUE!</v>
      </c>
      <c r="GI134" t="e">
        <f>AND(tecantrop!B278,"AAAAAF9f/74=")</f>
        <v>#VALUE!</v>
      </c>
      <c r="GJ134" t="e">
        <f>AND(tecantrop!C278,"AAAAAF9f/78=")</f>
        <v>#VALUE!</v>
      </c>
      <c r="GK134" t="e">
        <f>AND(tecantrop!D278,"AAAAAF9f/8A=")</f>
        <v>#VALUE!</v>
      </c>
      <c r="GL134" t="e">
        <f>AND(tecantrop!E278,"AAAAAF9f/8E=")</f>
        <v>#VALUE!</v>
      </c>
      <c r="GM134" t="e">
        <f>AND(tecantrop!F278,"AAAAAF9f/8I=")</f>
        <v>#VALUE!</v>
      </c>
      <c r="GN134" t="e">
        <f>AND(tecantrop!G278,"AAAAAF9f/8M=")</f>
        <v>#VALUE!</v>
      </c>
      <c r="GO134" t="e">
        <f>AND(tecantrop!H278,"AAAAAF9f/8Q=")</f>
        <v>#VALUE!</v>
      </c>
      <c r="GP134" t="e">
        <f>AND(tecantrop!I278,"AAAAAF9f/8U=")</f>
        <v>#VALUE!</v>
      </c>
      <c r="GQ134" t="e">
        <f>AND(tecantrop!J278,"AAAAAF9f/8Y=")</f>
        <v>#VALUE!</v>
      </c>
      <c r="GR134" t="e">
        <f>AND(tecantrop!K278,"AAAAAF9f/8c=")</f>
        <v>#VALUE!</v>
      </c>
      <c r="GS134" t="e">
        <f>AND(tecantrop!L278,"AAAAAF9f/8g=")</f>
        <v>#VALUE!</v>
      </c>
      <c r="GT134" t="e">
        <f>AND(tecantrop!M278,"AAAAAF9f/8k=")</f>
        <v>#VALUE!</v>
      </c>
      <c r="GU134" t="e">
        <f>AND(tecantrop!N278,"AAAAAF9f/8o=")</f>
        <v>#VALUE!</v>
      </c>
      <c r="GV134" t="e">
        <f>AND(tecantrop!O278,"AAAAAF9f/8s=")</f>
        <v>#VALUE!</v>
      </c>
      <c r="GW134" t="e">
        <f>AND(tecantrop!P278,"AAAAAF9f/8w=")</f>
        <v>#VALUE!</v>
      </c>
      <c r="GX134" t="e">
        <f>AND(tecantrop!Q278,"AAAAAF9f/80=")</f>
        <v>#VALUE!</v>
      </c>
      <c r="GY134" t="e">
        <f>AND(tecantrop!R278,"AAAAAF9f/84=")</f>
        <v>#VALUE!</v>
      </c>
      <c r="GZ134" t="e">
        <f>AND(tecantrop!S278,"AAAAAF9f/88=")</f>
        <v>#VALUE!</v>
      </c>
      <c r="HA134" t="e">
        <f>AND(tecantrop!T278,"AAAAAF9f/9A=")</f>
        <v>#VALUE!</v>
      </c>
      <c r="HB134" t="e">
        <f>AND(tecantrop!U278,"AAAAAF9f/9E=")</f>
        <v>#VALUE!</v>
      </c>
      <c r="HC134" t="e">
        <f>AND(tecantrop!V278,"AAAAAF9f/9I=")</f>
        <v>#VALUE!</v>
      </c>
      <c r="HD134" t="e">
        <f>AND(tecantrop!W278,"AAAAAF9f/9M=")</f>
        <v>#VALUE!</v>
      </c>
      <c r="HE134" t="e">
        <f>AND(tecantrop!X278,"AAAAAF9f/9Q=")</f>
        <v>#VALUE!</v>
      </c>
      <c r="HF134">
        <f>IF(tecantrop!279:279,"AAAAAF9f/9U=",0)</f>
        <v>0</v>
      </c>
      <c r="HG134" t="e">
        <f>AND(tecantrop!A279,"AAAAAF9f/9Y=")</f>
        <v>#VALUE!</v>
      </c>
      <c r="HH134" t="e">
        <f>AND(tecantrop!B279,"AAAAAF9f/9c=")</f>
        <v>#VALUE!</v>
      </c>
      <c r="HI134" t="e">
        <f>AND(tecantrop!C279,"AAAAAF9f/9g=")</f>
        <v>#VALUE!</v>
      </c>
      <c r="HJ134" t="e">
        <f>AND(tecantrop!D279,"AAAAAF9f/9k=")</f>
        <v>#VALUE!</v>
      </c>
      <c r="HK134" t="e">
        <f>AND(tecantrop!E279,"AAAAAF9f/9o=")</f>
        <v>#VALUE!</v>
      </c>
      <c r="HL134" t="e">
        <f>AND(tecantrop!F279,"AAAAAF9f/9s=")</f>
        <v>#VALUE!</v>
      </c>
      <c r="HM134" t="e">
        <f>AND(tecantrop!G279,"AAAAAF9f/9w=")</f>
        <v>#VALUE!</v>
      </c>
      <c r="HN134" t="e">
        <f>AND(tecantrop!H279,"AAAAAF9f/90=")</f>
        <v>#VALUE!</v>
      </c>
      <c r="HO134" t="e">
        <f>AND(tecantrop!I279,"AAAAAF9f/94=")</f>
        <v>#VALUE!</v>
      </c>
      <c r="HP134" t="e">
        <f>AND(tecantrop!J279,"AAAAAF9f/98=")</f>
        <v>#VALUE!</v>
      </c>
      <c r="HQ134" t="e">
        <f>AND(tecantrop!K279,"AAAAAF9f/+A=")</f>
        <v>#VALUE!</v>
      </c>
      <c r="HR134" t="e">
        <f>AND(tecantrop!L279,"AAAAAF9f/+E=")</f>
        <v>#VALUE!</v>
      </c>
      <c r="HS134" t="e">
        <f>AND(tecantrop!M279,"AAAAAF9f/+I=")</f>
        <v>#VALUE!</v>
      </c>
      <c r="HT134" t="e">
        <f>AND(tecantrop!N279,"AAAAAF9f/+M=")</f>
        <v>#VALUE!</v>
      </c>
      <c r="HU134" t="e">
        <f>AND(tecantrop!O279,"AAAAAF9f/+Q=")</f>
        <v>#VALUE!</v>
      </c>
      <c r="HV134" t="e">
        <f>AND(tecantrop!P279,"AAAAAF9f/+U=")</f>
        <v>#VALUE!</v>
      </c>
      <c r="HW134" t="e">
        <f>AND(tecantrop!Q279,"AAAAAF9f/+Y=")</f>
        <v>#VALUE!</v>
      </c>
      <c r="HX134" t="e">
        <f>AND(tecantrop!R279,"AAAAAF9f/+c=")</f>
        <v>#VALUE!</v>
      </c>
      <c r="HY134" t="e">
        <f>AND(tecantrop!S279,"AAAAAF9f/+g=")</f>
        <v>#VALUE!</v>
      </c>
      <c r="HZ134" t="e">
        <f>AND(tecantrop!T279,"AAAAAF9f/+k=")</f>
        <v>#VALUE!</v>
      </c>
      <c r="IA134" t="e">
        <f>AND(tecantrop!U279,"AAAAAF9f/+o=")</f>
        <v>#VALUE!</v>
      </c>
      <c r="IB134" t="e">
        <f>AND(tecantrop!V279,"AAAAAF9f/+s=")</f>
        <v>#VALUE!</v>
      </c>
      <c r="IC134" t="e">
        <f>AND(tecantrop!W279,"AAAAAF9f/+w=")</f>
        <v>#VALUE!</v>
      </c>
      <c r="ID134" t="e">
        <f>AND(tecantrop!X279,"AAAAAF9f/+0=")</f>
        <v>#VALUE!</v>
      </c>
      <c r="IE134">
        <f>IF(tecantrop!280:280,"AAAAAF9f/+4=",0)</f>
        <v>0</v>
      </c>
      <c r="IF134" t="e">
        <f>AND(tecantrop!A280,"AAAAAF9f/+8=")</f>
        <v>#VALUE!</v>
      </c>
      <c r="IG134" t="e">
        <f>AND(tecantrop!B280,"AAAAAF9f//A=")</f>
        <v>#VALUE!</v>
      </c>
      <c r="IH134" t="e">
        <f>AND(tecantrop!C280,"AAAAAF9f//E=")</f>
        <v>#VALUE!</v>
      </c>
      <c r="II134" t="e">
        <f>AND(tecantrop!D280,"AAAAAF9f//I=")</f>
        <v>#VALUE!</v>
      </c>
      <c r="IJ134" t="e">
        <f>AND(tecantrop!E280,"AAAAAF9f//M=")</f>
        <v>#VALUE!</v>
      </c>
      <c r="IK134" t="e">
        <f>AND(tecantrop!F280,"AAAAAF9f//Q=")</f>
        <v>#VALUE!</v>
      </c>
      <c r="IL134" t="e">
        <f>AND(tecantrop!G280,"AAAAAF9f//U=")</f>
        <v>#VALUE!</v>
      </c>
      <c r="IM134" t="e">
        <f>AND(tecantrop!H280,"AAAAAF9f//Y=")</f>
        <v>#VALUE!</v>
      </c>
      <c r="IN134" t="e">
        <f>AND(tecantrop!I280,"AAAAAF9f//c=")</f>
        <v>#VALUE!</v>
      </c>
      <c r="IO134" t="e">
        <f>AND(tecantrop!J280,"AAAAAF9f//g=")</f>
        <v>#VALUE!</v>
      </c>
      <c r="IP134" t="e">
        <f>AND(tecantrop!K280,"AAAAAF9f//k=")</f>
        <v>#VALUE!</v>
      </c>
      <c r="IQ134" t="e">
        <f>AND(tecantrop!L280,"AAAAAF9f//o=")</f>
        <v>#VALUE!</v>
      </c>
      <c r="IR134" t="e">
        <f>AND(tecantrop!M280,"AAAAAF9f//s=")</f>
        <v>#VALUE!</v>
      </c>
      <c r="IS134" t="e">
        <f>AND(tecantrop!N280,"AAAAAF9f//w=")</f>
        <v>#VALUE!</v>
      </c>
      <c r="IT134" t="e">
        <f>AND(tecantrop!O280,"AAAAAF9f//0=")</f>
        <v>#VALUE!</v>
      </c>
      <c r="IU134" t="e">
        <f>AND(tecantrop!P280,"AAAAAF9f//4=")</f>
        <v>#VALUE!</v>
      </c>
      <c r="IV134" t="e">
        <f>AND(tecantrop!Q280,"AAAAAF9f//8=")</f>
        <v>#VALUE!</v>
      </c>
    </row>
    <row r="135" spans="1:256" x14ac:dyDescent="0.2">
      <c r="A135" t="e">
        <f>AND(tecantrop!R280,"AAAAAErjXwA=")</f>
        <v>#VALUE!</v>
      </c>
      <c r="B135" t="e">
        <f>AND(tecantrop!S280,"AAAAAErjXwE=")</f>
        <v>#VALUE!</v>
      </c>
      <c r="C135" t="e">
        <f>AND(tecantrop!T280,"AAAAAErjXwI=")</f>
        <v>#VALUE!</v>
      </c>
      <c r="D135" t="e">
        <f>AND(tecantrop!U280,"AAAAAErjXwM=")</f>
        <v>#VALUE!</v>
      </c>
      <c r="E135" t="e">
        <f>AND(tecantrop!V280,"AAAAAErjXwQ=")</f>
        <v>#VALUE!</v>
      </c>
      <c r="F135" t="e">
        <f>AND(tecantrop!W280,"AAAAAErjXwU=")</f>
        <v>#VALUE!</v>
      </c>
      <c r="G135" t="e">
        <f>AND(tecantrop!X280,"AAAAAErjXwY=")</f>
        <v>#VALUE!</v>
      </c>
      <c r="H135">
        <f>IF(tecantrop!281:281,"AAAAAErjXwc=",0)</f>
        <v>0</v>
      </c>
      <c r="I135" t="e">
        <f>AND(tecantrop!A281,"AAAAAErjXwg=")</f>
        <v>#VALUE!</v>
      </c>
      <c r="J135" t="e">
        <f>AND(tecantrop!B281,"AAAAAErjXwk=")</f>
        <v>#VALUE!</v>
      </c>
      <c r="K135" t="e">
        <f>AND(tecantrop!C281,"AAAAAErjXwo=")</f>
        <v>#VALUE!</v>
      </c>
      <c r="L135" t="e">
        <f>AND(tecantrop!D281,"AAAAAErjXws=")</f>
        <v>#VALUE!</v>
      </c>
      <c r="M135" t="e">
        <f>AND(tecantrop!E281,"AAAAAErjXww=")</f>
        <v>#VALUE!</v>
      </c>
      <c r="N135" t="e">
        <f>AND(tecantrop!F281,"AAAAAErjXw0=")</f>
        <v>#VALUE!</v>
      </c>
      <c r="O135" t="e">
        <f>AND(tecantrop!G281,"AAAAAErjXw4=")</f>
        <v>#VALUE!</v>
      </c>
      <c r="P135" t="e">
        <f>AND(tecantrop!H281,"AAAAAErjXw8=")</f>
        <v>#VALUE!</v>
      </c>
      <c r="Q135" t="e">
        <f>AND(tecantrop!I281,"AAAAAErjXxA=")</f>
        <v>#VALUE!</v>
      </c>
      <c r="R135" t="e">
        <f>AND(tecantrop!J281,"AAAAAErjXxE=")</f>
        <v>#VALUE!</v>
      </c>
      <c r="S135" t="e">
        <f>AND(tecantrop!K281,"AAAAAErjXxI=")</f>
        <v>#VALUE!</v>
      </c>
      <c r="T135" t="e">
        <f>AND(tecantrop!L281,"AAAAAErjXxM=")</f>
        <v>#VALUE!</v>
      </c>
      <c r="U135" t="e">
        <f>AND(tecantrop!M281,"AAAAAErjXxQ=")</f>
        <v>#VALUE!</v>
      </c>
      <c r="V135" t="e">
        <f>AND(tecantrop!N281,"AAAAAErjXxU=")</f>
        <v>#VALUE!</v>
      </c>
      <c r="W135" t="e">
        <f>AND(tecantrop!O281,"AAAAAErjXxY=")</f>
        <v>#VALUE!</v>
      </c>
      <c r="X135" t="e">
        <f>AND(tecantrop!P281,"AAAAAErjXxc=")</f>
        <v>#VALUE!</v>
      </c>
      <c r="Y135" t="e">
        <f>AND(tecantrop!Q281,"AAAAAErjXxg=")</f>
        <v>#VALUE!</v>
      </c>
      <c r="Z135" t="e">
        <f>AND(tecantrop!R281,"AAAAAErjXxk=")</f>
        <v>#VALUE!</v>
      </c>
      <c r="AA135" t="e">
        <f>AND(tecantrop!S281,"AAAAAErjXxo=")</f>
        <v>#VALUE!</v>
      </c>
      <c r="AB135" t="e">
        <f>AND(tecantrop!T281,"AAAAAErjXxs=")</f>
        <v>#VALUE!</v>
      </c>
      <c r="AC135" t="e">
        <f>AND(tecantrop!U281,"AAAAAErjXxw=")</f>
        <v>#VALUE!</v>
      </c>
      <c r="AD135" t="e">
        <f>AND(tecantrop!V281,"AAAAAErjXx0=")</f>
        <v>#VALUE!</v>
      </c>
      <c r="AE135" t="e">
        <f>AND(tecantrop!W281,"AAAAAErjXx4=")</f>
        <v>#VALUE!</v>
      </c>
      <c r="AF135" t="e">
        <f>AND(tecantrop!X281,"AAAAAErjXx8=")</f>
        <v>#VALUE!</v>
      </c>
      <c r="AG135">
        <f>IF(tecantrop!282:282,"AAAAAErjXyA=",0)</f>
        <v>0</v>
      </c>
      <c r="AH135" t="e">
        <f>AND(tecantrop!A282,"AAAAAErjXyE=")</f>
        <v>#VALUE!</v>
      </c>
      <c r="AI135" t="e">
        <f>AND(tecantrop!B282,"AAAAAErjXyI=")</f>
        <v>#VALUE!</v>
      </c>
      <c r="AJ135" t="e">
        <f>AND(tecantrop!C282,"AAAAAErjXyM=")</f>
        <v>#VALUE!</v>
      </c>
      <c r="AK135" t="e">
        <f>AND(tecantrop!D282,"AAAAAErjXyQ=")</f>
        <v>#VALUE!</v>
      </c>
      <c r="AL135" t="e">
        <f>AND(tecantrop!E282,"AAAAAErjXyU=")</f>
        <v>#VALUE!</v>
      </c>
      <c r="AM135" t="e">
        <f>AND(tecantrop!F282,"AAAAAErjXyY=")</f>
        <v>#VALUE!</v>
      </c>
      <c r="AN135" t="e">
        <f>AND(tecantrop!G282,"AAAAAErjXyc=")</f>
        <v>#VALUE!</v>
      </c>
      <c r="AO135" t="e">
        <f>AND(tecantrop!H282,"AAAAAErjXyg=")</f>
        <v>#VALUE!</v>
      </c>
      <c r="AP135" t="e">
        <f>AND(tecantrop!I282,"AAAAAErjXyk=")</f>
        <v>#VALUE!</v>
      </c>
      <c r="AQ135" t="e">
        <f>AND(tecantrop!J282,"AAAAAErjXyo=")</f>
        <v>#VALUE!</v>
      </c>
      <c r="AR135" t="e">
        <f>AND(tecantrop!K282,"AAAAAErjXys=")</f>
        <v>#VALUE!</v>
      </c>
      <c r="AS135" t="e">
        <f>AND(tecantrop!L282,"AAAAAErjXyw=")</f>
        <v>#VALUE!</v>
      </c>
      <c r="AT135" t="e">
        <f>AND(tecantrop!M282,"AAAAAErjXy0=")</f>
        <v>#VALUE!</v>
      </c>
      <c r="AU135" t="e">
        <f>AND(tecantrop!N282,"AAAAAErjXy4=")</f>
        <v>#VALUE!</v>
      </c>
      <c r="AV135" t="e">
        <f>AND(tecantrop!O282,"AAAAAErjXy8=")</f>
        <v>#VALUE!</v>
      </c>
      <c r="AW135" t="e">
        <f>AND(tecantrop!P282,"AAAAAErjXzA=")</f>
        <v>#VALUE!</v>
      </c>
      <c r="AX135" t="e">
        <f>AND(tecantrop!Q282,"AAAAAErjXzE=")</f>
        <v>#VALUE!</v>
      </c>
      <c r="AY135" t="e">
        <f>AND(tecantrop!R282,"AAAAAErjXzI=")</f>
        <v>#VALUE!</v>
      </c>
      <c r="AZ135" t="e">
        <f>AND(tecantrop!S282,"AAAAAErjXzM=")</f>
        <v>#VALUE!</v>
      </c>
      <c r="BA135" t="e">
        <f>AND(tecantrop!T282,"AAAAAErjXzQ=")</f>
        <v>#VALUE!</v>
      </c>
      <c r="BB135" t="e">
        <f>AND(tecantrop!U282,"AAAAAErjXzU=")</f>
        <v>#VALUE!</v>
      </c>
      <c r="BC135" t="e">
        <f>AND(tecantrop!V282,"AAAAAErjXzY=")</f>
        <v>#VALUE!</v>
      </c>
      <c r="BD135" t="e">
        <f>AND(tecantrop!W282,"AAAAAErjXzc=")</f>
        <v>#VALUE!</v>
      </c>
      <c r="BE135" t="e">
        <f>AND(tecantrop!X282,"AAAAAErjXzg=")</f>
        <v>#VALUE!</v>
      </c>
      <c r="BF135">
        <f>IF(tecantrop!283:283,"AAAAAErjXzk=",0)</f>
        <v>0</v>
      </c>
      <c r="BG135" t="e">
        <f>AND(tecantrop!A283,"AAAAAErjXzo=")</f>
        <v>#VALUE!</v>
      </c>
      <c r="BH135" t="e">
        <f>AND(tecantrop!B283,"AAAAAErjXzs=")</f>
        <v>#VALUE!</v>
      </c>
      <c r="BI135" t="e">
        <f>AND(tecantrop!C283,"AAAAAErjXzw=")</f>
        <v>#VALUE!</v>
      </c>
      <c r="BJ135" t="e">
        <f>AND(tecantrop!D283,"AAAAAErjXz0=")</f>
        <v>#VALUE!</v>
      </c>
      <c r="BK135" t="e">
        <f>AND(tecantrop!E283,"AAAAAErjXz4=")</f>
        <v>#VALUE!</v>
      </c>
      <c r="BL135" t="e">
        <f>AND(tecantrop!F283,"AAAAAErjXz8=")</f>
        <v>#VALUE!</v>
      </c>
      <c r="BM135" t="e">
        <f>AND(tecantrop!G283,"AAAAAErjX0A=")</f>
        <v>#VALUE!</v>
      </c>
      <c r="BN135" t="e">
        <f>AND(tecantrop!H283,"AAAAAErjX0E=")</f>
        <v>#VALUE!</v>
      </c>
      <c r="BO135" t="e">
        <f>AND(tecantrop!I283,"AAAAAErjX0I=")</f>
        <v>#VALUE!</v>
      </c>
      <c r="BP135" t="e">
        <f>AND(tecantrop!J283,"AAAAAErjX0M=")</f>
        <v>#VALUE!</v>
      </c>
      <c r="BQ135" t="e">
        <f>AND(tecantrop!K283,"AAAAAErjX0Q=")</f>
        <v>#VALUE!</v>
      </c>
      <c r="BR135" t="e">
        <f>AND(tecantrop!L283,"AAAAAErjX0U=")</f>
        <v>#VALUE!</v>
      </c>
      <c r="BS135" t="e">
        <f>AND(tecantrop!M283,"AAAAAErjX0Y=")</f>
        <v>#VALUE!</v>
      </c>
      <c r="BT135" t="e">
        <f>AND(tecantrop!N283,"AAAAAErjX0c=")</f>
        <v>#VALUE!</v>
      </c>
      <c r="BU135" t="e">
        <f>AND(tecantrop!O283,"AAAAAErjX0g=")</f>
        <v>#VALUE!</v>
      </c>
      <c r="BV135" t="e">
        <f>AND(tecantrop!P283,"AAAAAErjX0k=")</f>
        <v>#VALUE!</v>
      </c>
      <c r="BW135" t="e">
        <f>AND(tecantrop!Q283,"AAAAAErjX0o=")</f>
        <v>#VALUE!</v>
      </c>
      <c r="BX135" t="e">
        <f>AND(tecantrop!R283,"AAAAAErjX0s=")</f>
        <v>#VALUE!</v>
      </c>
      <c r="BY135" t="e">
        <f>AND(tecantrop!S283,"AAAAAErjX0w=")</f>
        <v>#VALUE!</v>
      </c>
      <c r="BZ135" t="e">
        <f>AND(tecantrop!T283,"AAAAAErjX00=")</f>
        <v>#VALUE!</v>
      </c>
      <c r="CA135" t="e">
        <f>AND(tecantrop!U283,"AAAAAErjX04=")</f>
        <v>#VALUE!</v>
      </c>
      <c r="CB135" t="e">
        <f>AND(tecantrop!V283,"AAAAAErjX08=")</f>
        <v>#VALUE!</v>
      </c>
      <c r="CC135" t="e">
        <f>AND(tecantrop!W283,"AAAAAErjX1A=")</f>
        <v>#VALUE!</v>
      </c>
      <c r="CD135" t="e">
        <f>AND(tecantrop!X283,"AAAAAErjX1E=")</f>
        <v>#VALUE!</v>
      </c>
      <c r="CE135">
        <f>IF(tecantrop!284:284,"AAAAAErjX1I=",0)</f>
        <v>0</v>
      </c>
      <c r="CF135" t="e">
        <f>AND(tecantrop!A284,"AAAAAErjX1M=")</f>
        <v>#VALUE!</v>
      </c>
      <c r="CG135" t="e">
        <f>AND(tecantrop!B284,"AAAAAErjX1Q=")</f>
        <v>#VALUE!</v>
      </c>
      <c r="CH135" t="e">
        <f>AND(tecantrop!C284,"AAAAAErjX1U=")</f>
        <v>#VALUE!</v>
      </c>
      <c r="CI135" t="e">
        <f>AND(tecantrop!D284,"AAAAAErjX1Y=")</f>
        <v>#VALUE!</v>
      </c>
      <c r="CJ135" t="e">
        <f>AND(tecantrop!E284,"AAAAAErjX1c=")</f>
        <v>#VALUE!</v>
      </c>
      <c r="CK135" t="e">
        <f>AND(tecantrop!F284,"AAAAAErjX1g=")</f>
        <v>#VALUE!</v>
      </c>
      <c r="CL135" t="e">
        <f>AND(tecantrop!G284,"AAAAAErjX1k=")</f>
        <v>#VALUE!</v>
      </c>
      <c r="CM135" t="e">
        <f>AND(tecantrop!H284,"AAAAAErjX1o=")</f>
        <v>#VALUE!</v>
      </c>
      <c r="CN135" t="e">
        <f>AND(tecantrop!I284,"AAAAAErjX1s=")</f>
        <v>#VALUE!</v>
      </c>
      <c r="CO135" t="e">
        <f>AND(tecantrop!J284,"AAAAAErjX1w=")</f>
        <v>#VALUE!</v>
      </c>
      <c r="CP135" t="e">
        <f>AND(tecantrop!K284,"AAAAAErjX10=")</f>
        <v>#VALUE!</v>
      </c>
      <c r="CQ135" t="e">
        <f>AND(tecantrop!L284,"AAAAAErjX14=")</f>
        <v>#VALUE!</v>
      </c>
      <c r="CR135" t="e">
        <f>AND(tecantrop!M284,"AAAAAErjX18=")</f>
        <v>#VALUE!</v>
      </c>
      <c r="CS135" t="e">
        <f>AND(tecantrop!N284,"AAAAAErjX2A=")</f>
        <v>#VALUE!</v>
      </c>
      <c r="CT135" t="e">
        <f>AND(tecantrop!O284,"AAAAAErjX2E=")</f>
        <v>#VALUE!</v>
      </c>
      <c r="CU135" t="e">
        <f>AND(tecantrop!P284,"AAAAAErjX2I=")</f>
        <v>#VALUE!</v>
      </c>
      <c r="CV135" t="e">
        <f>AND(tecantrop!Q284,"AAAAAErjX2M=")</f>
        <v>#VALUE!</v>
      </c>
      <c r="CW135" t="e">
        <f>AND(tecantrop!R284,"AAAAAErjX2Q=")</f>
        <v>#VALUE!</v>
      </c>
      <c r="CX135" t="e">
        <f>AND(tecantrop!S284,"AAAAAErjX2U=")</f>
        <v>#VALUE!</v>
      </c>
      <c r="CY135" t="e">
        <f>AND(tecantrop!T284,"AAAAAErjX2Y=")</f>
        <v>#VALUE!</v>
      </c>
      <c r="CZ135" t="e">
        <f>AND(tecantrop!U284,"AAAAAErjX2c=")</f>
        <v>#VALUE!</v>
      </c>
      <c r="DA135" t="e">
        <f>AND(tecantrop!V284,"AAAAAErjX2g=")</f>
        <v>#VALUE!</v>
      </c>
      <c r="DB135" t="e">
        <f>AND(tecantrop!W284,"AAAAAErjX2k=")</f>
        <v>#VALUE!</v>
      </c>
      <c r="DC135" t="e">
        <f>AND(tecantrop!X284,"AAAAAErjX2o=")</f>
        <v>#VALUE!</v>
      </c>
      <c r="DD135">
        <f>IF(tecantrop!285:285,"AAAAAErjX2s=",0)</f>
        <v>0</v>
      </c>
      <c r="DE135" t="e">
        <f>AND(tecantrop!A285,"AAAAAErjX2w=")</f>
        <v>#VALUE!</v>
      </c>
      <c r="DF135" t="e">
        <f>AND(tecantrop!B285,"AAAAAErjX20=")</f>
        <v>#VALUE!</v>
      </c>
      <c r="DG135" t="e">
        <f>AND(tecantrop!C285,"AAAAAErjX24=")</f>
        <v>#VALUE!</v>
      </c>
      <c r="DH135" t="e">
        <f>AND(tecantrop!D285,"AAAAAErjX28=")</f>
        <v>#VALUE!</v>
      </c>
      <c r="DI135" t="e">
        <f>AND(tecantrop!E285,"AAAAAErjX3A=")</f>
        <v>#VALUE!</v>
      </c>
      <c r="DJ135" t="e">
        <f>AND(tecantrop!F285,"AAAAAErjX3E=")</f>
        <v>#VALUE!</v>
      </c>
      <c r="DK135" t="e">
        <f>AND(tecantrop!G285,"AAAAAErjX3I=")</f>
        <v>#VALUE!</v>
      </c>
      <c r="DL135" t="e">
        <f>AND(tecantrop!H285,"AAAAAErjX3M=")</f>
        <v>#VALUE!</v>
      </c>
      <c r="DM135" t="e">
        <f>AND(tecantrop!I285,"AAAAAErjX3Q=")</f>
        <v>#VALUE!</v>
      </c>
      <c r="DN135" t="e">
        <f>AND(tecantrop!J285,"AAAAAErjX3U=")</f>
        <v>#VALUE!</v>
      </c>
      <c r="DO135" t="e">
        <f>AND(tecantrop!K285,"AAAAAErjX3Y=")</f>
        <v>#VALUE!</v>
      </c>
      <c r="DP135" t="e">
        <f>AND(tecantrop!L285,"AAAAAErjX3c=")</f>
        <v>#VALUE!</v>
      </c>
      <c r="DQ135" t="e">
        <f>AND(tecantrop!M285,"AAAAAErjX3g=")</f>
        <v>#VALUE!</v>
      </c>
      <c r="DR135" t="e">
        <f>AND(tecantrop!N285,"AAAAAErjX3k=")</f>
        <v>#VALUE!</v>
      </c>
      <c r="DS135" t="e">
        <f>AND(tecantrop!O285,"AAAAAErjX3o=")</f>
        <v>#VALUE!</v>
      </c>
      <c r="DT135" t="e">
        <f>AND(tecantrop!P285,"AAAAAErjX3s=")</f>
        <v>#VALUE!</v>
      </c>
      <c r="DU135" t="e">
        <f>AND(tecantrop!Q285,"AAAAAErjX3w=")</f>
        <v>#VALUE!</v>
      </c>
      <c r="DV135" t="e">
        <f>AND(tecantrop!R285,"AAAAAErjX30=")</f>
        <v>#VALUE!</v>
      </c>
      <c r="DW135" t="e">
        <f>AND(tecantrop!S285,"AAAAAErjX34=")</f>
        <v>#VALUE!</v>
      </c>
      <c r="DX135" t="e">
        <f>AND(tecantrop!T285,"AAAAAErjX38=")</f>
        <v>#VALUE!</v>
      </c>
      <c r="DY135" t="e">
        <f>AND(tecantrop!U285,"AAAAAErjX4A=")</f>
        <v>#VALUE!</v>
      </c>
      <c r="DZ135" t="e">
        <f>AND(tecantrop!V285,"AAAAAErjX4E=")</f>
        <v>#VALUE!</v>
      </c>
      <c r="EA135" t="e">
        <f>AND(tecantrop!W285,"AAAAAErjX4I=")</f>
        <v>#VALUE!</v>
      </c>
      <c r="EB135" t="e">
        <f>AND(tecantrop!X285,"AAAAAErjX4M=")</f>
        <v>#VALUE!</v>
      </c>
      <c r="EC135">
        <f>IF(tecantrop!286:286,"AAAAAErjX4Q=",0)</f>
        <v>0</v>
      </c>
      <c r="ED135" t="e">
        <f>AND(tecantrop!A286,"AAAAAErjX4U=")</f>
        <v>#VALUE!</v>
      </c>
      <c r="EE135" t="e">
        <f>AND(tecantrop!B286,"AAAAAErjX4Y=")</f>
        <v>#VALUE!</v>
      </c>
      <c r="EF135" t="e">
        <f>AND(tecantrop!C286,"AAAAAErjX4c=")</f>
        <v>#VALUE!</v>
      </c>
      <c r="EG135" t="e">
        <f>AND(tecantrop!D286,"AAAAAErjX4g=")</f>
        <v>#VALUE!</v>
      </c>
      <c r="EH135" t="e">
        <f>AND(tecantrop!E286,"AAAAAErjX4k=")</f>
        <v>#VALUE!</v>
      </c>
      <c r="EI135" t="e">
        <f>AND(tecantrop!F286,"AAAAAErjX4o=")</f>
        <v>#VALUE!</v>
      </c>
      <c r="EJ135" t="e">
        <f>AND(tecantrop!G286,"AAAAAErjX4s=")</f>
        <v>#VALUE!</v>
      </c>
      <c r="EK135" t="e">
        <f>AND(tecantrop!H286,"AAAAAErjX4w=")</f>
        <v>#VALUE!</v>
      </c>
      <c r="EL135" t="e">
        <f>AND(tecantrop!I286,"AAAAAErjX40=")</f>
        <v>#VALUE!</v>
      </c>
      <c r="EM135" t="e">
        <f>AND(tecantrop!J286,"AAAAAErjX44=")</f>
        <v>#VALUE!</v>
      </c>
      <c r="EN135" t="e">
        <f>AND(tecantrop!K286,"AAAAAErjX48=")</f>
        <v>#VALUE!</v>
      </c>
      <c r="EO135" t="e">
        <f>AND(tecantrop!L286,"AAAAAErjX5A=")</f>
        <v>#VALUE!</v>
      </c>
      <c r="EP135" t="e">
        <f>AND(tecantrop!M286,"AAAAAErjX5E=")</f>
        <v>#VALUE!</v>
      </c>
      <c r="EQ135" t="e">
        <f>AND(tecantrop!N286,"AAAAAErjX5I=")</f>
        <v>#VALUE!</v>
      </c>
      <c r="ER135" t="e">
        <f>AND(tecantrop!O286,"AAAAAErjX5M=")</f>
        <v>#VALUE!</v>
      </c>
      <c r="ES135" t="e">
        <f>AND(tecantrop!P286,"AAAAAErjX5Q=")</f>
        <v>#VALUE!</v>
      </c>
      <c r="ET135" t="e">
        <f>AND(tecantrop!Q286,"AAAAAErjX5U=")</f>
        <v>#VALUE!</v>
      </c>
      <c r="EU135" t="e">
        <f>AND(tecantrop!R286,"AAAAAErjX5Y=")</f>
        <v>#VALUE!</v>
      </c>
      <c r="EV135" t="e">
        <f>AND(tecantrop!S286,"AAAAAErjX5c=")</f>
        <v>#VALUE!</v>
      </c>
      <c r="EW135" t="e">
        <f>AND(tecantrop!T286,"AAAAAErjX5g=")</f>
        <v>#VALUE!</v>
      </c>
      <c r="EX135" t="e">
        <f>AND(tecantrop!U286,"AAAAAErjX5k=")</f>
        <v>#VALUE!</v>
      </c>
      <c r="EY135" t="e">
        <f>AND(tecantrop!V286,"AAAAAErjX5o=")</f>
        <v>#VALUE!</v>
      </c>
      <c r="EZ135" t="e">
        <f>AND(tecantrop!W286,"AAAAAErjX5s=")</f>
        <v>#VALUE!</v>
      </c>
      <c r="FA135" t="e">
        <f>AND(tecantrop!X286,"AAAAAErjX5w=")</f>
        <v>#VALUE!</v>
      </c>
      <c r="FB135">
        <f>IF(tecantrop!287:287,"AAAAAErjX50=",0)</f>
        <v>0</v>
      </c>
      <c r="FC135" t="e">
        <f>AND(tecantrop!A287,"AAAAAErjX54=")</f>
        <v>#VALUE!</v>
      </c>
      <c r="FD135" t="e">
        <f>AND(tecantrop!B287,"AAAAAErjX58=")</f>
        <v>#VALUE!</v>
      </c>
      <c r="FE135" t="e">
        <f>AND(tecantrop!C287,"AAAAAErjX6A=")</f>
        <v>#VALUE!</v>
      </c>
      <c r="FF135" t="e">
        <f>AND(tecantrop!D287,"AAAAAErjX6E=")</f>
        <v>#VALUE!</v>
      </c>
      <c r="FG135" t="e">
        <f>AND(tecantrop!E287,"AAAAAErjX6I=")</f>
        <v>#VALUE!</v>
      </c>
      <c r="FH135" t="e">
        <f>AND(tecantrop!F287,"AAAAAErjX6M=")</f>
        <v>#VALUE!</v>
      </c>
      <c r="FI135" t="e">
        <f>AND(tecantrop!G287,"AAAAAErjX6Q=")</f>
        <v>#VALUE!</v>
      </c>
      <c r="FJ135" t="e">
        <f>AND(tecantrop!H287,"AAAAAErjX6U=")</f>
        <v>#VALUE!</v>
      </c>
      <c r="FK135" t="e">
        <f>AND(tecantrop!I287,"AAAAAErjX6Y=")</f>
        <v>#VALUE!</v>
      </c>
      <c r="FL135" t="e">
        <f>AND(tecantrop!J287,"AAAAAErjX6c=")</f>
        <v>#VALUE!</v>
      </c>
      <c r="FM135" t="e">
        <f>AND(tecantrop!K287,"AAAAAErjX6g=")</f>
        <v>#VALUE!</v>
      </c>
      <c r="FN135" t="e">
        <f>AND(tecantrop!L287,"AAAAAErjX6k=")</f>
        <v>#VALUE!</v>
      </c>
      <c r="FO135" t="e">
        <f>AND(tecantrop!M287,"AAAAAErjX6o=")</f>
        <v>#VALUE!</v>
      </c>
      <c r="FP135" t="e">
        <f>AND(tecantrop!N287,"AAAAAErjX6s=")</f>
        <v>#VALUE!</v>
      </c>
      <c r="FQ135" t="e">
        <f>AND(tecantrop!O287,"AAAAAErjX6w=")</f>
        <v>#VALUE!</v>
      </c>
      <c r="FR135" t="e">
        <f>AND(tecantrop!P287,"AAAAAErjX60=")</f>
        <v>#VALUE!</v>
      </c>
      <c r="FS135" t="e">
        <f>AND(tecantrop!Q287,"AAAAAErjX64=")</f>
        <v>#VALUE!</v>
      </c>
      <c r="FT135" t="e">
        <f>AND(tecantrop!R287,"AAAAAErjX68=")</f>
        <v>#VALUE!</v>
      </c>
      <c r="FU135" t="e">
        <f>AND(tecantrop!S287,"AAAAAErjX7A=")</f>
        <v>#VALUE!</v>
      </c>
      <c r="FV135" t="e">
        <f>AND(tecantrop!T287,"AAAAAErjX7E=")</f>
        <v>#VALUE!</v>
      </c>
      <c r="FW135" t="e">
        <f>AND(tecantrop!U287,"AAAAAErjX7I=")</f>
        <v>#VALUE!</v>
      </c>
      <c r="FX135" t="e">
        <f>AND(tecantrop!V287,"AAAAAErjX7M=")</f>
        <v>#VALUE!</v>
      </c>
      <c r="FY135" t="e">
        <f>AND(tecantrop!W287,"AAAAAErjX7Q=")</f>
        <v>#VALUE!</v>
      </c>
      <c r="FZ135" t="e">
        <f>AND(tecantrop!X287,"AAAAAErjX7U=")</f>
        <v>#VALUE!</v>
      </c>
      <c r="GA135">
        <f>IF(tecantrop!288:288,"AAAAAErjX7Y=",0)</f>
        <v>0</v>
      </c>
      <c r="GB135" t="e">
        <f>AND(tecantrop!A288,"AAAAAErjX7c=")</f>
        <v>#VALUE!</v>
      </c>
      <c r="GC135" t="e">
        <f>AND(tecantrop!B288,"AAAAAErjX7g=")</f>
        <v>#VALUE!</v>
      </c>
      <c r="GD135" t="e">
        <f>AND(tecantrop!C288,"AAAAAErjX7k=")</f>
        <v>#VALUE!</v>
      </c>
      <c r="GE135" t="e">
        <f>AND(tecantrop!D288,"AAAAAErjX7o=")</f>
        <v>#VALUE!</v>
      </c>
      <c r="GF135" t="e">
        <f>AND(tecantrop!E288,"AAAAAErjX7s=")</f>
        <v>#VALUE!</v>
      </c>
      <c r="GG135" t="e">
        <f>AND(tecantrop!F288,"AAAAAErjX7w=")</f>
        <v>#VALUE!</v>
      </c>
      <c r="GH135" t="e">
        <f>AND(tecantrop!G288,"AAAAAErjX70=")</f>
        <v>#VALUE!</v>
      </c>
      <c r="GI135" t="e">
        <f>AND(tecantrop!H288,"AAAAAErjX74=")</f>
        <v>#VALUE!</v>
      </c>
      <c r="GJ135" t="e">
        <f>AND(tecantrop!I288,"AAAAAErjX78=")</f>
        <v>#VALUE!</v>
      </c>
      <c r="GK135" t="e">
        <f>AND(tecantrop!J288,"AAAAAErjX8A=")</f>
        <v>#VALUE!</v>
      </c>
      <c r="GL135" t="e">
        <f>AND(tecantrop!K288,"AAAAAErjX8E=")</f>
        <v>#VALUE!</v>
      </c>
      <c r="GM135" t="e">
        <f>AND(tecantrop!L288,"AAAAAErjX8I=")</f>
        <v>#VALUE!</v>
      </c>
      <c r="GN135" t="e">
        <f>AND(tecantrop!M288,"AAAAAErjX8M=")</f>
        <v>#VALUE!</v>
      </c>
      <c r="GO135" t="e">
        <f>AND(tecantrop!N288,"AAAAAErjX8Q=")</f>
        <v>#VALUE!</v>
      </c>
      <c r="GP135" t="e">
        <f>AND(tecantrop!O288,"AAAAAErjX8U=")</f>
        <v>#VALUE!</v>
      </c>
      <c r="GQ135" t="e">
        <f>AND(tecantrop!P288,"AAAAAErjX8Y=")</f>
        <v>#VALUE!</v>
      </c>
      <c r="GR135" t="e">
        <f>AND(tecantrop!Q288,"AAAAAErjX8c=")</f>
        <v>#VALUE!</v>
      </c>
      <c r="GS135" t="e">
        <f>AND(tecantrop!R288,"AAAAAErjX8g=")</f>
        <v>#VALUE!</v>
      </c>
      <c r="GT135" t="e">
        <f>AND(tecantrop!S288,"AAAAAErjX8k=")</f>
        <v>#VALUE!</v>
      </c>
      <c r="GU135" t="e">
        <f>AND(tecantrop!T288,"AAAAAErjX8o=")</f>
        <v>#VALUE!</v>
      </c>
      <c r="GV135" t="e">
        <f>AND(tecantrop!U288,"AAAAAErjX8s=")</f>
        <v>#VALUE!</v>
      </c>
      <c r="GW135" t="e">
        <f>AND(tecantrop!V288,"AAAAAErjX8w=")</f>
        <v>#VALUE!</v>
      </c>
      <c r="GX135" t="e">
        <f>AND(tecantrop!W288,"AAAAAErjX80=")</f>
        <v>#VALUE!</v>
      </c>
      <c r="GY135" t="e">
        <f>AND(tecantrop!X288,"AAAAAErjX84=")</f>
        <v>#VALUE!</v>
      </c>
      <c r="GZ135">
        <f>IF(tecantrop!289:289,"AAAAAErjX88=",0)</f>
        <v>0</v>
      </c>
      <c r="HA135" t="e">
        <f>AND(tecantrop!A289,"AAAAAErjX9A=")</f>
        <v>#VALUE!</v>
      </c>
      <c r="HB135" t="e">
        <f>AND(tecantrop!B289,"AAAAAErjX9E=")</f>
        <v>#VALUE!</v>
      </c>
      <c r="HC135" t="e">
        <f>AND(tecantrop!C289,"AAAAAErjX9I=")</f>
        <v>#VALUE!</v>
      </c>
      <c r="HD135" t="e">
        <f>AND(tecantrop!D289,"AAAAAErjX9M=")</f>
        <v>#VALUE!</v>
      </c>
      <c r="HE135" t="e">
        <f>AND(tecantrop!E289,"AAAAAErjX9Q=")</f>
        <v>#VALUE!</v>
      </c>
      <c r="HF135" t="e">
        <f>AND(tecantrop!F289,"AAAAAErjX9U=")</f>
        <v>#VALUE!</v>
      </c>
      <c r="HG135" t="e">
        <f>AND(tecantrop!G289,"AAAAAErjX9Y=")</f>
        <v>#VALUE!</v>
      </c>
      <c r="HH135" t="e">
        <f>AND(tecantrop!H289,"AAAAAErjX9c=")</f>
        <v>#VALUE!</v>
      </c>
      <c r="HI135" t="e">
        <f>AND(tecantrop!I289,"AAAAAErjX9g=")</f>
        <v>#VALUE!</v>
      </c>
      <c r="HJ135" t="e">
        <f>AND(tecantrop!J289,"AAAAAErjX9k=")</f>
        <v>#VALUE!</v>
      </c>
      <c r="HK135" t="e">
        <f>AND(tecantrop!K289,"AAAAAErjX9o=")</f>
        <v>#VALUE!</v>
      </c>
      <c r="HL135" t="e">
        <f>AND(tecantrop!L289,"AAAAAErjX9s=")</f>
        <v>#VALUE!</v>
      </c>
      <c r="HM135" t="e">
        <f>AND(tecantrop!M289,"AAAAAErjX9w=")</f>
        <v>#VALUE!</v>
      </c>
      <c r="HN135" t="e">
        <f>AND(tecantrop!N289,"AAAAAErjX90=")</f>
        <v>#VALUE!</v>
      </c>
      <c r="HO135" t="e">
        <f>AND(tecantrop!O289,"AAAAAErjX94=")</f>
        <v>#VALUE!</v>
      </c>
      <c r="HP135" t="e">
        <f>AND(tecantrop!P289,"AAAAAErjX98=")</f>
        <v>#VALUE!</v>
      </c>
      <c r="HQ135" t="e">
        <f>AND(tecantrop!Q289,"AAAAAErjX+A=")</f>
        <v>#VALUE!</v>
      </c>
      <c r="HR135" t="e">
        <f>AND(tecantrop!R289,"AAAAAErjX+E=")</f>
        <v>#VALUE!</v>
      </c>
      <c r="HS135" t="e">
        <f>AND(tecantrop!S289,"AAAAAErjX+I=")</f>
        <v>#VALUE!</v>
      </c>
      <c r="HT135" t="e">
        <f>AND(tecantrop!T289,"AAAAAErjX+M=")</f>
        <v>#VALUE!</v>
      </c>
      <c r="HU135" t="e">
        <f>AND(tecantrop!U289,"AAAAAErjX+Q=")</f>
        <v>#VALUE!</v>
      </c>
      <c r="HV135" t="e">
        <f>AND(tecantrop!V289,"AAAAAErjX+U=")</f>
        <v>#VALUE!</v>
      </c>
      <c r="HW135" t="e">
        <f>AND(tecantrop!W289,"AAAAAErjX+Y=")</f>
        <v>#VALUE!</v>
      </c>
      <c r="HX135" t="e">
        <f>AND(tecantrop!X289,"AAAAAErjX+c=")</f>
        <v>#VALUE!</v>
      </c>
      <c r="HY135">
        <f>IF(tecantrop!290:290,"AAAAAErjX+g=",0)</f>
        <v>0</v>
      </c>
      <c r="HZ135" t="e">
        <f>AND(tecantrop!A290,"AAAAAErjX+k=")</f>
        <v>#VALUE!</v>
      </c>
      <c r="IA135" t="e">
        <f>AND(tecantrop!B290,"AAAAAErjX+o=")</f>
        <v>#VALUE!</v>
      </c>
      <c r="IB135" t="e">
        <f>AND(tecantrop!C290,"AAAAAErjX+s=")</f>
        <v>#VALUE!</v>
      </c>
      <c r="IC135" t="e">
        <f>AND(tecantrop!D290,"AAAAAErjX+w=")</f>
        <v>#VALUE!</v>
      </c>
      <c r="ID135" t="e">
        <f>AND(tecantrop!E290,"AAAAAErjX+0=")</f>
        <v>#VALUE!</v>
      </c>
      <c r="IE135" t="e">
        <f>AND(tecantrop!F290,"AAAAAErjX+4=")</f>
        <v>#VALUE!</v>
      </c>
      <c r="IF135" t="e">
        <f>AND(tecantrop!G290,"AAAAAErjX+8=")</f>
        <v>#VALUE!</v>
      </c>
      <c r="IG135" t="e">
        <f>AND(tecantrop!H290,"AAAAAErjX/A=")</f>
        <v>#VALUE!</v>
      </c>
      <c r="IH135" t="e">
        <f>AND(tecantrop!I290,"AAAAAErjX/E=")</f>
        <v>#VALUE!</v>
      </c>
      <c r="II135" t="e">
        <f>AND(tecantrop!J290,"AAAAAErjX/I=")</f>
        <v>#VALUE!</v>
      </c>
      <c r="IJ135" t="e">
        <f>AND(tecantrop!K290,"AAAAAErjX/M=")</f>
        <v>#VALUE!</v>
      </c>
      <c r="IK135" t="e">
        <f>AND(tecantrop!L290,"AAAAAErjX/Q=")</f>
        <v>#VALUE!</v>
      </c>
      <c r="IL135" t="e">
        <f>AND(tecantrop!M290,"AAAAAErjX/U=")</f>
        <v>#VALUE!</v>
      </c>
      <c r="IM135" t="e">
        <f>AND(tecantrop!N290,"AAAAAErjX/Y=")</f>
        <v>#VALUE!</v>
      </c>
      <c r="IN135" t="e">
        <f>AND(tecantrop!O290,"AAAAAErjX/c=")</f>
        <v>#VALUE!</v>
      </c>
      <c r="IO135" t="e">
        <f>AND(tecantrop!P290,"AAAAAErjX/g=")</f>
        <v>#VALUE!</v>
      </c>
      <c r="IP135" t="e">
        <f>AND(tecantrop!Q290,"AAAAAErjX/k=")</f>
        <v>#VALUE!</v>
      </c>
      <c r="IQ135" t="e">
        <f>AND(tecantrop!R290,"AAAAAErjX/o=")</f>
        <v>#VALUE!</v>
      </c>
      <c r="IR135" t="e">
        <f>AND(tecantrop!S290,"AAAAAErjX/s=")</f>
        <v>#VALUE!</v>
      </c>
      <c r="IS135" t="e">
        <f>AND(tecantrop!T290,"AAAAAErjX/w=")</f>
        <v>#VALUE!</v>
      </c>
      <c r="IT135" t="e">
        <f>AND(tecantrop!U290,"AAAAAErjX/0=")</f>
        <v>#VALUE!</v>
      </c>
      <c r="IU135" t="e">
        <f>AND(tecantrop!V290,"AAAAAErjX/4=")</f>
        <v>#VALUE!</v>
      </c>
      <c r="IV135" t="e">
        <f>AND(tecantrop!W290,"AAAAAErjX/8=")</f>
        <v>#VALUE!</v>
      </c>
    </row>
    <row r="136" spans="1:256" x14ac:dyDescent="0.2">
      <c r="A136" t="e">
        <f>AND(tecantrop!X290,"AAAAAH/6TwA=")</f>
        <v>#VALUE!</v>
      </c>
      <c r="B136">
        <f>IF(tecantrop!291:291,"AAAAAH/6TwE=",0)</f>
        <v>0</v>
      </c>
      <c r="C136" t="e">
        <f>AND(tecantrop!A291,"AAAAAH/6TwI=")</f>
        <v>#VALUE!</v>
      </c>
      <c r="D136" t="e">
        <f>AND(tecantrop!B291,"AAAAAH/6TwM=")</f>
        <v>#VALUE!</v>
      </c>
      <c r="E136" t="e">
        <f>AND(tecantrop!C291,"AAAAAH/6TwQ=")</f>
        <v>#VALUE!</v>
      </c>
      <c r="F136" t="e">
        <f>AND(tecantrop!D291,"AAAAAH/6TwU=")</f>
        <v>#VALUE!</v>
      </c>
      <c r="G136" t="e">
        <f>AND(tecantrop!E291,"AAAAAH/6TwY=")</f>
        <v>#VALUE!</v>
      </c>
      <c r="H136" t="e">
        <f>AND(tecantrop!F291,"AAAAAH/6Twc=")</f>
        <v>#VALUE!</v>
      </c>
      <c r="I136" t="e">
        <f>AND(tecantrop!G291,"AAAAAH/6Twg=")</f>
        <v>#VALUE!</v>
      </c>
      <c r="J136" t="e">
        <f>AND(tecantrop!H291,"AAAAAH/6Twk=")</f>
        <v>#VALUE!</v>
      </c>
      <c r="K136" t="e">
        <f>AND(tecantrop!I291,"AAAAAH/6Two=")</f>
        <v>#VALUE!</v>
      </c>
      <c r="L136" t="e">
        <f>AND(tecantrop!J291,"AAAAAH/6Tws=")</f>
        <v>#VALUE!</v>
      </c>
      <c r="M136" t="e">
        <f>AND(tecantrop!K291,"AAAAAH/6Tww=")</f>
        <v>#VALUE!</v>
      </c>
      <c r="N136" t="e">
        <f>AND(tecantrop!L291,"AAAAAH/6Tw0=")</f>
        <v>#VALUE!</v>
      </c>
      <c r="O136" t="e">
        <f>AND(tecantrop!M291,"AAAAAH/6Tw4=")</f>
        <v>#VALUE!</v>
      </c>
      <c r="P136" t="e">
        <f>AND(tecantrop!N291,"AAAAAH/6Tw8=")</f>
        <v>#VALUE!</v>
      </c>
      <c r="Q136" t="e">
        <f>AND(tecantrop!O291,"AAAAAH/6TxA=")</f>
        <v>#VALUE!</v>
      </c>
      <c r="R136" t="e">
        <f>AND(tecantrop!P291,"AAAAAH/6TxE=")</f>
        <v>#VALUE!</v>
      </c>
      <c r="S136" t="e">
        <f>AND(tecantrop!Q291,"AAAAAH/6TxI=")</f>
        <v>#VALUE!</v>
      </c>
      <c r="T136" t="e">
        <f>AND(tecantrop!R291,"AAAAAH/6TxM=")</f>
        <v>#VALUE!</v>
      </c>
      <c r="U136" t="e">
        <f>AND(tecantrop!S291,"AAAAAH/6TxQ=")</f>
        <v>#VALUE!</v>
      </c>
      <c r="V136" t="e">
        <f>AND(tecantrop!T291,"AAAAAH/6TxU=")</f>
        <v>#VALUE!</v>
      </c>
      <c r="W136" t="e">
        <f>AND(tecantrop!U291,"AAAAAH/6TxY=")</f>
        <v>#VALUE!</v>
      </c>
      <c r="X136" t="e">
        <f>AND(tecantrop!V291,"AAAAAH/6Txc=")</f>
        <v>#VALUE!</v>
      </c>
      <c r="Y136" t="e">
        <f>AND(tecantrop!W291,"AAAAAH/6Txg=")</f>
        <v>#VALUE!</v>
      </c>
      <c r="Z136" t="e">
        <f>AND(tecantrop!X291,"AAAAAH/6Txk=")</f>
        <v>#VALUE!</v>
      </c>
      <c r="AA136">
        <f>IF(tecantrop!292:292,"AAAAAH/6Txo=",0)</f>
        <v>0</v>
      </c>
      <c r="AB136" t="e">
        <f>AND(tecantrop!A292,"AAAAAH/6Txs=")</f>
        <v>#VALUE!</v>
      </c>
      <c r="AC136" t="e">
        <f>AND(tecantrop!B292,"AAAAAH/6Txw=")</f>
        <v>#VALUE!</v>
      </c>
      <c r="AD136" t="e">
        <f>AND(tecantrop!C292,"AAAAAH/6Tx0=")</f>
        <v>#VALUE!</v>
      </c>
      <c r="AE136" t="e">
        <f>AND(tecantrop!D292,"AAAAAH/6Tx4=")</f>
        <v>#VALUE!</v>
      </c>
      <c r="AF136" t="e">
        <f>AND(tecantrop!E292,"AAAAAH/6Tx8=")</f>
        <v>#VALUE!</v>
      </c>
      <c r="AG136" t="e">
        <f>AND(tecantrop!F292,"AAAAAH/6TyA=")</f>
        <v>#VALUE!</v>
      </c>
      <c r="AH136" t="e">
        <f>AND(tecantrop!G292,"AAAAAH/6TyE=")</f>
        <v>#VALUE!</v>
      </c>
      <c r="AI136" t="e">
        <f>AND(tecantrop!H292,"AAAAAH/6TyI=")</f>
        <v>#VALUE!</v>
      </c>
      <c r="AJ136" t="e">
        <f>AND(tecantrop!I292,"AAAAAH/6TyM=")</f>
        <v>#VALUE!</v>
      </c>
      <c r="AK136" t="e">
        <f>AND(tecantrop!J292,"AAAAAH/6TyQ=")</f>
        <v>#VALUE!</v>
      </c>
      <c r="AL136" t="e">
        <f>AND(tecantrop!K292,"AAAAAH/6TyU=")</f>
        <v>#VALUE!</v>
      </c>
      <c r="AM136" t="e">
        <f>AND(tecantrop!L292,"AAAAAH/6TyY=")</f>
        <v>#VALUE!</v>
      </c>
      <c r="AN136" t="e">
        <f>AND(tecantrop!M292,"AAAAAH/6Tyc=")</f>
        <v>#VALUE!</v>
      </c>
      <c r="AO136" t="e">
        <f>AND(tecantrop!N292,"AAAAAH/6Tyg=")</f>
        <v>#VALUE!</v>
      </c>
      <c r="AP136" t="e">
        <f>AND(tecantrop!O292,"AAAAAH/6Tyk=")</f>
        <v>#VALUE!</v>
      </c>
      <c r="AQ136" t="e">
        <f>AND(tecantrop!P292,"AAAAAH/6Tyo=")</f>
        <v>#VALUE!</v>
      </c>
      <c r="AR136" t="e">
        <f>AND(tecantrop!Q292,"AAAAAH/6Tys=")</f>
        <v>#VALUE!</v>
      </c>
      <c r="AS136" t="e">
        <f>AND(tecantrop!R292,"AAAAAH/6Tyw=")</f>
        <v>#VALUE!</v>
      </c>
      <c r="AT136" t="e">
        <f>AND(tecantrop!S292,"AAAAAH/6Ty0=")</f>
        <v>#VALUE!</v>
      </c>
      <c r="AU136" t="e">
        <f>AND(tecantrop!T292,"AAAAAH/6Ty4=")</f>
        <v>#VALUE!</v>
      </c>
      <c r="AV136" t="e">
        <f>AND(tecantrop!U292,"AAAAAH/6Ty8=")</f>
        <v>#VALUE!</v>
      </c>
      <c r="AW136" t="e">
        <f>AND(tecantrop!V292,"AAAAAH/6TzA=")</f>
        <v>#VALUE!</v>
      </c>
      <c r="AX136" t="e">
        <f>AND(tecantrop!W292,"AAAAAH/6TzE=")</f>
        <v>#VALUE!</v>
      </c>
      <c r="AY136" t="e">
        <f>AND(tecantrop!X292,"AAAAAH/6TzI=")</f>
        <v>#VALUE!</v>
      </c>
      <c r="AZ136">
        <f>IF(tecantrop!293:293,"AAAAAH/6TzM=",0)</f>
        <v>0</v>
      </c>
      <c r="BA136" t="e">
        <f>AND(tecantrop!A293,"AAAAAH/6TzQ=")</f>
        <v>#VALUE!</v>
      </c>
      <c r="BB136" t="e">
        <f>AND(tecantrop!B293,"AAAAAH/6TzU=")</f>
        <v>#VALUE!</v>
      </c>
      <c r="BC136" t="e">
        <f>AND(tecantrop!C293,"AAAAAH/6TzY=")</f>
        <v>#VALUE!</v>
      </c>
      <c r="BD136" t="e">
        <f>AND(tecantrop!D293,"AAAAAH/6Tzc=")</f>
        <v>#VALUE!</v>
      </c>
      <c r="BE136" t="e">
        <f>AND(tecantrop!E293,"AAAAAH/6Tzg=")</f>
        <v>#VALUE!</v>
      </c>
      <c r="BF136" t="e">
        <f>AND(tecantrop!F293,"AAAAAH/6Tzk=")</f>
        <v>#VALUE!</v>
      </c>
      <c r="BG136" t="e">
        <f>AND(tecantrop!G293,"AAAAAH/6Tzo=")</f>
        <v>#VALUE!</v>
      </c>
      <c r="BH136" t="e">
        <f>AND(tecantrop!H293,"AAAAAH/6Tzs=")</f>
        <v>#VALUE!</v>
      </c>
      <c r="BI136" t="e">
        <f>AND(tecantrop!I293,"AAAAAH/6Tzw=")</f>
        <v>#VALUE!</v>
      </c>
      <c r="BJ136" t="e">
        <f>AND(tecantrop!J293,"AAAAAH/6Tz0=")</f>
        <v>#VALUE!</v>
      </c>
      <c r="BK136" t="e">
        <f>AND(tecantrop!K293,"AAAAAH/6Tz4=")</f>
        <v>#VALUE!</v>
      </c>
      <c r="BL136" t="e">
        <f>AND(tecantrop!L293,"AAAAAH/6Tz8=")</f>
        <v>#VALUE!</v>
      </c>
      <c r="BM136" t="e">
        <f>AND(tecantrop!M293,"AAAAAH/6T0A=")</f>
        <v>#VALUE!</v>
      </c>
      <c r="BN136" t="e">
        <f>AND(tecantrop!N293,"AAAAAH/6T0E=")</f>
        <v>#VALUE!</v>
      </c>
      <c r="BO136" t="e">
        <f>AND(tecantrop!O293,"AAAAAH/6T0I=")</f>
        <v>#VALUE!</v>
      </c>
      <c r="BP136" t="e">
        <f>AND(tecantrop!P293,"AAAAAH/6T0M=")</f>
        <v>#VALUE!</v>
      </c>
      <c r="BQ136" t="e">
        <f>AND(tecantrop!Q293,"AAAAAH/6T0Q=")</f>
        <v>#VALUE!</v>
      </c>
      <c r="BR136" t="e">
        <f>AND(tecantrop!R293,"AAAAAH/6T0U=")</f>
        <v>#VALUE!</v>
      </c>
      <c r="BS136" t="e">
        <f>AND(tecantrop!S293,"AAAAAH/6T0Y=")</f>
        <v>#VALUE!</v>
      </c>
      <c r="BT136" t="e">
        <f>AND(tecantrop!T293,"AAAAAH/6T0c=")</f>
        <v>#VALUE!</v>
      </c>
      <c r="BU136" t="e">
        <f>AND(tecantrop!U293,"AAAAAH/6T0g=")</f>
        <v>#VALUE!</v>
      </c>
      <c r="BV136" t="e">
        <f>AND(tecantrop!V293,"AAAAAH/6T0k=")</f>
        <v>#VALUE!</v>
      </c>
      <c r="BW136" t="e">
        <f>AND(tecantrop!W293,"AAAAAH/6T0o=")</f>
        <v>#VALUE!</v>
      </c>
      <c r="BX136" t="e">
        <f>AND(tecantrop!X293,"AAAAAH/6T0s=")</f>
        <v>#VALUE!</v>
      </c>
      <c r="BY136">
        <f>IF(tecantrop!294:294,"AAAAAH/6T0w=",0)</f>
        <v>0</v>
      </c>
      <c r="BZ136" t="e">
        <f>AND(tecantrop!A294,"AAAAAH/6T00=")</f>
        <v>#VALUE!</v>
      </c>
      <c r="CA136" t="e">
        <f>AND(tecantrop!B294,"AAAAAH/6T04=")</f>
        <v>#VALUE!</v>
      </c>
      <c r="CB136" t="e">
        <f>AND(tecantrop!C294,"AAAAAH/6T08=")</f>
        <v>#VALUE!</v>
      </c>
      <c r="CC136" t="e">
        <f>AND(tecantrop!D294,"AAAAAH/6T1A=")</f>
        <v>#VALUE!</v>
      </c>
      <c r="CD136" t="e">
        <f>AND(tecantrop!E294,"AAAAAH/6T1E=")</f>
        <v>#VALUE!</v>
      </c>
      <c r="CE136" t="e">
        <f>AND(tecantrop!F294,"AAAAAH/6T1I=")</f>
        <v>#VALUE!</v>
      </c>
      <c r="CF136" t="e">
        <f>AND(tecantrop!G294,"AAAAAH/6T1M=")</f>
        <v>#VALUE!</v>
      </c>
      <c r="CG136" t="e">
        <f>AND(tecantrop!H294,"AAAAAH/6T1Q=")</f>
        <v>#VALUE!</v>
      </c>
      <c r="CH136" t="e">
        <f>AND(tecantrop!I294,"AAAAAH/6T1U=")</f>
        <v>#VALUE!</v>
      </c>
      <c r="CI136" t="e">
        <f>AND(tecantrop!J294,"AAAAAH/6T1Y=")</f>
        <v>#VALUE!</v>
      </c>
      <c r="CJ136" t="e">
        <f>AND(tecantrop!K294,"AAAAAH/6T1c=")</f>
        <v>#VALUE!</v>
      </c>
      <c r="CK136" t="e">
        <f>AND(tecantrop!L294,"AAAAAH/6T1g=")</f>
        <v>#VALUE!</v>
      </c>
      <c r="CL136" t="e">
        <f>AND(tecantrop!M294,"AAAAAH/6T1k=")</f>
        <v>#VALUE!</v>
      </c>
      <c r="CM136" t="e">
        <f>AND(tecantrop!N294,"AAAAAH/6T1o=")</f>
        <v>#VALUE!</v>
      </c>
      <c r="CN136" t="e">
        <f>AND(tecantrop!O294,"AAAAAH/6T1s=")</f>
        <v>#VALUE!</v>
      </c>
      <c r="CO136" t="e">
        <f>AND(tecantrop!P294,"AAAAAH/6T1w=")</f>
        <v>#VALUE!</v>
      </c>
      <c r="CP136" t="e">
        <f>AND(tecantrop!Q294,"AAAAAH/6T10=")</f>
        <v>#VALUE!</v>
      </c>
      <c r="CQ136" t="e">
        <f>AND(tecantrop!R294,"AAAAAH/6T14=")</f>
        <v>#VALUE!</v>
      </c>
      <c r="CR136" t="e">
        <f>AND(tecantrop!S294,"AAAAAH/6T18=")</f>
        <v>#VALUE!</v>
      </c>
      <c r="CS136" t="e">
        <f>AND(tecantrop!T294,"AAAAAH/6T2A=")</f>
        <v>#VALUE!</v>
      </c>
      <c r="CT136" t="e">
        <f>AND(tecantrop!U294,"AAAAAH/6T2E=")</f>
        <v>#VALUE!</v>
      </c>
      <c r="CU136" t="e">
        <f>AND(tecantrop!V294,"AAAAAH/6T2I=")</f>
        <v>#VALUE!</v>
      </c>
      <c r="CV136" t="e">
        <f>AND(tecantrop!W294,"AAAAAH/6T2M=")</f>
        <v>#VALUE!</v>
      </c>
      <c r="CW136" t="e">
        <f>AND(tecantrop!X294,"AAAAAH/6T2Q=")</f>
        <v>#VALUE!</v>
      </c>
      <c r="CX136">
        <f>IF(tecantrop!295:295,"AAAAAH/6T2U=",0)</f>
        <v>0</v>
      </c>
      <c r="CY136" t="e">
        <f>AND(tecantrop!A295,"AAAAAH/6T2Y=")</f>
        <v>#VALUE!</v>
      </c>
      <c r="CZ136" t="e">
        <f>AND(tecantrop!B295,"AAAAAH/6T2c=")</f>
        <v>#VALUE!</v>
      </c>
      <c r="DA136" t="e">
        <f>AND(tecantrop!C295,"AAAAAH/6T2g=")</f>
        <v>#VALUE!</v>
      </c>
      <c r="DB136" t="e">
        <f>AND(tecantrop!D295,"AAAAAH/6T2k=")</f>
        <v>#VALUE!</v>
      </c>
      <c r="DC136" t="e">
        <f>AND(tecantrop!E295,"AAAAAH/6T2o=")</f>
        <v>#VALUE!</v>
      </c>
      <c r="DD136" t="e">
        <f>AND(tecantrop!F295,"AAAAAH/6T2s=")</f>
        <v>#VALUE!</v>
      </c>
      <c r="DE136" t="e">
        <f>AND(tecantrop!G295,"AAAAAH/6T2w=")</f>
        <v>#VALUE!</v>
      </c>
      <c r="DF136" t="e">
        <f>AND(tecantrop!H295,"AAAAAH/6T20=")</f>
        <v>#VALUE!</v>
      </c>
      <c r="DG136" t="e">
        <f>AND(tecantrop!I295,"AAAAAH/6T24=")</f>
        <v>#VALUE!</v>
      </c>
      <c r="DH136" t="e">
        <f>AND(tecantrop!J295,"AAAAAH/6T28=")</f>
        <v>#VALUE!</v>
      </c>
      <c r="DI136" t="e">
        <f>AND(tecantrop!K295,"AAAAAH/6T3A=")</f>
        <v>#VALUE!</v>
      </c>
      <c r="DJ136" t="e">
        <f>AND(tecantrop!L295,"AAAAAH/6T3E=")</f>
        <v>#VALUE!</v>
      </c>
      <c r="DK136" t="e">
        <f>AND(tecantrop!M295,"AAAAAH/6T3I=")</f>
        <v>#VALUE!</v>
      </c>
      <c r="DL136" t="e">
        <f>AND(tecantrop!N295,"AAAAAH/6T3M=")</f>
        <v>#VALUE!</v>
      </c>
      <c r="DM136" t="e">
        <f>AND(tecantrop!O295,"AAAAAH/6T3Q=")</f>
        <v>#VALUE!</v>
      </c>
      <c r="DN136" t="e">
        <f>AND(tecantrop!P295,"AAAAAH/6T3U=")</f>
        <v>#VALUE!</v>
      </c>
      <c r="DO136" t="e">
        <f>AND(tecantrop!Q295,"AAAAAH/6T3Y=")</f>
        <v>#VALUE!</v>
      </c>
      <c r="DP136" t="e">
        <f>AND(tecantrop!R295,"AAAAAH/6T3c=")</f>
        <v>#VALUE!</v>
      </c>
      <c r="DQ136" t="e">
        <f>AND(tecantrop!S295,"AAAAAH/6T3g=")</f>
        <v>#VALUE!</v>
      </c>
      <c r="DR136" t="e">
        <f>AND(tecantrop!T295,"AAAAAH/6T3k=")</f>
        <v>#VALUE!</v>
      </c>
      <c r="DS136" t="e">
        <f>AND(tecantrop!U295,"AAAAAH/6T3o=")</f>
        <v>#VALUE!</v>
      </c>
      <c r="DT136" t="e">
        <f>AND(tecantrop!V295,"AAAAAH/6T3s=")</f>
        <v>#VALUE!</v>
      </c>
      <c r="DU136" t="e">
        <f>AND(tecantrop!W295,"AAAAAH/6T3w=")</f>
        <v>#VALUE!</v>
      </c>
      <c r="DV136" t="e">
        <f>AND(tecantrop!X295,"AAAAAH/6T30=")</f>
        <v>#VALUE!</v>
      </c>
      <c r="DW136">
        <f>IF(tecantrop!296:296,"AAAAAH/6T34=",0)</f>
        <v>0</v>
      </c>
      <c r="DX136" t="e">
        <f>AND(tecantrop!A296,"AAAAAH/6T38=")</f>
        <v>#VALUE!</v>
      </c>
      <c r="DY136" t="e">
        <f>AND(tecantrop!B296,"AAAAAH/6T4A=")</f>
        <v>#VALUE!</v>
      </c>
      <c r="DZ136" t="e">
        <f>AND(tecantrop!C296,"AAAAAH/6T4E=")</f>
        <v>#VALUE!</v>
      </c>
      <c r="EA136" t="e">
        <f>AND(tecantrop!D296,"AAAAAH/6T4I=")</f>
        <v>#VALUE!</v>
      </c>
      <c r="EB136" t="e">
        <f>AND(tecantrop!E296,"AAAAAH/6T4M=")</f>
        <v>#VALUE!</v>
      </c>
      <c r="EC136" t="e">
        <f>AND(tecantrop!F296,"AAAAAH/6T4Q=")</f>
        <v>#VALUE!</v>
      </c>
      <c r="ED136" t="e">
        <f>AND(tecantrop!G296,"AAAAAH/6T4U=")</f>
        <v>#VALUE!</v>
      </c>
      <c r="EE136" t="e">
        <f>AND(tecantrop!H296,"AAAAAH/6T4Y=")</f>
        <v>#VALUE!</v>
      </c>
      <c r="EF136" t="e">
        <f>AND(tecantrop!I296,"AAAAAH/6T4c=")</f>
        <v>#VALUE!</v>
      </c>
      <c r="EG136" t="e">
        <f>AND(tecantrop!J296,"AAAAAH/6T4g=")</f>
        <v>#VALUE!</v>
      </c>
      <c r="EH136" t="e">
        <f>AND(tecantrop!K296,"AAAAAH/6T4k=")</f>
        <v>#VALUE!</v>
      </c>
      <c r="EI136" t="e">
        <f>AND(tecantrop!L296,"AAAAAH/6T4o=")</f>
        <v>#VALUE!</v>
      </c>
      <c r="EJ136" t="e">
        <f>AND(tecantrop!M296,"AAAAAH/6T4s=")</f>
        <v>#VALUE!</v>
      </c>
      <c r="EK136" t="e">
        <f>AND(tecantrop!N296,"AAAAAH/6T4w=")</f>
        <v>#VALUE!</v>
      </c>
      <c r="EL136" t="e">
        <f>AND(tecantrop!O296,"AAAAAH/6T40=")</f>
        <v>#VALUE!</v>
      </c>
      <c r="EM136" t="e">
        <f>AND(tecantrop!P296,"AAAAAH/6T44=")</f>
        <v>#VALUE!</v>
      </c>
      <c r="EN136" t="e">
        <f>AND(tecantrop!Q296,"AAAAAH/6T48=")</f>
        <v>#VALUE!</v>
      </c>
      <c r="EO136" t="e">
        <f>AND(tecantrop!R296,"AAAAAH/6T5A=")</f>
        <v>#VALUE!</v>
      </c>
      <c r="EP136" t="e">
        <f>AND(tecantrop!S296,"AAAAAH/6T5E=")</f>
        <v>#VALUE!</v>
      </c>
      <c r="EQ136" t="e">
        <f>AND(tecantrop!T296,"AAAAAH/6T5I=")</f>
        <v>#VALUE!</v>
      </c>
      <c r="ER136" t="e">
        <f>AND(tecantrop!U296,"AAAAAH/6T5M=")</f>
        <v>#VALUE!</v>
      </c>
      <c r="ES136" t="e">
        <f>AND(tecantrop!V296,"AAAAAH/6T5Q=")</f>
        <v>#VALUE!</v>
      </c>
      <c r="ET136" t="e">
        <f>AND(tecantrop!W296,"AAAAAH/6T5U=")</f>
        <v>#VALUE!</v>
      </c>
      <c r="EU136" t="e">
        <f>AND(tecantrop!X296,"AAAAAH/6T5Y=")</f>
        <v>#VALUE!</v>
      </c>
      <c r="EV136">
        <f>IF(tecantrop!297:297,"AAAAAH/6T5c=",0)</f>
        <v>0</v>
      </c>
      <c r="EW136" t="e">
        <f>AND(tecantrop!A297,"AAAAAH/6T5g=")</f>
        <v>#VALUE!</v>
      </c>
      <c r="EX136" t="e">
        <f>AND(tecantrop!B297,"AAAAAH/6T5k=")</f>
        <v>#VALUE!</v>
      </c>
      <c r="EY136" t="e">
        <f>AND(tecantrop!C297,"AAAAAH/6T5o=")</f>
        <v>#VALUE!</v>
      </c>
      <c r="EZ136" t="e">
        <f>AND(tecantrop!D297,"AAAAAH/6T5s=")</f>
        <v>#VALUE!</v>
      </c>
      <c r="FA136" t="e">
        <f>AND(tecantrop!E297,"AAAAAH/6T5w=")</f>
        <v>#VALUE!</v>
      </c>
      <c r="FB136" t="e">
        <f>AND(tecantrop!F297,"AAAAAH/6T50=")</f>
        <v>#VALUE!</v>
      </c>
      <c r="FC136" t="e">
        <f>AND(tecantrop!G297,"AAAAAH/6T54=")</f>
        <v>#VALUE!</v>
      </c>
      <c r="FD136" t="e">
        <f>AND(tecantrop!H297,"AAAAAH/6T58=")</f>
        <v>#VALUE!</v>
      </c>
      <c r="FE136" t="e">
        <f>AND(tecantrop!I297,"AAAAAH/6T6A=")</f>
        <v>#VALUE!</v>
      </c>
      <c r="FF136" t="e">
        <f>AND(tecantrop!J297,"AAAAAH/6T6E=")</f>
        <v>#VALUE!</v>
      </c>
      <c r="FG136" t="e">
        <f>AND(tecantrop!K297,"AAAAAH/6T6I=")</f>
        <v>#VALUE!</v>
      </c>
      <c r="FH136" t="e">
        <f>AND(tecantrop!L297,"AAAAAH/6T6M=")</f>
        <v>#VALUE!</v>
      </c>
      <c r="FI136" t="e">
        <f>AND(tecantrop!M297,"AAAAAH/6T6Q=")</f>
        <v>#VALUE!</v>
      </c>
      <c r="FJ136" t="e">
        <f>AND(tecantrop!N297,"AAAAAH/6T6U=")</f>
        <v>#VALUE!</v>
      </c>
      <c r="FK136" t="e">
        <f>AND(tecantrop!O297,"AAAAAH/6T6Y=")</f>
        <v>#VALUE!</v>
      </c>
      <c r="FL136" t="e">
        <f>AND(tecantrop!P297,"AAAAAH/6T6c=")</f>
        <v>#VALUE!</v>
      </c>
      <c r="FM136" t="e">
        <f>AND(tecantrop!Q297,"AAAAAH/6T6g=")</f>
        <v>#VALUE!</v>
      </c>
      <c r="FN136" t="e">
        <f>AND(tecantrop!R297,"AAAAAH/6T6k=")</f>
        <v>#VALUE!</v>
      </c>
      <c r="FO136" t="e">
        <f>AND(tecantrop!S297,"AAAAAH/6T6o=")</f>
        <v>#VALUE!</v>
      </c>
      <c r="FP136" t="e">
        <f>AND(tecantrop!T297,"AAAAAH/6T6s=")</f>
        <v>#VALUE!</v>
      </c>
      <c r="FQ136" t="e">
        <f>AND(tecantrop!U297,"AAAAAH/6T6w=")</f>
        <v>#VALUE!</v>
      </c>
      <c r="FR136" t="e">
        <f>AND(tecantrop!V297,"AAAAAH/6T60=")</f>
        <v>#VALUE!</v>
      </c>
      <c r="FS136" t="e">
        <f>AND(tecantrop!W297,"AAAAAH/6T64=")</f>
        <v>#VALUE!</v>
      </c>
      <c r="FT136" t="e">
        <f>AND(tecantrop!X297,"AAAAAH/6T68=")</f>
        <v>#VALUE!</v>
      </c>
      <c r="FU136">
        <f>IF(tecantrop!298:298,"AAAAAH/6T7A=",0)</f>
        <v>0</v>
      </c>
      <c r="FV136" t="e">
        <f>AND(tecantrop!A298,"AAAAAH/6T7E=")</f>
        <v>#VALUE!</v>
      </c>
      <c r="FW136" t="e">
        <f>AND(tecantrop!B298,"AAAAAH/6T7I=")</f>
        <v>#VALUE!</v>
      </c>
      <c r="FX136" t="e">
        <f>AND(tecantrop!C298,"AAAAAH/6T7M=")</f>
        <v>#VALUE!</v>
      </c>
      <c r="FY136" t="e">
        <f>AND(tecantrop!D298,"AAAAAH/6T7Q=")</f>
        <v>#VALUE!</v>
      </c>
      <c r="FZ136" t="e">
        <f>AND(tecantrop!E298,"AAAAAH/6T7U=")</f>
        <v>#VALUE!</v>
      </c>
      <c r="GA136" t="e">
        <f>AND(tecantrop!F298,"AAAAAH/6T7Y=")</f>
        <v>#VALUE!</v>
      </c>
      <c r="GB136" t="e">
        <f>AND(tecantrop!G298,"AAAAAH/6T7c=")</f>
        <v>#VALUE!</v>
      </c>
      <c r="GC136" t="e">
        <f>AND(tecantrop!H298,"AAAAAH/6T7g=")</f>
        <v>#VALUE!</v>
      </c>
      <c r="GD136" t="e">
        <f>AND(tecantrop!I298,"AAAAAH/6T7k=")</f>
        <v>#VALUE!</v>
      </c>
      <c r="GE136" t="e">
        <f>AND(tecantrop!J298,"AAAAAH/6T7o=")</f>
        <v>#VALUE!</v>
      </c>
      <c r="GF136" t="e">
        <f>AND(tecantrop!K298,"AAAAAH/6T7s=")</f>
        <v>#VALUE!</v>
      </c>
      <c r="GG136" t="e">
        <f>AND(tecantrop!L298,"AAAAAH/6T7w=")</f>
        <v>#VALUE!</v>
      </c>
      <c r="GH136" t="e">
        <f>AND(tecantrop!M298,"AAAAAH/6T70=")</f>
        <v>#VALUE!</v>
      </c>
      <c r="GI136" t="e">
        <f>AND(tecantrop!N298,"AAAAAH/6T74=")</f>
        <v>#VALUE!</v>
      </c>
      <c r="GJ136" t="e">
        <f>AND(tecantrop!O298,"AAAAAH/6T78=")</f>
        <v>#VALUE!</v>
      </c>
      <c r="GK136" t="e">
        <f>AND(tecantrop!P298,"AAAAAH/6T8A=")</f>
        <v>#VALUE!</v>
      </c>
      <c r="GL136" t="e">
        <f>AND(tecantrop!Q298,"AAAAAH/6T8E=")</f>
        <v>#VALUE!</v>
      </c>
      <c r="GM136" t="e">
        <f>AND(tecantrop!R298,"AAAAAH/6T8I=")</f>
        <v>#VALUE!</v>
      </c>
      <c r="GN136" t="e">
        <f>AND(tecantrop!S298,"AAAAAH/6T8M=")</f>
        <v>#VALUE!</v>
      </c>
      <c r="GO136" t="e">
        <f>AND(tecantrop!T298,"AAAAAH/6T8Q=")</f>
        <v>#VALUE!</v>
      </c>
      <c r="GP136" t="e">
        <f>AND(tecantrop!U298,"AAAAAH/6T8U=")</f>
        <v>#VALUE!</v>
      </c>
      <c r="GQ136" t="e">
        <f>AND(tecantrop!V298,"AAAAAH/6T8Y=")</f>
        <v>#VALUE!</v>
      </c>
      <c r="GR136" t="e">
        <f>AND(tecantrop!W298,"AAAAAH/6T8c=")</f>
        <v>#VALUE!</v>
      </c>
      <c r="GS136" t="e">
        <f>AND(tecantrop!X298,"AAAAAH/6T8g=")</f>
        <v>#VALUE!</v>
      </c>
      <c r="GT136">
        <f>IF(tecantrop!299:299,"AAAAAH/6T8k=",0)</f>
        <v>0</v>
      </c>
      <c r="GU136" t="e">
        <f>AND(tecantrop!A299,"AAAAAH/6T8o=")</f>
        <v>#VALUE!</v>
      </c>
      <c r="GV136" t="e">
        <f>AND(tecantrop!B299,"AAAAAH/6T8s=")</f>
        <v>#VALUE!</v>
      </c>
      <c r="GW136" t="e">
        <f>AND(tecantrop!C299,"AAAAAH/6T8w=")</f>
        <v>#VALUE!</v>
      </c>
      <c r="GX136" t="e">
        <f>AND(tecantrop!D299,"AAAAAH/6T80=")</f>
        <v>#VALUE!</v>
      </c>
      <c r="GY136" t="e">
        <f>AND(tecantrop!E299,"AAAAAH/6T84=")</f>
        <v>#VALUE!</v>
      </c>
      <c r="GZ136" t="e">
        <f>AND(tecantrop!F299,"AAAAAH/6T88=")</f>
        <v>#VALUE!</v>
      </c>
      <c r="HA136" t="e">
        <f>AND(tecantrop!G299,"AAAAAH/6T9A=")</f>
        <v>#VALUE!</v>
      </c>
      <c r="HB136" t="e">
        <f>AND(tecantrop!H299,"AAAAAH/6T9E=")</f>
        <v>#VALUE!</v>
      </c>
      <c r="HC136" t="e">
        <f>AND(tecantrop!I299,"AAAAAH/6T9I=")</f>
        <v>#VALUE!</v>
      </c>
      <c r="HD136" t="e">
        <f>AND(tecantrop!J299,"AAAAAH/6T9M=")</f>
        <v>#VALUE!</v>
      </c>
      <c r="HE136" t="e">
        <f>AND(tecantrop!K299,"AAAAAH/6T9Q=")</f>
        <v>#VALUE!</v>
      </c>
      <c r="HF136" t="e">
        <f>AND(tecantrop!L299,"AAAAAH/6T9U=")</f>
        <v>#VALUE!</v>
      </c>
      <c r="HG136" t="e">
        <f>AND(tecantrop!M299,"AAAAAH/6T9Y=")</f>
        <v>#VALUE!</v>
      </c>
      <c r="HH136" t="e">
        <f>AND(tecantrop!N299,"AAAAAH/6T9c=")</f>
        <v>#VALUE!</v>
      </c>
      <c r="HI136" t="e">
        <f>AND(tecantrop!O299,"AAAAAH/6T9g=")</f>
        <v>#VALUE!</v>
      </c>
      <c r="HJ136" t="e">
        <f>AND(tecantrop!P299,"AAAAAH/6T9k=")</f>
        <v>#VALUE!</v>
      </c>
      <c r="HK136" t="e">
        <f>AND(tecantrop!Q299,"AAAAAH/6T9o=")</f>
        <v>#VALUE!</v>
      </c>
      <c r="HL136" t="e">
        <f>AND(tecantrop!R299,"AAAAAH/6T9s=")</f>
        <v>#VALUE!</v>
      </c>
      <c r="HM136" t="e">
        <f>AND(tecantrop!S299,"AAAAAH/6T9w=")</f>
        <v>#VALUE!</v>
      </c>
      <c r="HN136" t="e">
        <f>AND(tecantrop!T299,"AAAAAH/6T90=")</f>
        <v>#VALUE!</v>
      </c>
      <c r="HO136" t="e">
        <f>AND(tecantrop!U299,"AAAAAH/6T94=")</f>
        <v>#VALUE!</v>
      </c>
      <c r="HP136" t="e">
        <f>AND(tecantrop!V299,"AAAAAH/6T98=")</f>
        <v>#VALUE!</v>
      </c>
      <c r="HQ136" t="e">
        <f>AND(tecantrop!W299,"AAAAAH/6T+A=")</f>
        <v>#VALUE!</v>
      </c>
      <c r="HR136" t="e">
        <f>AND(tecantrop!X299,"AAAAAH/6T+E=")</f>
        <v>#VALUE!</v>
      </c>
      <c r="HS136">
        <f>IF(tecantrop!300:300,"AAAAAH/6T+I=",0)</f>
        <v>0</v>
      </c>
      <c r="HT136" t="e">
        <f>AND(tecantrop!A300,"AAAAAH/6T+M=")</f>
        <v>#VALUE!</v>
      </c>
      <c r="HU136" t="e">
        <f>AND(tecantrop!B300,"AAAAAH/6T+Q=")</f>
        <v>#VALUE!</v>
      </c>
      <c r="HV136" t="e">
        <f>AND(tecantrop!C300,"AAAAAH/6T+U=")</f>
        <v>#VALUE!</v>
      </c>
      <c r="HW136" t="e">
        <f>AND(tecantrop!D300,"AAAAAH/6T+Y=")</f>
        <v>#VALUE!</v>
      </c>
      <c r="HX136" t="e">
        <f>AND(tecantrop!E300,"AAAAAH/6T+c=")</f>
        <v>#VALUE!</v>
      </c>
      <c r="HY136" t="e">
        <f>AND(tecantrop!F300,"AAAAAH/6T+g=")</f>
        <v>#VALUE!</v>
      </c>
      <c r="HZ136" t="e">
        <f>AND(tecantrop!G300,"AAAAAH/6T+k=")</f>
        <v>#VALUE!</v>
      </c>
      <c r="IA136" t="e">
        <f>AND(tecantrop!H300,"AAAAAH/6T+o=")</f>
        <v>#VALUE!</v>
      </c>
      <c r="IB136" t="e">
        <f>AND(tecantrop!I300,"AAAAAH/6T+s=")</f>
        <v>#VALUE!</v>
      </c>
      <c r="IC136" t="e">
        <f>AND(tecantrop!J300,"AAAAAH/6T+w=")</f>
        <v>#VALUE!</v>
      </c>
      <c r="ID136" t="e">
        <f>AND(tecantrop!K300,"AAAAAH/6T+0=")</f>
        <v>#VALUE!</v>
      </c>
      <c r="IE136" t="e">
        <f>AND(tecantrop!L300,"AAAAAH/6T+4=")</f>
        <v>#VALUE!</v>
      </c>
      <c r="IF136" t="e">
        <f>AND(tecantrop!M300,"AAAAAH/6T+8=")</f>
        <v>#VALUE!</v>
      </c>
      <c r="IG136" t="e">
        <f>AND(tecantrop!N300,"AAAAAH/6T/A=")</f>
        <v>#VALUE!</v>
      </c>
      <c r="IH136" t="e">
        <f>AND(tecantrop!O300,"AAAAAH/6T/E=")</f>
        <v>#VALUE!</v>
      </c>
      <c r="II136" t="e">
        <f>AND(tecantrop!P300,"AAAAAH/6T/I=")</f>
        <v>#VALUE!</v>
      </c>
      <c r="IJ136" t="e">
        <f>AND(tecantrop!Q300,"AAAAAH/6T/M=")</f>
        <v>#VALUE!</v>
      </c>
      <c r="IK136" t="e">
        <f>AND(tecantrop!R300,"AAAAAH/6T/Q=")</f>
        <v>#VALUE!</v>
      </c>
      <c r="IL136" t="e">
        <f>AND(tecantrop!S300,"AAAAAH/6T/U=")</f>
        <v>#VALUE!</v>
      </c>
      <c r="IM136" t="e">
        <f>AND(tecantrop!T300,"AAAAAH/6T/Y=")</f>
        <v>#VALUE!</v>
      </c>
      <c r="IN136" t="e">
        <f>AND(tecantrop!U300,"AAAAAH/6T/c=")</f>
        <v>#VALUE!</v>
      </c>
      <c r="IO136" t="e">
        <f>AND(tecantrop!V300,"AAAAAH/6T/g=")</f>
        <v>#VALUE!</v>
      </c>
      <c r="IP136" t="e">
        <f>AND(tecantrop!W300,"AAAAAH/6T/k=")</f>
        <v>#VALUE!</v>
      </c>
      <c r="IQ136" t="e">
        <f>AND(tecantrop!X300,"AAAAAH/6T/o=")</f>
        <v>#VALUE!</v>
      </c>
      <c r="IR136">
        <f>IF(tecantrop!301:301,"AAAAAH/6T/s=",0)</f>
        <v>0</v>
      </c>
      <c r="IS136" t="e">
        <f>AND(tecantrop!A301,"AAAAAH/6T/w=")</f>
        <v>#VALUE!</v>
      </c>
      <c r="IT136" t="e">
        <f>AND(tecantrop!B301,"AAAAAH/6T/0=")</f>
        <v>#VALUE!</v>
      </c>
      <c r="IU136" t="e">
        <f>AND(tecantrop!C301,"AAAAAH/6T/4=")</f>
        <v>#VALUE!</v>
      </c>
      <c r="IV136" t="e">
        <f>AND(tecantrop!D301,"AAAAAH/6T/8=")</f>
        <v>#VALUE!</v>
      </c>
    </row>
    <row r="137" spans="1:256" x14ac:dyDescent="0.2">
      <c r="A137" t="e">
        <f>AND(tecantrop!E301,"AAAAAFfPfQA=")</f>
        <v>#VALUE!</v>
      </c>
      <c r="B137" t="e">
        <f>AND(tecantrop!F301,"AAAAAFfPfQE=")</f>
        <v>#VALUE!</v>
      </c>
      <c r="C137" t="e">
        <f>AND(tecantrop!G301,"AAAAAFfPfQI=")</f>
        <v>#VALUE!</v>
      </c>
      <c r="D137" t="e">
        <f>AND(tecantrop!H301,"AAAAAFfPfQM=")</f>
        <v>#VALUE!</v>
      </c>
      <c r="E137" t="e">
        <f>AND(tecantrop!I301,"AAAAAFfPfQQ=")</f>
        <v>#VALUE!</v>
      </c>
      <c r="F137" t="e">
        <f>AND(tecantrop!J301,"AAAAAFfPfQU=")</f>
        <v>#VALUE!</v>
      </c>
      <c r="G137" t="e">
        <f>AND(tecantrop!K301,"AAAAAFfPfQY=")</f>
        <v>#VALUE!</v>
      </c>
      <c r="H137" t="e">
        <f>AND(tecantrop!L301,"AAAAAFfPfQc=")</f>
        <v>#VALUE!</v>
      </c>
      <c r="I137" t="e">
        <f>AND(tecantrop!M301,"AAAAAFfPfQg=")</f>
        <v>#VALUE!</v>
      </c>
      <c r="J137" t="e">
        <f>AND(tecantrop!N301,"AAAAAFfPfQk=")</f>
        <v>#VALUE!</v>
      </c>
      <c r="K137" t="e">
        <f>AND(tecantrop!O301,"AAAAAFfPfQo=")</f>
        <v>#VALUE!</v>
      </c>
      <c r="L137" t="e">
        <f>AND(tecantrop!P301,"AAAAAFfPfQs=")</f>
        <v>#VALUE!</v>
      </c>
      <c r="M137" t="e">
        <f>AND(tecantrop!Q301,"AAAAAFfPfQw=")</f>
        <v>#VALUE!</v>
      </c>
      <c r="N137" t="e">
        <f>AND(tecantrop!R301,"AAAAAFfPfQ0=")</f>
        <v>#VALUE!</v>
      </c>
      <c r="O137" t="e">
        <f>AND(tecantrop!S301,"AAAAAFfPfQ4=")</f>
        <v>#VALUE!</v>
      </c>
      <c r="P137" t="e">
        <f>AND(tecantrop!T301,"AAAAAFfPfQ8=")</f>
        <v>#VALUE!</v>
      </c>
      <c r="Q137" t="e">
        <f>AND(tecantrop!U301,"AAAAAFfPfRA=")</f>
        <v>#VALUE!</v>
      </c>
      <c r="R137" t="e">
        <f>AND(tecantrop!V301,"AAAAAFfPfRE=")</f>
        <v>#VALUE!</v>
      </c>
      <c r="S137" t="e">
        <f>AND(tecantrop!W301,"AAAAAFfPfRI=")</f>
        <v>#VALUE!</v>
      </c>
      <c r="T137" t="e">
        <f>AND(tecantrop!X301,"AAAAAFfPfRM=")</f>
        <v>#VALUE!</v>
      </c>
      <c r="U137">
        <f>IF(tecantrop!302:302,"AAAAAFfPfRQ=",0)</f>
        <v>0</v>
      </c>
      <c r="V137" t="e">
        <f>AND(tecantrop!A302,"AAAAAFfPfRU=")</f>
        <v>#VALUE!</v>
      </c>
      <c r="W137" t="e">
        <f>AND(tecantrop!B302,"AAAAAFfPfRY=")</f>
        <v>#VALUE!</v>
      </c>
      <c r="X137" t="e">
        <f>AND(tecantrop!C302,"AAAAAFfPfRc=")</f>
        <v>#VALUE!</v>
      </c>
      <c r="Y137" t="e">
        <f>AND(tecantrop!D302,"AAAAAFfPfRg=")</f>
        <v>#VALUE!</v>
      </c>
      <c r="Z137" t="e">
        <f>AND(tecantrop!E302,"AAAAAFfPfRk=")</f>
        <v>#VALUE!</v>
      </c>
      <c r="AA137" t="e">
        <f>AND(tecantrop!F302,"AAAAAFfPfRo=")</f>
        <v>#VALUE!</v>
      </c>
      <c r="AB137" t="e">
        <f>AND(tecantrop!G302,"AAAAAFfPfRs=")</f>
        <v>#VALUE!</v>
      </c>
      <c r="AC137" t="e">
        <f>AND(tecantrop!H302,"AAAAAFfPfRw=")</f>
        <v>#VALUE!</v>
      </c>
      <c r="AD137" t="e">
        <f>AND(tecantrop!I302,"AAAAAFfPfR0=")</f>
        <v>#VALUE!</v>
      </c>
      <c r="AE137" t="e">
        <f>AND(tecantrop!J302,"AAAAAFfPfR4=")</f>
        <v>#VALUE!</v>
      </c>
      <c r="AF137" t="e">
        <f>AND(tecantrop!K302,"AAAAAFfPfR8=")</f>
        <v>#VALUE!</v>
      </c>
      <c r="AG137" t="e">
        <f>AND(tecantrop!L302,"AAAAAFfPfSA=")</f>
        <v>#VALUE!</v>
      </c>
      <c r="AH137" t="e">
        <f>AND(tecantrop!M302,"AAAAAFfPfSE=")</f>
        <v>#VALUE!</v>
      </c>
      <c r="AI137" t="e">
        <f>AND(tecantrop!N302,"AAAAAFfPfSI=")</f>
        <v>#VALUE!</v>
      </c>
      <c r="AJ137" t="e">
        <f>AND(tecantrop!O302,"AAAAAFfPfSM=")</f>
        <v>#VALUE!</v>
      </c>
      <c r="AK137" t="e">
        <f>AND(tecantrop!P302,"AAAAAFfPfSQ=")</f>
        <v>#VALUE!</v>
      </c>
      <c r="AL137" t="e">
        <f>AND(tecantrop!Q302,"AAAAAFfPfSU=")</f>
        <v>#VALUE!</v>
      </c>
      <c r="AM137" t="e">
        <f>AND(tecantrop!R302,"AAAAAFfPfSY=")</f>
        <v>#VALUE!</v>
      </c>
      <c r="AN137" t="e">
        <f>AND(tecantrop!S302,"AAAAAFfPfSc=")</f>
        <v>#VALUE!</v>
      </c>
      <c r="AO137" t="e">
        <f>AND(tecantrop!T302,"AAAAAFfPfSg=")</f>
        <v>#VALUE!</v>
      </c>
      <c r="AP137" t="e">
        <f>AND(tecantrop!U302,"AAAAAFfPfSk=")</f>
        <v>#VALUE!</v>
      </c>
      <c r="AQ137" t="e">
        <f>AND(tecantrop!V302,"AAAAAFfPfSo=")</f>
        <v>#VALUE!</v>
      </c>
      <c r="AR137" t="e">
        <f>AND(tecantrop!W302,"AAAAAFfPfSs=")</f>
        <v>#VALUE!</v>
      </c>
      <c r="AS137" t="e">
        <f>AND(tecantrop!X302,"AAAAAFfPfSw=")</f>
        <v>#VALUE!</v>
      </c>
      <c r="AT137">
        <f>IF(tecantrop!303:303,"AAAAAFfPfS0=",0)</f>
        <v>0</v>
      </c>
      <c r="AU137" t="e">
        <f>AND(tecantrop!A303,"AAAAAFfPfS4=")</f>
        <v>#VALUE!</v>
      </c>
      <c r="AV137" t="e">
        <f>AND(tecantrop!B303,"AAAAAFfPfS8=")</f>
        <v>#VALUE!</v>
      </c>
      <c r="AW137" t="e">
        <f>AND(tecantrop!C303,"AAAAAFfPfTA=")</f>
        <v>#VALUE!</v>
      </c>
      <c r="AX137" t="e">
        <f>AND(tecantrop!D303,"AAAAAFfPfTE=")</f>
        <v>#VALUE!</v>
      </c>
      <c r="AY137" t="e">
        <f>AND(tecantrop!E303,"AAAAAFfPfTI=")</f>
        <v>#VALUE!</v>
      </c>
      <c r="AZ137" t="e">
        <f>AND(tecantrop!F303,"AAAAAFfPfTM=")</f>
        <v>#VALUE!</v>
      </c>
      <c r="BA137" t="e">
        <f>AND(tecantrop!G303,"AAAAAFfPfTQ=")</f>
        <v>#VALUE!</v>
      </c>
      <c r="BB137" t="e">
        <f>AND(tecantrop!H303,"AAAAAFfPfTU=")</f>
        <v>#VALUE!</v>
      </c>
      <c r="BC137" t="e">
        <f>AND(tecantrop!I303,"AAAAAFfPfTY=")</f>
        <v>#VALUE!</v>
      </c>
      <c r="BD137" t="e">
        <f>AND(tecantrop!J303,"AAAAAFfPfTc=")</f>
        <v>#VALUE!</v>
      </c>
      <c r="BE137" t="e">
        <f>AND(tecantrop!K303,"AAAAAFfPfTg=")</f>
        <v>#VALUE!</v>
      </c>
      <c r="BF137" t="e">
        <f>AND(tecantrop!L303,"AAAAAFfPfTk=")</f>
        <v>#VALUE!</v>
      </c>
      <c r="BG137" t="e">
        <f>AND(tecantrop!M303,"AAAAAFfPfTo=")</f>
        <v>#VALUE!</v>
      </c>
      <c r="BH137" t="e">
        <f>AND(tecantrop!N303,"AAAAAFfPfTs=")</f>
        <v>#VALUE!</v>
      </c>
      <c r="BI137" t="e">
        <f>AND(tecantrop!O303,"AAAAAFfPfTw=")</f>
        <v>#VALUE!</v>
      </c>
      <c r="BJ137" t="e">
        <f>AND(tecantrop!P303,"AAAAAFfPfT0=")</f>
        <v>#VALUE!</v>
      </c>
      <c r="BK137" t="e">
        <f>AND(tecantrop!Q303,"AAAAAFfPfT4=")</f>
        <v>#VALUE!</v>
      </c>
      <c r="BL137" t="e">
        <f>AND(tecantrop!R303,"AAAAAFfPfT8=")</f>
        <v>#VALUE!</v>
      </c>
      <c r="BM137" t="e">
        <f>AND(tecantrop!S303,"AAAAAFfPfUA=")</f>
        <v>#VALUE!</v>
      </c>
      <c r="BN137" t="e">
        <f>AND(tecantrop!T303,"AAAAAFfPfUE=")</f>
        <v>#VALUE!</v>
      </c>
      <c r="BO137" t="e">
        <f>AND(tecantrop!U303,"AAAAAFfPfUI=")</f>
        <v>#VALUE!</v>
      </c>
      <c r="BP137" t="e">
        <f>AND(tecantrop!V303,"AAAAAFfPfUM=")</f>
        <v>#VALUE!</v>
      </c>
      <c r="BQ137" t="e">
        <f>AND(tecantrop!W303,"AAAAAFfPfUQ=")</f>
        <v>#VALUE!</v>
      </c>
      <c r="BR137" t="e">
        <f>AND(tecantrop!X303,"AAAAAFfPfUU=")</f>
        <v>#VALUE!</v>
      </c>
      <c r="BS137">
        <f>IF(tecantrop!304:304,"AAAAAFfPfUY=",0)</f>
        <v>0</v>
      </c>
      <c r="BT137" t="e">
        <f>AND(tecantrop!A304,"AAAAAFfPfUc=")</f>
        <v>#VALUE!</v>
      </c>
      <c r="BU137" t="e">
        <f>AND(tecantrop!B304,"AAAAAFfPfUg=")</f>
        <v>#VALUE!</v>
      </c>
      <c r="BV137" t="e">
        <f>AND(tecantrop!C304,"AAAAAFfPfUk=")</f>
        <v>#VALUE!</v>
      </c>
      <c r="BW137" t="e">
        <f>AND(tecantrop!D304,"AAAAAFfPfUo=")</f>
        <v>#VALUE!</v>
      </c>
      <c r="BX137" t="e">
        <f>AND(tecantrop!E304,"AAAAAFfPfUs=")</f>
        <v>#VALUE!</v>
      </c>
      <c r="BY137" t="e">
        <f>AND(tecantrop!F304,"AAAAAFfPfUw=")</f>
        <v>#VALUE!</v>
      </c>
      <c r="BZ137" t="e">
        <f>AND(tecantrop!G304,"AAAAAFfPfU0=")</f>
        <v>#VALUE!</v>
      </c>
      <c r="CA137" t="e">
        <f>AND(tecantrop!H304,"AAAAAFfPfU4=")</f>
        <v>#VALUE!</v>
      </c>
      <c r="CB137" t="e">
        <f>AND(tecantrop!I304,"AAAAAFfPfU8=")</f>
        <v>#VALUE!</v>
      </c>
      <c r="CC137" t="e">
        <f>AND(tecantrop!J304,"AAAAAFfPfVA=")</f>
        <v>#VALUE!</v>
      </c>
      <c r="CD137" t="e">
        <f>AND(tecantrop!K304,"AAAAAFfPfVE=")</f>
        <v>#VALUE!</v>
      </c>
      <c r="CE137" t="e">
        <f>AND(tecantrop!L304,"AAAAAFfPfVI=")</f>
        <v>#VALUE!</v>
      </c>
      <c r="CF137" t="e">
        <f>AND(tecantrop!M304,"AAAAAFfPfVM=")</f>
        <v>#VALUE!</v>
      </c>
      <c r="CG137" t="e">
        <f>AND(tecantrop!N304,"AAAAAFfPfVQ=")</f>
        <v>#VALUE!</v>
      </c>
      <c r="CH137" t="e">
        <f>AND(tecantrop!O304,"AAAAAFfPfVU=")</f>
        <v>#VALUE!</v>
      </c>
      <c r="CI137" t="e">
        <f>AND(tecantrop!P304,"AAAAAFfPfVY=")</f>
        <v>#VALUE!</v>
      </c>
      <c r="CJ137" t="e">
        <f>AND(tecantrop!Q304,"AAAAAFfPfVc=")</f>
        <v>#VALUE!</v>
      </c>
      <c r="CK137" t="e">
        <f>AND(tecantrop!R304,"AAAAAFfPfVg=")</f>
        <v>#VALUE!</v>
      </c>
      <c r="CL137" t="e">
        <f>AND(tecantrop!S304,"AAAAAFfPfVk=")</f>
        <v>#VALUE!</v>
      </c>
      <c r="CM137" t="e">
        <f>AND(tecantrop!T304,"AAAAAFfPfVo=")</f>
        <v>#VALUE!</v>
      </c>
      <c r="CN137" t="e">
        <f>AND(tecantrop!U304,"AAAAAFfPfVs=")</f>
        <v>#VALUE!</v>
      </c>
      <c r="CO137" t="e">
        <f>AND(tecantrop!V304,"AAAAAFfPfVw=")</f>
        <v>#VALUE!</v>
      </c>
      <c r="CP137" t="e">
        <f>AND(tecantrop!W304,"AAAAAFfPfV0=")</f>
        <v>#VALUE!</v>
      </c>
      <c r="CQ137" t="e">
        <f>AND(tecantrop!X304,"AAAAAFfPfV4=")</f>
        <v>#VALUE!</v>
      </c>
      <c r="CR137">
        <f>IF(tecantrop!305:305,"AAAAAFfPfV8=",0)</f>
        <v>0</v>
      </c>
      <c r="CS137" t="e">
        <f>AND(tecantrop!A305,"AAAAAFfPfWA=")</f>
        <v>#VALUE!</v>
      </c>
      <c r="CT137" t="e">
        <f>AND(tecantrop!B305,"AAAAAFfPfWE=")</f>
        <v>#VALUE!</v>
      </c>
      <c r="CU137" t="e">
        <f>AND(tecantrop!C305,"AAAAAFfPfWI=")</f>
        <v>#VALUE!</v>
      </c>
      <c r="CV137" t="e">
        <f>AND(tecantrop!D305,"AAAAAFfPfWM=")</f>
        <v>#VALUE!</v>
      </c>
      <c r="CW137" t="e">
        <f>AND(tecantrop!E305,"AAAAAFfPfWQ=")</f>
        <v>#VALUE!</v>
      </c>
      <c r="CX137" t="e">
        <f>AND(tecantrop!F305,"AAAAAFfPfWU=")</f>
        <v>#VALUE!</v>
      </c>
      <c r="CY137" t="e">
        <f>AND(tecantrop!G305,"AAAAAFfPfWY=")</f>
        <v>#VALUE!</v>
      </c>
      <c r="CZ137" t="e">
        <f>AND(tecantrop!H305,"AAAAAFfPfWc=")</f>
        <v>#VALUE!</v>
      </c>
      <c r="DA137" t="e">
        <f>AND(tecantrop!I305,"AAAAAFfPfWg=")</f>
        <v>#VALUE!</v>
      </c>
      <c r="DB137" t="e">
        <f>AND(tecantrop!J305,"AAAAAFfPfWk=")</f>
        <v>#VALUE!</v>
      </c>
      <c r="DC137" t="e">
        <f>AND(tecantrop!K305,"AAAAAFfPfWo=")</f>
        <v>#VALUE!</v>
      </c>
      <c r="DD137" t="e">
        <f>AND(tecantrop!L305,"AAAAAFfPfWs=")</f>
        <v>#VALUE!</v>
      </c>
      <c r="DE137" t="e">
        <f>AND(tecantrop!M305,"AAAAAFfPfWw=")</f>
        <v>#VALUE!</v>
      </c>
      <c r="DF137" t="e">
        <f>AND(tecantrop!N305,"AAAAAFfPfW0=")</f>
        <v>#VALUE!</v>
      </c>
      <c r="DG137" t="e">
        <f>AND(tecantrop!O305,"AAAAAFfPfW4=")</f>
        <v>#VALUE!</v>
      </c>
      <c r="DH137" t="e">
        <f>AND(tecantrop!P305,"AAAAAFfPfW8=")</f>
        <v>#VALUE!</v>
      </c>
      <c r="DI137" t="e">
        <f>AND(tecantrop!Q305,"AAAAAFfPfXA=")</f>
        <v>#VALUE!</v>
      </c>
      <c r="DJ137" t="e">
        <f>AND(tecantrop!R305,"AAAAAFfPfXE=")</f>
        <v>#VALUE!</v>
      </c>
      <c r="DK137" t="e">
        <f>AND(tecantrop!S305,"AAAAAFfPfXI=")</f>
        <v>#VALUE!</v>
      </c>
      <c r="DL137" t="e">
        <f>AND(tecantrop!T305,"AAAAAFfPfXM=")</f>
        <v>#VALUE!</v>
      </c>
      <c r="DM137" t="e">
        <f>AND(tecantrop!U305,"AAAAAFfPfXQ=")</f>
        <v>#VALUE!</v>
      </c>
      <c r="DN137" t="e">
        <f>AND(tecantrop!V305,"AAAAAFfPfXU=")</f>
        <v>#VALUE!</v>
      </c>
      <c r="DO137" t="e">
        <f>AND(tecantrop!W305,"AAAAAFfPfXY=")</f>
        <v>#VALUE!</v>
      </c>
      <c r="DP137" t="e">
        <f>AND(tecantrop!X305,"AAAAAFfPfXc=")</f>
        <v>#VALUE!</v>
      </c>
      <c r="DQ137">
        <f>IF(tecantrop!306:306,"AAAAAFfPfXg=",0)</f>
        <v>0</v>
      </c>
      <c r="DR137" t="e">
        <f>AND(tecantrop!A306,"AAAAAFfPfXk=")</f>
        <v>#VALUE!</v>
      </c>
      <c r="DS137" t="e">
        <f>AND(tecantrop!B306,"AAAAAFfPfXo=")</f>
        <v>#VALUE!</v>
      </c>
      <c r="DT137" t="e">
        <f>AND(tecantrop!C306,"AAAAAFfPfXs=")</f>
        <v>#VALUE!</v>
      </c>
      <c r="DU137" t="e">
        <f>AND(tecantrop!D306,"AAAAAFfPfXw=")</f>
        <v>#VALUE!</v>
      </c>
      <c r="DV137" t="e">
        <f>AND(tecantrop!E306,"AAAAAFfPfX0=")</f>
        <v>#VALUE!</v>
      </c>
      <c r="DW137" t="e">
        <f>AND(tecantrop!F306,"AAAAAFfPfX4=")</f>
        <v>#VALUE!</v>
      </c>
      <c r="DX137" t="e">
        <f>AND(tecantrop!G306,"AAAAAFfPfX8=")</f>
        <v>#VALUE!</v>
      </c>
      <c r="DY137" t="e">
        <f>AND(tecantrop!H306,"AAAAAFfPfYA=")</f>
        <v>#VALUE!</v>
      </c>
      <c r="DZ137" t="e">
        <f>AND(tecantrop!I306,"AAAAAFfPfYE=")</f>
        <v>#VALUE!</v>
      </c>
      <c r="EA137" t="e">
        <f>AND(tecantrop!J306,"AAAAAFfPfYI=")</f>
        <v>#VALUE!</v>
      </c>
      <c r="EB137" t="e">
        <f>AND(tecantrop!K306,"AAAAAFfPfYM=")</f>
        <v>#VALUE!</v>
      </c>
      <c r="EC137" t="e">
        <f>AND(tecantrop!L306,"AAAAAFfPfYQ=")</f>
        <v>#VALUE!</v>
      </c>
      <c r="ED137" t="e">
        <f>AND(tecantrop!M306,"AAAAAFfPfYU=")</f>
        <v>#VALUE!</v>
      </c>
      <c r="EE137" t="e">
        <f>AND(tecantrop!N306,"AAAAAFfPfYY=")</f>
        <v>#VALUE!</v>
      </c>
      <c r="EF137" t="e">
        <f>AND(tecantrop!O306,"AAAAAFfPfYc=")</f>
        <v>#VALUE!</v>
      </c>
      <c r="EG137" t="e">
        <f>AND(tecantrop!P306,"AAAAAFfPfYg=")</f>
        <v>#VALUE!</v>
      </c>
      <c r="EH137" t="e">
        <f>AND(tecantrop!Q306,"AAAAAFfPfYk=")</f>
        <v>#VALUE!</v>
      </c>
      <c r="EI137" t="e">
        <f>AND(tecantrop!R306,"AAAAAFfPfYo=")</f>
        <v>#VALUE!</v>
      </c>
      <c r="EJ137" t="e">
        <f>AND(tecantrop!S306,"AAAAAFfPfYs=")</f>
        <v>#VALUE!</v>
      </c>
      <c r="EK137" t="e">
        <f>AND(tecantrop!T306,"AAAAAFfPfYw=")</f>
        <v>#VALUE!</v>
      </c>
      <c r="EL137" t="e">
        <f>AND(tecantrop!U306,"AAAAAFfPfY0=")</f>
        <v>#VALUE!</v>
      </c>
      <c r="EM137" t="e">
        <f>AND(tecantrop!V306,"AAAAAFfPfY4=")</f>
        <v>#VALUE!</v>
      </c>
      <c r="EN137" t="e">
        <f>AND(tecantrop!W306,"AAAAAFfPfY8=")</f>
        <v>#VALUE!</v>
      </c>
      <c r="EO137" t="e">
        <f>AND(tecantrop!X306,"AAAAAFfPfZA=")</f>
        <v>#VALUE!</v>
      </c>
      <c r="EP137">
        <f>IF(tecantrop!307:307,"AAAAAFfPfZE=",0)</f>
        <v>0</v>
      </c>
      <c r="EQ137" t="e">
        <f>AND(tecantrop!A307,"AAAAAFfPfZI=")</f>
        <v>#VALUE!</v>
      </c>
      <c r="ER137" t="e">
        <f>AND(tecantrop!B307,"AAAAAFfPfZM=")</f>
        <v>#VALUE!</v>
      </c>
      <c r="ES137" t="e">
        <f>AND(tecantrop!C307,"AAAAAFfPfZQ=")</f>
        <v>#VALUE!</v>
      </c>
      <c r="ET137" t="e">
        <f>AND(tecantrop!D307,"AAAAAFfPfZU=")</f>
        <v>#VALUE!</v>
      </c>
      <c r="EU137" t="e">
        <f>AND(tecantrop!E307,"AAAAAFfPfZY=")</f>
        <v>#VALUE!</v>
      </c>
      <c r="EV137" t="e">
        <f>AND(tecantrop!F307,"AAAAAFfPfZc=")</f>
        <v>#VALUE!</v>
      </c>
      <c r="EW137" t="e">
        <f>AND(tecantrop!G307,"AAAAAFfPfZg=")</f>
        <v>#VALUE!</v>
      </c>
      <c r="EX137" t="e">
        <f>AND(tecantrop!H307,"AAAAAFfPfZk=")</f>
        <v>#VALUE!</v>
      </c>
      <c r="EY137" t="e">
        <f>AND(tecantrop!I307,"AAAAAFfPfZo=")</f>
        <v>#VALUE!</v>
      </c>
      <c r="EZ137" t="e">
        <f>AND(tecantrop!J307,"AAAAAFfPfZs=")</f>
        <v>#VALUE!</v>
      </c>
      <c r="FA137" t="e">
        <f>AND(tecantrop!K307,"AAAAAFfPfZw=")</f>
        <v>#VALUE!</v>
      </c>
      <c r="FB137" t="e">
        <f>AND(tecantrop!L307,"AAAAAFfPfZ0=")</f>
        <v>#VALUE!</v>
      </c>
      <c r="FC137" t="e">
        <f>AND(tecantrop!M307,"AAAAAFfPfZ4=")</f>
        <v>#VALUE!</v>
      </c>
      <c r="FD137" t="e">
        <f>AND(tecantrop!N307,"AAAAAFfPfZ8=")</f>
        <v>#VALUE!</v>
      </c>
      <c r="FE137" t="e">
        <f>AND(tecantrop!O307,"AAAAAFfPfaA=")</f>
        <v>#VALUE!</v>
      </c>
      <c r="FF137" t="e">
        <f>AND(tecantrop!P307,"AAAAAFfPfaE=")</f>
        <v>#VALUE!</v>
      </c>
      <c r="FG137" t="e">
        <f>AND(tecantrop!Q307,"AAAAAFfPfaI=")</f>
        <v>#VALUE!</v>
      </c>
      <c r="FH137" t="e">
        <f>AND(tecantrop!R307,"AAAAAFfPfaM=")</f>
        <v>#VALUE!</v>
      </c>
      <c r="FI137" t="e">
        <f>AND(tecantrop!S307,"AAAAAFfPfaQ=")</f>
        <v>#VALUE!</v>
      </c>
      <c r="FJ137" t="e">
        <f>AND(tecantrop!T307,"AAAAAFfPfaU=")</f>
        <v>#VALUE!</v>
      </c>
      <c r="FK137" t="e">
        <f>AND(tecantrop!U307,"AAAAAFfPfaY=")</f>
        <v>#VALUE!</v>
      </c>
      <c r="FL137" t="e">
        <f>AND(tecantrop!V307,"AAAAAFfPfac=")</f>
        <v>#VALUE!</v>
      </c>
      <c r="FM137" t="e">
        <f>AND(tecantrop!W307,"AAAAAFfPfag=")</f>
        <v>#VALUE!</v>
      </c>
      <c r="FN137" t="e">
        <f>AND(tecantrop!X307,"AAAAAFfPfak=")</f>
        <v>#VALUE!</v>
      </c>
      <c r="FO137">
        <f>IF(tecantrop!308:308,"AAAAAFfPfao=",0)</f>
        <v>0</v>
      </c>
      <c r="FP137" t="e">
        <f>AND(tecantrop!A308,"AAAAAFfPfas=")</f>
        <v>#VALUE!</v>
      </c>
      <c r="FQ137" t="e">
        <f>AND(tecantrop!B308,"AAAAAFfPfaw=")</f>
        <v>#VALUE!</v>
      </c>
      <c r="FR137" t="e">
        <f>AND(tecantrop!C308,"AAAAAFfPfa0=")</f>
        <v>#VALUE!</v>
      </c>
      <c r="FS137" t="e">
        <f>AND(tecantrop!D308,"AAAAAFfPfa4=")</f>
        <v>#VALUE!</v>
      </c>
      <c r="FT137" t="e">
        <f>AND(tecantrop!E308,"AAAAAFfPfa8=")</f>
        <v>#VALUE!</v>
      </c>
      <c r="FU137" t="e">
        <f>AND(tecantrop!F308,"AAAAAFfPfbA=")</f>
        <v>#VALUE!</v>
      </c>
      <c r="FV137" t="e">
        <f>AND(tecantrop!G308,"AAAAAFfPfbE=")</f>
        <v>#VALUE!</v>
      </c>
      <c r="FW137" t="e">
        <f>AND(tecantrop!H308,"AAAAAFfPfbI=")</f>
        <v>#VALUE!</v>
      </c>
      <c r="FX137" t="e">
        <f>AND(tecantrop!I308,"AAAAAFfPfbM=")</f>
        <v>#VALUE!</v>
      </c>
      <c r="FY137" t="e">
        <f>AND(tecantrop!J308,"AAAAAFfPfbQ=")</f>
        <v>#VALUE!</v>
      </c>
      <c r="FZ137" t="e">
        <f>AND(tecantrop!K308,"AAAAAFfPfbU=")</f>
        <v>#VALUE!</v>
      </c>
      <c r="GA137" t="e">
        <f>AND(tecantrop!L308,"AAAAAFfPfbY=")</f>
        <v>#VALUE!</v>
      </c>
      <c r="GB137" t="e">
        <f>AND(tecantrop!M308,"AAAAAFfPfbc=")</f>
        <v>#VALUE!</v>
      </c>
      <c r="GC137" t="e">
        <f>AND(tecantrop!N308,"AAAAAFfPfbg=")</f>
        <v>#VALUE!</v>
      </c>
      <c r="GD137" t="e">
        <f>AND(tecantrop!O308,"AAAAAFfPfbk=")</f>
        <v>#VALUE!</v>
      </c>
      <c r="GE137" t="e">
        <f>AND(tecantrop!P308,"AAAAAFfPfbo=")</f>
        <v>#VALUE!</v>
      </c>
      <c r="GF137" t="e">
        <f>AND(tecantrop!Q308,"AAAAAFfPfbs=")</f>
        <v>#VALUE!</v>
      </c>
      <c r="GG137" t="e">
        <f>AND(tecantrop!R308,"AAAAAFfPfbw=")</f>
        <v>#VALUE!</v>
      </c>
      <c r="GH137" t="e">
        <f>AND(tecantrop!S308,"AAAAAFfPfb0=")</f>
        <v>#VALUE!</v>
      </c>
      <c r="GI137" t="e">
        <f>AND(tecantrop!T308,"AAAAAFfPfb4=")</f>
        <v>#VALUE!</v>
      </c>
      <c r="GJ137" t="e">
        <f>AND(tecantrop!U308,"AAAAAFfPfb8=")</f>
        <v>#VALUE!</v>
      </c>
      <c r="GK137" t="e">
        <f>AND(tecantrop!V308,"AAAAAFfPfcA=")</f>
        <v>#VALUE!</v>
      </c>
      <c r="GL137" t="e">
        <f>AND(tecantrop!W308,"AAAAAFfPfcE=")</f>
        <v>#VALUE!</v>
      </c>
      <c r="GM137" t="e">
        <f>AND(tecantrop!X308,"AAAAAFfPfcI=")</f>
        <v>#VALUE!</v>
      </c>
      <c r="GN137">
        <f>IF(tecantrop!309:309,"AAAAAFfPfcM=",0)</f>
        <v>0</v>
      </c>
      <c r="GO137" t="e">
        <f>AND(tecantrop!A309,"AAAAAFfPfcQ=")</f>
        <v>#VALUE!</v>
      </c>
      <c r="GP137" t="e">
        <f>AND(tecantrop!B309,"AAAAAFfPfcU=")</f>
        <v>#VALUE!</v>
      </c>
      <c r="GQ137" t="e">
        <f>AND(tecantrop!C309,"AAAAAFfPfcY=")</f>
        <v>#VALUE!</v>
      </c>
      <c r="GR137" t="e">
        <f>AND(tecantrop!D309,"AAAAAFfPfcc=")</f>
        <v>#VALUE!</v>
      </c>
      <c r="GS137" t="e">
        <f>AND(tecantrop!E309,"AAAAAFfPfcg=")</f>
        <v>#VALUE!</v>
      </c>
      <c r="GT137" t="e">
        <f>AND(tecantrop!F309,"AAAAAFfPfck=")</f>
        <v>#VALUE!</v>
      </c>
      <c r="GU137" t="e">
        <f>AND(tecantrop!G309,"AAAAAFfPfco=")</f>
        <v>#VALUE!</v>
      </c>
      <c r="GV137" t="e">
        <f>AND(tecantrop!H309,"AAAAAFfPfcs=")</f>
        <v>#VALUE!</v>
      </c>
      <c r="GW137" t="e">
        <f>AND(tecantrop!I309,"AAAAAFfPfcw=")</f>
        <v>#VALUE!</v>
      </c>
      <c r="GX137" t="e">
        <f>AND(tecantrop!J309,"AAAAAFfPfc0=")</f>
        <v>#VALUE!</v>
      </c>
      <c r="GY137" t="e">
        <f>AND(tecantrop!K309,"AAAAAFfPfc4=")</f>
        <v>#VALUE!</v>
      </c>
      <c r="GZ137" t="e">
        <f>AND(tecantrop!L309,"AAAAAFfPfc8=")</f>
        <v>#VALUE!</v>
      </c>
      <c r="HA137" t="e">
        <f>AND(tecantrop!M309,"AAAAAFfPfdA=")</f>
        <v>#VALUE!</v>
      </c>
      <c r="HB137" t="e">
        <f>AND(tecantrop!N309,"AAAAAFfPfdE=")</f>
        <v>#VALUE!</v>
      </c>
      <c r="HC137" t="e">
        <f>AND(tecantrop!O309,"AAAAAFfPfdI=")</f>
        <v>#VALUE!</v>
      </c>
      <c r="HD137" t="e">
        <f>AND(tecantrop!P309,"AAAAAFfPfdM=")</f>
        <v>#VALUE!</v>
      </c>
      <c r="HE137" t="e">
        <f>AND(tecantrop!Q309,"AAAAAFfPfdQ=")</f>
        <v>#VALUE!</v>
      </c>
      <c r="HF137" t="e">
        <f>AND(tecantrop!R309,"AAAAAFfPfdU=")</f>
        <v>#VALUE!</v>
      </c>
      <c r="HG137" t="e">
        <f>AND(tecantrop!S309,"AAAAAFfPfdY=")</f>
        <v>#VALUE!</v>
      </c>
      <c r="HH137" t="e">
        <f>AND(tecantrop!T309,"AAAAAFfPfdc=")</f>
        <v>#VALUE!</v>
      </c>
      <c r="HI137" t="e">
        <f>AND(tecantrop!U309,"AAAAAFfPfdg=")</f>
        <v>#VALUE!</v>
      </c>
      <c r="HJ137" t="e">
        <f>AND(tecantrop!V309,"AAAAAFfPfdk=")</f>
        <v>#VALUE!</v>
      </c>
      <c r="HK137" t="e">
        <f>AND(tecantrop!W309,"AAAAAFfPfdo=")</f>
        <v>#VALUE!</v>
      </c>
      <c r="HL137" t="e">
        <f>AND(tecantrop!X309,"AAAAAFfPfds=")</f>
        <v>#VALUE!</v>
      </c>
      <c r="HM137">
        <f>IF(tecantrop!310:310,"AAAAAFfPfdw=",0)</f>
        <v>0</v>
      </c>
      <c r="HN137" t="e">
        <f>AND(tecantrop!A310,"AAAAAFfPfd0=")</f>
        <v>#VALUE!</v>
      </c>
      <c r="HO137" t="e">
        <f>AND(tecantrop!B310,"AAAAAFfPfd4=")</f>
        <v>#VALUE!</v>
      </c>
      <c r="HP137" t="e">
        <f>AND(tecantrop!C310,"AAAAAFfPfd8=")</f>
        <v>#VALUE!</v>
      </c>
      <c r="HQ137" t="e">
        <f>AND(tecantrop!D310,"AAAAAFfPfeA=")</f>
        <v>#VALUE!</v>
      </c>
      <c r="HR137" t="e">
        <f>AND(tecantrop!E310,"AAAAAFfPfeE=")</f>
        <v>#VALUE!</v>
      </c>
      <c r="HS137" t="e">
        <f>AND(tecantrop!F310,"AAAAAFfPfeI=")</f>
        <v>#VALUE!</v>
      </c>
      <c r="HT137" t="e">
        <f>AND(tecantrop!G310,"AAAAAFfPfeM=")</f>
        <v>#VALUE!</v>
      </c>
      <c r="HU137" t="e">
        <f>AND(tecantrop!H310,"AAAAAFfPfeQ=")</f>
        <v>#VALUE!</v>
      </c>
      <c r="HV137" t="e">
        <f>AND(tecantrop!I310,"AAAAAFfPfeU=")</f>
        <v>#VALUE!</v>
      </c>
      <c r="HW137" t="e">
        <f>AND(tecantrop!J310,"AAAAAFfPfeY=")</f>
        <v>#VALUE!</v>
      </c>
      <c r="HX137" t="e">
        <f>AND(tecantrop!K310,"AAAAAFfPfec=")</f>
        <v>#VALUE!</v>
      </c>
      <c r="HY137" t="e">
        <f>AND(tecantrop!L310,"AAAAAFfPfeg=")</f>
        <v>#VALUE!</v>
      </c>
      <c r="HZ137" t="e">
        <f>AND(tecantrop!M310,"AAAAAFfPfek=")</f>
        <v>#VALUE!</v>
      </c>
      <c r="IA137" t="e">
        <f>AND(tecantrop!N310,"AAAAAFfPfeo=")</f>
        <v>#VALUE!</v>
      </c>
      <c r="IB137" t="e">
        <f>AND(tecantrop!O310,"AAAAAFfPfes=")</f>
        <v>#VALUE!</v>
      </c>
      <c r="IC137" t="e">
        <f>AND(tecantrop!P310,"AAAAAFfPfew=")</f>
        <v>#VALUE!</v>
      </c>
      <c r="ID137" t="e">
        <f>AND(tecantrop!Q310,"AAAAAFfPfe0=")</f>
        <v>#VALUE!</v>
      </c>
      <c r="IE137" t="e">
        <f>AND(tecantrop!R310,"AAAAAFfPfe4=")</f>
        <v>#VALUE!</v>
      </c>
      <c r="IF137" t="e">
        <f>AND(tecantrop!S310,"AAAAAFfPfe8=")</f>
        <v>#VALUE!</v>
      </c>
      <c r="IG137" t="e">
        <f>AND(tecantrop!T310,"AAAAAFfPffA=")</f>
        <v>#VALUE!</v>
      </c>
      <c r="IH137" t="e">
        <f>AND(tecantrop!U310,"AAAAAFfPffE=")</f>
        <v>#VALUE!</v>
      </c>
      <c r="II137" t="e">
        <f>AND(tecantrop!V310,"AAAAAFfPffI=")</f>
        <v>#VALUE!</v>
      </c>
      <c r="IJ137" t="e">
        <f>AND(tecantrop!W310,"AAAAAFfPffM=")</f>
        <v>#VALUE!</v>
      </c>
      <c r="IK137" t="e">
        <f>AND(tecantrop!X310,"AAAAAFfPffQ=")</f>
        <v>#VALUE!</v>
      </c>
      <c r="IL137">
        <f>IF(tecantrop!311:311,"AAAAAFfPffU=",0)</f>
        <v>0</v>
      </c>
      <c r="IM137" t="e">
        <f>AND(tecantrop!A311,"AAAAAFfPffY=")</f>
        <v>#VALUE!</v>
      </c>
      <c r="IN137" t="e">
        <f>AND(tecantrop!B311,"AAAAAFfPffc=")</f>
        <v>#VALUE!</v>
      </c>
      <c r="IO137" t="e">
        <f>AND(tecantrop!C311,"AAAAAFfPffg=")</f>
        <v>#VALUE!</v>
      </c>
      <c r="IP137" t="e">
        <f>AND(tecantrop!D311,"AAAAAFfPffk=")</f>
        <v>#VALUE!</v>
      </c>
      <c r="IQ137" t="e">
        <f>AND(tecantrop!E311,"AAAAAFfPffo=")</f>
        <v>#VALUE!</v>
      </c>
      <c r="IR137" t="e">
        <f>AND(tecantrop!F311,"AAAAAFfPffs=")</f>
        <v>#VALUE!</v>
      </c>
      <c r="IS137" t="e">
        <f>AND(tecantrop!G311,"AAAAAFfPffw=")</f>
        <v>#VALUE!</v>
      </c>
      <c r="IT137" t="e">
        <f>AND(tecantrop!H311,"AAAAAFfPff0=")</f>
        <v>#VALUE!</v>
      </c>
      <c r="IU137" t="e">
        <f>AND(tecantrop!I311,"AAAAAFfPff4=")</f>
        <v>#VALUE!</v>
      </c>
      <c r="IV137" t="e">
        <f>AND(tecantrop!J311,"AAAAAFfPff8=")</f>
        <v>#VALUE!</v>
      </c>
    </row>
    <row r="138" spans="1:256" x14ac:dyDescent="0.2">
      <c r="A138" t="e">
        <f>AND(tecantrop!K311,"AAAAAGP9zQA=")</f>
        <v>#VALUE!</v>
      </c>
      <c r="B138" t="e">
        <f>AND(tecantrop!L311,"AAAAAGP9zQE=")</f>
        <v>#VALUE!</v>
      </c>
      <c r="C138" t="e">
        <f>AND(tecantrop!M311,"AAAAAGP9zQI=")</f>
        <v>#VALUE!</v>
      </c>
      <c r="D138" t="e">
        <f>AND(tecantrop!N311,"AAAAAGP9zQM=")</f>
        <v>#VALUE!</v>
      </c>
      <c r="E138" t="e">
        <f>AND(tecantrop!O311,"AAAAAGP9zQQ=")</f>
        <v>#VALUE!</v>
      </c>
      <c r="F138" t="e">
        <f>AND(tecantrop!P311,"AAAAAGP9zQU=")</f>
        <v>#VALUE!</v>
      </c>
      <c r="G138" t="e">
        <f>AND(tecantrop!Q311,"AAAAAGP9zQY=")</f>
        <v>#VALUE!</v>
      </c>
      <c r="H138" t="e">
        <f>AND(tecantrop!R311,"AAAAAGP9zQc=")</f>
        <v>#VALUE!</v>
      </c>
      <c r="I138" t="e">
        <f>AND(tecantrop!S311,"AAAAAGP9zQg=")</f>
        <v>#VALUE!</v>
      </c>
      <c r="J138" t="e">
        <f>AND(tecantrop!T311,"AAAAAGP9zQk=")</f>
        <v>#VALUE!</v>
      </c>
      <c r="K138" t="e">
        <f>AND(tecantrop!U311,"AAAAAGP9zQo=")</f>
        <v>#VALUE!</v>
      </c>
      <c r="L138" t="e">
        <f>AND(tecantrop!V311,"AAAAAGP9zQs=")</f>
        <v>#VALUE!</v>
      </c>
      <c r="M138" t="e">
        <f>AND(tecantrop!W311,"AAAAAGP9zQw=")</f>
        <v>#VALUE!</v>
      </c>
      <c r="N138" t="e">
        <f>AND(tecantrop!X311,"AAAAAGP9zQ0=")</f>
        <v>#VALUE!</v>
      </c>
      <c r="O138">
        <f>IF(tecantrop!312:312,"AAAAAGP9zQ4=",0)</f>
        <v>0</v>
      </c>
      <c r="P138" t="e">
        <f>AND(tecantrop!A312,"AAAAAGP9zQ8=")</f>
        <v>#VALUE!</v>
      </c>
      <c r="Q138" t="e">
        <f>AND(tecantrop!B312,"AAAAAGP9zRA=")</f>
        <v>#VALUE!</v>
      </c>
      <c r="R138" t="e">
        <f>AND(tecantrop!C312,"AAAAAGP9zRE=")</f>
        <v>#VALUE!</v>
      </c>
      <c r="S138" t="e">
        <f>AND(tecantrop!D312,"AAAAAGP9zRI=")</f>
        <v>#VALUE!</v>
      </c>
      <c r="T138" t="e">
        <f>AND(tecantrop!E312,"AAAAAGP9zRM=")</f>
        <v>#VALUE!</v>
      </c>
      <c r="U138" t="e">
        <f>AND(tecantrop!F312,"AAAAAGP9zRQ=")</f>
        <v>#VALUE!</v>
      </c>
      <c r="V138" t="e">
        <f>AND(tecantrop!G312,"AAAAAGP9zRU=")</f>
        <v>#VALUE!</v>
      </c>
      <c r="W138" t="e">
        <f>AND(tecantrop!H312,"AAAAAGP9zRY=")</f>
        <v>#VALUE!</v>
      </c>
      <c r="X138" t="e">
        <f>AND(tecantrop!I312,"AAAAAGP9zRc=")</f>
        <v>#VALUE!</v>
      </c>
      <c r="Y138" t="e">
        <f>AND(tecantrop!J312,"AAAAAGP9zRg=")</f>
        <v>#VALUE!</v>
      </c>
      <c r="Z138" t="e">
        <f>AND(tecantrop!K312,"AAAAAGP9zRk=")</f>
        <v>#VALUE!</v>
      </c>
      <c r="AA138" t="e">
        <f>AND(tecantrop!L312,"AAAAAGP9zRo=")</f>
        <v>#VALUE!</v>
      </c>
      <c r="AB138" t="e">
        <f>AND(tecantrop!M312,"AAAAAGP9zRs=")</f>
        <v>#VALUE!</v>
      </c>
      <c r="AC138" t="e">
        <f>AND(tecantrop!N312,"AAAAAGP9zRw=")</f>
        <v>#VALUE!</v>
      </c>
      <c r="AD138" t="e">
        <f>AND(tecantrop!O312,"AAAAAGP9zR0=")</f>
        <v>#VALUE!</v>
      </c>
      <c r="AE138" t="e">
        <f>AND(tecantrop!P312,"AAAAAGP9zR4=")</f>
        <v>#VALUE!</v>
      </c>
      <c r="AF138" t="e">
        <f>AND(tecantrop!Q312,"AAAAAGP9zR8=")</f>
        <v>#VALUE!</v>
      </c>
      <c r="AG138" t="e">
        <f>AND(tecantrop!R312,"AAAAAGP9zSA=")</f>
        <v>#VALUE!</v>
      </c>
      <c r="AH138" t="e">
        <f>AND(tecantrop!S312,"AAAAAGP9zSE=")</f>
        <v>#VALUE!</v>
      </c>
      <c r="AI138" t="e">
        <f>AND(tecantrop!T312,"AAAAAGP9zSI=")</f>
        <v>#VALUE!</v>
      </c>
      <c r="AJ138" t="e">
        <f>AND(tecantrop!U312,"AAAAAGP9zSM=")</f>
        <v>#VALUE!</v>
      </c>
      <c r="AK138" t="e">
        <f>AND(tecantrop!V312,"AAAAAGP9zSQ=")</f>
        <v>#VALUE!</v>
      </c>
      <c r="AL138" t="e">
        <f>AND(tecantrop!W312,"AAAAAGP9zSU=")</f>
        <v>#VALUE!</v>
      </c>
      <c r="AM138" t="e">
        <f>AND(tecantrop!X312,"AAAAAGP9zSY=")</f>
        <v>#VALUE!</v>
      </c>
      <c r="AN138">
        <f>IF(tecantrop!313:313,"AAAAAGP9zSc=",0)</f>
        <v>0</v>
      </c>
      <c r="AO138" t="e">
        <f>AND(tecantrop!A313,"AAAAAGP9zSg=")</f>
        <v>#VALUE!</v>
      </c>
      <c r="AP138" t="e">
        <f>AND(tecantrop!B313,"AAAAAGP9zSk=")</f>
        <v>#VALUE!</v>
      </c>
      <c r="AQ138" t="e">
        <f>AND(tecantrop!C313,"AAAAAGP9zSo=")</f>
        <v>#VALUE!</v>
      </c>
      <c r="AR138" t="e">
        <f>AND(tecantrop!D313,"AAAAAGP9zSs=")</f>
        <v>#VALUE!</v>
      </c>
      <c r="AS138" t="e">
        <f>AND(tecantrop!E313,"AAAAAGP9zSw=")</f>
        <v>#VALUE!</v>
      </c>
      <c r="AT138" t="e">
        <f>AND(tecantrop!F313,"AAAAAGP9zS0=")</f>
        <v>#VALUE!</v>
      </c>
      <c r="AU138" t="e">
        <f>AND(tecantrop!G313,"AAAAAGP9zS4=")</f>
        <v>#VALUE!</v>
      </c>
      <c r="AV138" t="e">
        <f>AND(tecantrop!H313,"AAAAAGP9zS8=")</f>
        <v>#VALUE!</v>
      </c>
      <c r="AW138" t="e">
        <f>AND(tecantrop!I313,"AAAAAGP9zTA=")</f>
        <v>#VALUE!</v>
      </c>
      <c r="AX138" t="e">
        <f>AND(tecantrop!J313,"AAAAAGP9zTE=")</f>
        <v>#VALUE!</v>
      </c>
      <c r="AY138" t="e">
        <f>AND(tecantrop!K313,"AAAAAGP9zTI=")</f>
        <v>#VALUE!</v>
      </c>
      <c r="AZ138" t="e">
        <f>AND(tecantrop!L313,"AAAAAGP9zTM=")</f>
        <v>#VALUE!</v>
      </c>
      <c r="BA138" t="e">
        <f>AND(tecantrop!M313,"AAAAAGP9zTQ=")</f>
        <v>#VALUE!</v>
      </c>
      <c r="BB138" t="e">
        <f>AND(tecantrop!N313,"AAAAAGP9zTU=")</f>
        <v>#VALUE!</v>
      </c>
      <c r="BC138" t="e">
        <f>AND(tecantrop!O313,"AAAAAGP9zTY=")</f>
        <v>#VALUE!</v>
      </c>
      <c r="BD138" t="e">
        <f>AND(tecantrop!P313,"AAAAAGP9zTc=")</f>
        <v>#VALUE!</v>
      </c>
      <c r="BE138" t="e">
        <f>AND(tecantrop!Q313,"AAAAAGP9zTg=")</f>
        <v>#VALUE!</v>
      </c>
      <c r="BF138" t="e">
        <f>AND(tecantrop!R313,"AAAAAGP9zTk=")</f>
        <v>#VALUE!</v>
      </c>
      <c r="BG138" t="e">
        <f>AND(tecantrop!S313,"AAAAAGP9zTo=")</f>
        <v>#VALUE!</v>
      </c>
      <c r="BH138" t="e">
        <f>AND(tecantrop!T313,"AAAAAGP9zTs=")</f>
        <v>#VALUE!</v>
      </c>
      <c r="BI138" t="e">
        <f>AND(tecantrop!U313,"AAAAAGP9zTw=")</f>
        <v>#VALUE!</v>
      </c>
      <c r="BJ138" t="e">
        <f>AND(tecantrop!V313,"AAAAAGP9zT0=")</f>
        <v>#VALUE!</v>
      </c>
      <c r="BK138" t="e">
        <f>AND(tecantrop!W313,"AAAAAGP9zT4=")</f>
        <v>#VALUE!</v>
      </c>
      <c r="BL138" t="e">
        <f>AND(tecantrop!X313,"AAAAAGP9zT8=")</f>
        <v>#VALUE!</v>
      </c>
      <c r="BM138">
        <f>IF(tecantrop!314:314,"AAAAAGP9zUA=",0)</f>
        <v>0</v>
      </c>
      <c r="BN138" t="e">
        <f>AND(tecantrop!A314,"AAAAAGP9zUE=")</f>
        <v>#VALUE!</v>
      </c>
      <c r="BO138" t="e">
        <f>AND(tecantrop!B314,"AAAAAGP9zUI=")</f>
        <v>#VALUE!</v>
      </c>
      <c r="BP138" t="e">
        <f>AND(tecantrop!C314,"AAAAAGP9zUM=")</f>
        <v>#VALUE!</v>
      </c>
      <c r="BQ138" t="e">
        <f>AND(tecantrop!D314,"AAAAAGP9zUQ=")</f>
        <v>#VALUE!</v>
      </c>
      <c r="BR138" t="e">
        <f>AND(tecantrop!E314,"AAAAAGP9zUU=")</f>
        <v>#VALUE!</v>
      </c>
      <c r="BS138" t="e">
        <f>AND(tecantrop!F314,"AAAAAGP9zUY=")</f>
        <v>#VALUE!</v>
      </c>
      <c r="BT138" t="e">
        <f>AND(tecantrop!G314,"AAAAAGP9zUc=")</f>
        <v>#VALUE!</v>
      </c>
      <c r="BU138" t="e">
        <f>AND(tecantrop!H314,"AAAAAGP9zUg=")</f>
        <v>#VALUE!</v>
      </c>
      <c r="BV138" t="e">
        <f>AND(tecantrop!I314,"AAAAAGP9zUk=")</f>
        <v>#VALUE!</v>
      </c>
      <c r="BW138" t="e">
        <f>AND(tecantrop!J314,"AAAAAGP9zUo=")</f>
        <v>#VALUE!</v>
      </c>
      <c r="BX138" t="e">
        <f>AND(tecantrop!K314,"AAAAAGP9zUs=")</f>
        <v>#VALUE!</v>
      </c>
      <c r="BY138" t="e">
        <f>AND(tecantrop!L314,"AAAAAGP9zUw=")</f>
        <v>#VALUE!</v>
      </c>
      <c r="BZ138" t="e">
        <f>AND(tecantrop!M314,"AAAAAGP9zU0=")</f>
        <v>#VALUE!</v>
      </c>
      <c r="CA138" t="e">
        <f>AND(tecantrop!N314,"AAAAAGP9zU4=")</f>
        <v>#VALUE!</v>
      </c>
      <c r="CB138" t="e">
        <f>AND(tecantrop!O314,"AAAAAGP9zU8=")</f>
        <v>#VALUE!</v>
      </c>
      <c r="CC138" t="e">
        <f>AND(tecantrop!P314,"AAAAAGP9zVA=")</f>
        <v>#VALUE!</v>
      </c>
      <c r="CD138" t="e">
        <f>AND(tecantrop!Q314,"AAAAAGP9zVE=")</f>
        <v>#VALUE!</v>
      </c>
      <c r="CE138" t="e">
        <f>AND(tecantrop!R314,"AAAAAGP9zVI=")</f>
        <v>#VALUE!</v>
      </c>
      <c r="CF138" t="e">
        <f>AND(tecantrop!S314,"AAAAAGP9zVM=")</f>
        <v>#VALUE!</v>
      </c>
      <c r="CG138" t="e">
        <f>AND(tecantrop!T314,"AAAAAGP9zVQ=")</f>
        <v>#VALUE!</v>
      </c>
      <c r="CH138" t="e">
        <f>AND(tecantrop!U314,"AAAAAGP9zVU=")</f>
        <v>#VALUE!</v>
      </c>
      <c r="CI138" t="e">
        <f>AND(tecantrop!V314,"AAAAAGP9zVY=")</f>
        <v>#VALUE!</v>
      </c>
      <c r="CJ138" t="e">
        <f>AND(tecantrop!W314,"AAAAAGP9zVc=")</f>
        <v>#VALUE!</v>
      </c>
      <c r="CK138" t="e">
        <f>AND(tecantrop!X314,"AAAAAGP9zVg=")</f>
        <v>#VALUE!</v>
      </c>
      <c r="CL138">
        <f>IF(tecantrop!315:315,"AAAAAGP9zVk=",0)</f>
        <v>0</v>
      </c>
      <c r="CM138" t="e">
        <f>AND(tecantrop!A315,"AAAAAGP9zVo=")</f>
        <v>#VALUE!</v>
      </c>
      <c r="CN138" t="e">
        <f>AND(tecantrop!B315,"AAAAAGP9zVs=")</f>
        <v>#VALUE!</v>
      </c>
      <c r="CO138" t="e">
        <f>AND(tecantrop!C315,"AAAAAGP9zVw=")</f>
        <v>#VALUE!</v>
      </c>
      <c r="CP138" t="e">
        <f>AND(tecantrop!D315,"AAAAAGP9zV0=")</f>
        <v>#VALUE!</v>
      </c>
      <c r="CQ138" t="e">
        <f>AND(tecantrop!E315,"AAAAAGP9zV4=")</f>
        <v>#VALUE!</v>
      </c>
      <c r="CR138" t="e">
        <f>AND(tecantrop!F315,"AAAAAGP9zV8=")</f>
        <v>#VALUE!</v>
      </c>
      <c r="CS138" t="e">
        <f>AND(tecantrop!G315,"AAAAAGP9zWA=")</f>
        <v>#VALUE!</v>
      </c>
      <c r="CT138" t="e">
        <f>AND(tecantrop!H315,"AAAAAGP9zWE=")</f>
        <v>#VALUE!</v>
      </c>
      <c r="CU138" t="e">
        <f>AND(tecantrop!I315,"AAAAAGP9zWI=")</f>
        <v>#VALUE!</v>
      </c>
      <c r="CV138" t="e">
        <f>AND(tecantrop!J315,"AAAAAGP9zWM=")</f>
        <v>#VALUE!</v>
      </c>
      <c r="CW138" t="e">
        <f>AND(tecantrop!K315,"AAAAAGP9zWQ=")</f>
        <v>#VALUE!</v>
      </c>
      <c r="CX138" t="e">
        <f>AND(tecantrop!L315,"AAAAAGP9zWU=")</f>
        <v>#VALUE!</v>
      </c>
      <c r="CY138" t="e">
        <f>AND(tecantrop!M315,"AAAAAGP9zWY=")</f>
        <v>#VALUE!</v>
      </c>
      <c r="CZ138" t="e">
        <f>AND(tecantrop!N315,"AAAAAGP9zWc=")</f>
        <v>#VALUE!</v>
      </c>
      <c r="DA138" t="e">
        <f>AND(tecantrop!O315,"AAAAAGP9zWg=")</f>
        <v>#VALUE!</v>
      </c>
      <c r="DB138" t="e">
        <f>AND(tecantrop!P315,"AAAAAGP9zWk=")</f>
        <v>#VALUE!</v>
      </c>
      <c r="DC138" t="e">
        <f>AND(tecantrop!Q315,"AAAAAGP9zWo=")</f>
        <v>#VALUE!</v>
      </c>
      <c r="DD138" t="e">
        <f>AND(tecantrop!R315,"AAAAAGP9zWs=")</f>
        <v>#VALUE!</v>
      </c>
      <c r="DE138" t="e">
        <f>AND(tecantrop!S315,"AAAAAGP9zWw=")</f>
        <v>#VALUE!</v>
      </c>
      <c r="DF138" t="e">
        <f>AND(tecantrop!T315,"AAAAAGP9zW0=")</f>
        <v>#VALUE!</v>
      </c>
      <c r="DG138" t="e">
        <f>AND(tecantrop!U315,"AAAAAGP9zW4=")</f>
        <v>#VALUE!</v>
      </c>
      <c r="DH138" t="e">
        <f>AND(tecantrop!V315,"AAAAAGP9zW8=")</f>
        <v>#VALUE!</v>
      </c>
      <c r="DI138" t="e">
        <f>AND(tecantrop!W315,"AAAAAGP9zXA=")</f>
        <v>#VALUE!</v>
      </c>
      <c r="DJ138" t="e">
        <f>AND(tecantrop!X315,"AAAAAGP9zXE=")</f>
        <v>#VALUE!</v>
      </c>
      <c r="DK138">
        <f>IF(tecantrop!316:316,"AAAAAGP9zXI=",0)</f>
        <v>0</v>
      </c>
      <c r="DL138" t="e">
        <f>AND(tecantrop!A316,"AAAAAGP9zXM=")</f>
        <v>#VALUE!</v>
      </c>
      <c r="DM138" t="e">
        <f>AND(tecantrop!B316,"AAAAAGP9zXQ=")</f>
        <v>#VALUE!</v>
      </c>
      <c r="DN138" t="e">
        <f>AND(tecantrop!C316,"AAAAAGP9zXU=")</f>
        <v>#VALUE!</v>
      </c>
      <c r="DO138" t="e">
        <f>AND(tecantrop!D316,"AAAAAGP9zXY=")</f>
        <v>#VALUE!</v>
      </c>
      <c r="DP138" t="e">
        <f>AND(tecantrop!E316,"AAAAAGP9zXc=")</f>
        <v>#VALUE!</v>
      </c>
      <c r="DQ138" t="e">
        <f>AND(tecantrop!F316,"AAAAAGP9zXg=")</f>
        <v>#VALUE!</v>
      </c>
      <c r="DR138" t="e">
        <f>AND(tecantrop!G316,"AAAAAGP9zXk=")</f>
        <v>#VALUE!</v>
      </c>
      <c r="DS138" t="e">
        <f>AND(tecantrop!H316,"AAAAAGP9zXo=")</f>
        <v>#VALUE!</v>
      </c>
      <c r="DT138" t="e">
        <f>AND(tecantrop!I316,"AAAAAGP9zXs=")</f>
        <v>#VALUE!</v>
      </c>
      <c r="DU138" t="e">
        <f>AND(tecantrop!J316,"AAAAAGP9zXw=")</f>
        <v>#VALUE!</v>
      </c>
      <c r="DV138" t="e">
        <f>AND(tecantrop!K316,"AAAAAGP9zX0=")</f>
        <v>#VALUE!</v>
      </c>
      <c r="DW138" t="e">
        <f>AND(tecantrop!L316,"AAAAAGP9zX4=")</f>
        <v>#VALUE!</v>
      </c>
      <c r="DX138" t="e">
        <f>AND(tecantrop!M316,"AAAAAGP9zX8=")</f>
        <v>#VALUE!</v>
      </c>
      <c r="DY138" t="e">
        <f>AND(tecantrop!N316,"AAAAAGP9zYA=")</f>
        <v>#VALUE!</v>
      </c>
      <c r="DZ138" t="e">
        <f>AND(tecantrop!O316,"AAAAAGP9zYE=")</f>
        <v>#VALUE!</v>
      </c>
      <c r="EA138" t="e">
        <f>AND(tecantrop!P316,"AAAAAGP9zYI=")</f>
        <v>#VALUE!</v>
      </c>
      <c r="EB138" t="e">
        <f>AND(tecantrop!Q316,"AAAAAGP9zYM=")</f>
        <v>#VALUE!</v>
      </c>
      <c r="EC138" t="e">
        <f>AND(tecantrop!R316,"AAAAAGP9zYQ=")</f>
        <v>#VALUE!</v>
      </c>
      <c r="ED138" t="e">
        <f>AND(tecantrop!S316,"AAAAAGP9zYU=")</f>
        <v>#VALUE!</v>
      </c>
      <c r="EE138" t="e">
        <f>AND(tecantrop!T316,"AAAAAGP9zYY=")</f>
        <v>#VALUE!</v>
      </c>
      <c r="EF138" t="e">
        <f>AND(tecantrop!U316,"AAAAAGP9zYc=")</f>
        <v>#VALUE!</v>
      </c>
      <c r="EG138" t="e">
        <f>AND(tecantrop!V316,"AAAAAGP9zYg=")</f>
        <v>#VALUE!</v>
      </c>
      <c r="EH138" t="e">
        <f>AND(tecantrop!W316,"AAAAAGP9zYk=")</f>
        <v>#VALUE!</v>
      </c>
      <c r="EI138" t="e">
        <f>AND(tecantrop!X316,"AAAAAGP9zYo=")</f>
        <v>#VALUE!</v>
      </c>
      <c r="EJ138">
        <f>IF(tecantrop!317:317,"AAAAAGP9zYs=",0)</f>
        <v>0</v>
      </c>
      <c r="EK138" t="e">
        <f>AND(tecantrop!A317,"AAAAAGP9zYw=")</f>
        <v>#VALUE!</v>
      </c>
      <c r="EL138" t="e">
        <f>AND(tecantrop!B317,"AAAAAGP9zY0=")</f>
        <v>#VALUE!</v>
      </c>
      <c r="EM138" t="e">
        <f>AND(tecantrop!C317,"AAAAAGP9zY4=")</f>
        <v>#VALUE!</v>
      </c>
      <c r="EN138" t="e">
        <f>AND(tecantrop!D317,"AAAAAGP9zY8=")</f>
        <v>#VALUE!</v>
      </c>
      <c r="EO138" t="e">
        <f>AND(tecantrop!E317,"AAAAAGP9zZA=")</f>
        <v>#VALUE!</v>
      </c>
      <c r="EP138" t="e">
        <f>AND(tecantrop!F317,"AAAAAGP9zZE=")</f>
        <v>#VALUE!</v>
      </c>
      <c r="EQ138" t="e">
        <f>AND(tecantrop!G317,"AAAAAGP9zZI=")</f>
        <v>#VALUE!</v>
      </c>
      <c r="ER138" t="e">
        <f>AND(tecantrop!H317,"AAAAAGP9zZM=")</f>
        <v>#VALUE!</v>
      </c>
      <c r="ES138" t="e">
        <f>AND(tecantrop!I317,"AAAAAGP9zZQ=")</f>
        <v>#VALUE!</v>
      </c>
      <c r="ET138" t="e">
        <f>AND(tecantrop!J317,"AAAAAGP9zZU=")</f>
        <v>#VALUE!</v>
      </c>
      <c r="EU138" t="e">
        <f>AND(tecantrop!K317,"AAAAAGP9zZY=")</f>
        <v>#VALUE!</v>
      </c>
      <c r="EV138" t="e">
        <f>AND(tecantrop!L317,"AAAAAGP9zZc=")</f>
        <v>#VALUE!</v>
      </c>
      <c r="EW138" t="e">
        <f>AND(tecantrop!M317,"AAAAAGP9zZg=")</f>
        <v>#VALUE!</v>
      </c>
      <c r="EX138" t="e">
        <f>AND(tecantrop!N317,"AAAAAGP9zZk=")</f>
        <v>#VALUE!</v>
      </c>
      <c r="EY138" t="e">
        <f>AND(tecantrop!O317,"AAAAAGP9zZo=")</f>
        <v>#VALUE!</v>
      </c>
      <c r="EZ138" t="e">
        <f>AND(tecantrop!P317,"AAAAAGP9zZs=")</f>
        <v>#VALUE!</v>
      </c>
      <c r="FA138" t="e">
        <f>AND(tecantrop!Q317,"AAAAAGP9zZw=")</f>
        <v>#VALUE!</v>
      </c>
      <c r="FB138" t="e">
        <f>AND(tecantrop!R317,"AAAAAGP9zZ0=")</f>
        <v>#VALUE!</v>
      </c>
      <c r="FC138" t="e">
        <f>AND(tecantrop!S317,"AAAAAGP9zZ4=")</f>
        <v>#VALUE!</v>
      </c>
      <c r="FD138" t="e">
        <f>AND(tecantrop!T317,"AAAAAGP9zZ8=")</f>
        <v>#VALUE!</v>
      </c>
      <c r="FE138" t="e">
        <f>AND(tecantrop!U317,"AAAAAGP9zaA=")</f>
        <v>#VALUE!</v>
      </c>
      <c r="FF138" t="e">
        <f>AND(tecantrop!V317,"AAAAAGP9zaE=")</f>
        <v>#VALUE!</v>
      </c>
      <c r="FG138" t="e">
        <f>AND(tecantrop!W317,"AAAAAGP9zaI=")</f>
        <v>#VALUE!</v>
      </c>
      <c r="FH138" t="e">
        <f>AND(tecantrop!X317,"AAAAAGP9zaM=")</f>
        <v>#VALUE!</v>
      </c>
      <c r="FI138">
        <f>IF(tecantrop!318:318,"AAAAAGP9zaQ=",0)</f>
        <v>0</v>
      </c>
      <c r="FJ138" t="e">
        <f>AND(tecantrop!A318,"AAAAAGP9zaU=")</f>
        <v>#VALUE!</v>
      </c>
      <c r="FK138" t="e">
        <f>AND(tecantrop!B318,"AAAAAGP9zaY=")</f>
        <v>#VALUE!</v>
      </c>
      <c r="FL138" t="e">
        <f>AND(tecantrop!C318,"AAAAAGP9zac=")</f>
        <v>#VALUE!</v>
      </c>
      <c r="FM138" t="e">
        <f>AND(tecantrop!D318,"AAAAAGP9zag=")</f>
        <v>#VALUE!</v>
      </c>
      <c r="FN138" t="e">
        <f>AND(tecantrop!E318,"AAAAAGP9zak=")</f>
        <v>#VALUE!</v>
      </c>
      <c r="FO138" t="e">
        <f>AND(tecantrop!F318,"AAAAAGP9zao=")</f>
        <v>#VALUE!</v>
      </c>
      <c r="FP138" t="e">
        <f>AND(tecantrop!G318,"AAAAAGP9zas=")</f>
        <v>#VALUE!</v>
      </c>
      <c r="FQ138" t="e">
        <f>AND(tecantrop!H318,"AAAAAGP9zaw=")</f>
        <v>#VALUE!</v>
      </c>
      <c r="FR138" t="e">
        <f>AND(tecantrop!I318,"AAAAAGP9za0=")</f>
        <v>#VALUE!</v>
      </c>
      <c r="FS138" t="e">
        <f>AND(tecantrop!J318,"AAAAAGP9za4=")</f>
        <v>#VALUE!</v>
      </c>
      <c r="FT138" t="e">
        <f>AND(tecantrop!K318,"AAAAAGP9za8=")</f>
        <v>#VALUE!</v>
      </c>
      <c r="FU138" t="e">
        <f>AND(tecantrop!L318,"AAAAAGP9zbA=")</f>
        <v>#VALUE!</v>
      </c>
      <c r="FV138" t="e">
        <f>AND(tecantrop!M318,"AAAAAGP9zbE=")</f>
        <v>#VALUE!</v>
      </c>
      <c r="FW138" t="e">
        <f>AND(tecantrop!N318,"AAAAAGP9zbI=")</f>
        <v>#VALUE!</v>
      </c>
      <c r="FX138" t="e">
        <f>AND(tecantrop!O318,"AAAAAGP9zbM=")</f>
        <v>#VALUE!</v>
      </c>
      <c r="FY138" t="e">
        <f>AND(tecantrop!P318,"AAAAAGP9zbQ=")</f>
        <v>#VALUE!</v>
      </c>
      <c r="FZ138" t="e">
        <f>AND(tecantrop!Q318,"AAAAAGP9zbU=")</f>
        <v>#VALUE!</v>
      </c>
      <c r="GA138" t="e">
        <f>AND(tecantrop!R318,"AAAAAGP9zbY=")</f>
        <v>#VALUE!</v>
      </c>
      <c r="GB138" t="e">
        <f>AND(tecantrop!S318,"AAAAAGP9zbc=")</f>
        <v>#VALUE!</v>
      </c>
      <c r="GC138" t="e">
        <f>AND(tecantrop!T318,"AAAAAGP9zbg=")</f>
        <v>#VALUE!</v>
      </c>
      <c r="GD138" t="e">
        <f>AND(tecantrop!U318,"AAAAAGP9zbk=")</f>
        <v>#VALUE!</v>
      </c>
      <c r="GE138" t="e">
        <f>AND(tecantrop!V318,"AAAAAGP9zbo=")</f>
        <v>#VALUE!</v>
      </c>
      <c r="GF138" t="e">
        <f>AND(tecantrop!W318,"AAAAAGP9zbs=")</f>
        <v>#VALUE!</v>
      </c>
      <c r="GG138" t="e">
        <f>AND(tecantrop!X318,"AAAAAGP9zbw=")</f>
        <v>#VALUE!</v>
      </c>
      <c r="GH138">
        <f>IF(tecantrop!319:319,"AAAAAGP9zb0=",0)</f>
        <v>0</v>
      </c>
      <c r="GI138" t="e">
        <f>AND(tecantrop!A319,"AAAAAGP9zb4=")</f>
        <v>#VALUE!</v>
      </c>
      <c r="GJ138" t="e">
        <f>AND(tecantrop!B319,"AAAAAGP9zb8=")</f>
        <v>#VALUE!</v>
      </c>
      <c r="GK138" t="e">
        <f>AND(tecantrop!C319,"AAAAAGP9zcA=")</f>
        <v>#VALUE!</v>
      </c>
      <c r="GL138" t="e">
        <f>AND(tecantrop!D319,"AAAAAGP9zcE=")</f>
        <v>#VALUE!</v>
      </c>
      <c r="GM138" t="e">
        <f>AND(tecantrop!E319,"AAAAAGP9zcI=")</f>
        <v>#VALUE!</v>
      </c>
      <c r="GN138" t="e">
        <f>AND(tecantrop!F319,"AAAAAGP9zcM=")</f>
        <v>#VALUE!</v>
      </c>
      <c r="GO138" t="e">
        <f>AND(tecantrop!G319,"AAAAAGP9zcQ=")</f>
        <v>#VALUE!</v>
      </c>
      <c r="GP138" t="e">
        <f>AND(tecantrop!H319,"AAAAAGP9zcU=")</f>
        <v>#VALUE!</v>
      </c>
      <c r="GQ138" t="e">
        <f>AND(tecantrop!I319,"AAAAAGP9zcY=")</f>
        <v>#VALUE!</v>
      </c>
      <c r="GR138" t="e">
        <f>AND(tecantrop!J319,"AAAAAGP9zcc=")</f>
        <v>#VALUE!</v>
      </c>
      <c r="GS138" t="e">
        <f>AND(tecantrop!K319,"AAAAAGP9zcg=")</f>
        <v>#VALUE!</v>
      </c>
      <c r="GT138" t="e">
        <f>AND(tecantrop!L319,"AAAAAGP9zck=")</f>
        <v>#VALUE!</v>
      </c>
      <c r="GU138" t="e">
        <f>AND(tecantrop!M319,"AAAAAGP9zco=")</f>
        <v>#VALUE!</v>
      </c>
      <c r="GV138" t="e">
        <f>AND(tecantrop!N319,"AAAAAGP9zcs=")</f>
        <v>#VALUE!</v>
      </c>
      <c r="GW138" t="e">
        <f>AND(tecantrop!O319,"AAAAAGP9zcw=")</f>
        <v>#VALUE!</v>
      </c>
      <c r="GX138" t="e">
        <f>AND(tecantrop!P319,"AAAAAGP9zc0=")</f>
        <v>#VALUE!</v>
      </c>
      <c r="GY138" t="e">
        <f>AND(tecantrop!Q319,"AAAAAGP9zc4=")</f>
        <v>#VALUE!</v>
      </c>
      <c r="GZ138" t="e">
        <f>AND(tecantrop!R319,"AAAAAGP9zc8=")</f>
        <v>#VALUE!</v>
      </c>
      <c r="HA138" t="e">
        <f>AND(tecantrop!S319,"AAAAAGP9zdA=")</f>
        <v>#VALUE!</v>
      </c>
      <c r="HB138" t="e">
        <f>AND(tecantrop!T319,"AAAAAGP9zdE=")</f>
        <v>#VALUE!</v>
      </c>
      <c r="HC138" t="e">
        <f>AND(tecantrop!U319,"AAAAAGP9zdI=")</f>
        <v>#VALUE!</v>
      </c>
      <c r="HD138" t="e">
        <f>AND(tecantrop!V319,"AAAAAGP9zdM=")</f>
        <v>#VALUE!</v>
      </c>
      <c r="HE138" t="e">
        <f>AND(tecantrop!W319,"AAAAAGP9zdQ=")</f>
        <v>#VALUE!</v>
      </c>
      <c r="HF138" t="e">
        <f>AND(tecantrop!X319,"AAAAAGP9zdU=")</f>
        <v>#VALUE!</v>
      </c>
      <c r="HG138">
        <f>IF(tecantrop!320:320,"AAAAAGP9zdY=",0)</f>
        <v>0</v>
      </c>
      <c r="HH138" t="e">
        <f>AND(tecantrop!A320,"AAAAAGP9zdc=")</f>
        <v>#VALUE!</v>
      </c>
      <c r="HI138" t="e">
        <f>AND(tecantrop!B320,"AAAAAGP9zdg=")</f>
        <v>#VALUE!</v>
      </c>
      <c r="HJ138" t="e">
        <f>AND(tecantrop!C320,"AAAAAGP9zdk=")</f>
        <v>#VALUE!</v>
      </c>
      <c r="HK138" t="e">
        <f>AND(tecantrop!D320,"AAAAAGP9zdo=")</f>
        <v>#VALUE!</v>
      </c>
      <c r="HL138" t="e">
        <f>AND(tecantrop!E320,"AAAAAGP9zds=")</f>
        <v>#VALUE!</v>
      </c>
      <c r="HM138" t="e">
        <f>AND(tecantrop!F320,"AAAAAGP9zdw=")</f>
        <v>#VALUE!</v>
      </c>
      <c r="HN138" t="e">
        <f>AND(tecantrop!G320,"AAAAAGP9zd0=")</f>
        <v>#VALUE!</v>
      </c>
      <c r="HO138" t="e">
        <f>AND(tecantrop!H320,"AAAAAGP9zd4=")</f>
        <v>#VALUE!</v>
      </c>
      <c r="HP138" t="e">
        <f>AND(tecantrop!I320,"AAAAAGP9zd8=")</f>
        <v>#VALUE!</v>
      </c>
      <c r="HQ138" t="e">
        <f>AND(tecantrop!J320,"AAAAAGP9zeA=")</f>
        <v>#VALUE!</v>
      </c>
      <c r="HR138" t="e">
        <f>AND(tecantrop!K320,"AAAAAGP9zeE=")</f>
        <v>#VALUE!</v>
      </c>
      <c r="HS138" t="e">
        <f>AND(tecantrop!L320,"AAAAAGP9zeI=")</f>
        <v>#VALUE!</v>
      </c>
      <c r="HT138" t="e">
        <f>AND(tecantrop!M320,"AAAAAGP9zeM=")</f>
        <v>#VALUE!</v>
      </c>
      <c r="HU138" t="e">
        <f>AND(tecantrop!N320,"AAAAAGP9zeQ=")</f>
        <v>#VALUE!</v>
      </c>
      <c r="HV138" t="e">
        <f>AND(tecantrop!O320,"AAAAAGP9zeU=")</f>
        <v>#VALUE!</v>
      </c>
      <c r="HW138" t="e">
        <f>AND(tecantrop!P320,"AAAAAGP9zeY=")</f>
        <v>#VALUE!</v>
      </c>
      <c r="HX138" t="e">
        <f>AND(tecantrop!Q320,"AAAAAGP9zec=")</f>
        <v>#VALUE!</v>
      </c>
      <c r="HY138" t="e">
        <f>AND(tecantrop!R320,"AAAAAGP9zeg=")</f>
        <v>#VALUE!</v>
      </c>
      <c r="HZ138" t="e">
        <f>AND(tecantrop!S320,"AAAAAGP9zek=")</f>
        <v>#VALUE!</v>
      </c>
      <c r="IA138" t="e">
        <f>AND(tecantrop!T320,"AAAAAGP9zeo=")</f>
        <v>#VALUE!</v>
      </c>
      <c r="IB138" t="e">
        <f>AND(tecantrop!U320,"AAAAAGP9zes=")</f>
        <v>#VALUE!</v>
      </c>
      <c r="IC138" t="e">
        <f>AND(tecantrop!V320,"AAAAAGP9zew=")</f>
        <v>#VALUE!</v>
      </c>
      <c r="ID138" t="e">
        <f>AND(tecantrop!W320,"AAAAAGP9ze0=")</f>
        <v>#VALUE!</v>
      </c>
      <c r="IE138" t="e">
        <f>AND(tecantrop!X320,"AAAAAGP9ze4=")</f>
        <v>#VALUE!</v>
      </c>
      <c r="IF138">
        <f>IF(tecantrop!321:321,"AAAAAGP9ze8=",0)</f>
        <v>0</v>
      </c>
      <c r="IG138" t="e">
        <f>AND(tecantrop!A321,"AAAAAGP9zfA=")</f>
        <v>#VALUE!</v>
      </c>
      <c r="IH138" t="e">
        <f>AND(tecantrop!B321,"AAAAAGP9zfE=")</f>
        <v>#VALUE!</v>
      </c>
      <c r="II138" t="e">
        <f>AND(tecantrop!C321,"AAAAAGP9zfI=")</f>
        <v>#VALUE!</v>
      </c>
      <c r="IJ138" t="e">
        <f>AND(tecantrop!D321,"AAAAAGP9zfM=")</f>
        <v>#VALUE!</v>
      </c>
      <c r="IK138" t="e">
        <f>AND(tecantrop!E321,"AAAAAGP9zfQ=")</f>
        <v>#VALUE!</v>
      </c>
      <c r="IL138" t="e">
        <f>AND(tecantrop!F321,"AAAAAGP9zfU=")</f>
        <v>#VALUE!</v>
      </c>
      <c r="IM138" t="e">
        <f>AND(tecantrop!G321,"AAAAAGP9zfY=")</f>
        <v>#VALUE!</v>
      </c>
      <c r="IN138" t="e">
        <f>AND(tecantrop!H321,"AAAAAGP9zfc=")</f>
        <v>#VALUE!</v>
      </c>
      <c r="IO138" t="e">
        <f>AND(tecantrop!I321,"AAAAAGP9zfg=")</f>
        <v>#VALUE!</v>
      </c>
      <c r="IP138" t="e">
        <f>AND(tecantrop!J321,"AAAAAGP9zfk=")</f>
        <v>#VALUE!</v>
      </c>
      <c r="IQ138" t="e">
        <f>AND(tecantrop!K321,"AAAAAGP9zfo=")</f>
        <v>#VALUE!</v>
      </c>
      <c r="IR138" t="e">
        <f>AND(tecantrop!L321,"AAAAAGP9zfs=")</f>
        <v>#VALUE!</v>
      </c>
      <c r="IS138" t="e">
        <f>AND(tecantrop!M321,"AAAAAGP9zfw=")</f>
        <v>#VALUE!</v>
      </c>
      <c r="IT138" t="e">
        <f>AND(tecantrop!N321,"AAAAAGP9zf0=")</f>
        <v>#VALUE!</v>
      </c>
      <c r="IU138" t="e">
        <f>AND(tecantrop!O321,"AAAAAGP9zf4=")</f>
        <v>#VALUE!</v>
      </c>
      <c r="IV138" t="e">
        <f>AND(tecantrop!P321,"AAAAAGP9zf8=")</f>
        <v>#VALUE!</v>
      </c>
    </row>
    <row r="139" spans="1:256" x14ac:dyDescent="0.2">
      <c r="A139" t="e">
        <f>AND(tecantrop!Q321,"AAAAAD6V5AA=")</f>
        <v>#VALUE!</v>
      </c>
      <c r="B139" t="e">
        <f>AND(tecantrop!R321,"AAAAAD6V5AE=")</f>
        <v>#VALUE!</v>
      </c>
      <c r="C139" t="e">
        <f>AND(tecantrop!S321,"AAAAAD6V5AI=")</f>
        <v>#VALUE!</v>
      </c>
      <c r="D139" t="e">
        <f>AND(tecantrop!T321,"AAAAAD6V5AM=")</f>
        <v>#VALUE!</v>
      </c>
      <c r="E139" t="e">
        <f>AND(tecantrop!U321,"AAAAAD6V5AQ=")</f>
        <v>#VALUE!</v>
      </c>
      <c r="F139" t="e">
        <f>AND(tecantrop!V321,"AAAAAD6V5AU=")</f>
        <v>#VALUE!</v>
      </c>
      <c r="G139" t="e">
        <f>AND(tecantrop!W321,"AAAAAD6V5AY=")</f>
        <v>#VALUE!</v>
      </c>
      <c r="H139" t="e">
        <f>AND(tecantrop!X321,"AAAAAD6V5Ac=")</f>
        <v>#VALUE!</v>
      </c>
      <c r="I139">
        <f>IF(tecantrop!322:322,"AAAAAD6V5Ag=",0)</f>
        <v>0</v>
      </c>
      <c r="J139" t="e">
        <f>AND(tecantrop!A322,"AAAAAD6V5Ak=")</f>
        <v>#VALUE!</v>
      </c>
      <c r="K139" t="e">
        <f>AND(tecantrop!B322,"AAAAAD6V5Ao=")</f>
        <v>#VALUE!</v>
      </c>
      <c r="L139" t="e">
        <f>AND(tecantrop!C322,"AAAAAD6V5As=")</f>
        <v>#VALUE!</v>
      </c>
      <c r="M139" t="e">
        <f>AND(tecantrop!D322,"AAAAAD6V5Aw=")</f>
        <v>#VALUE!</v>
      </c>
      <c r="N139" t="e">
        <f>AND(tecantrop!E322,"AAAAAD6V5A0=")</f>
        <v>#VALUE!</v>
      </c>
      <c r="O139" t="e">
        <f>AND(tecantrop!F322,"AAAAAD6V5A4=")</f>
        <v>#VALUE!</v>
      </c>
      <c r="P139" t="e">
        <f>AND(tecantrop!G322,"AAAAAD6V5A8=")</f>
        <v>#VALUE!</v>
      </c>
      <c r="Q139" t="e">
        <f>AND(tecantrop!H322,"AAAAAD6V5BA=")</f>
        <v>#VALUE!</v>
      </c>
      <c r="R139" t="e">
        <f>AND(tecantrop!I322,"AAAAAD6V5BE=")</f>
        <v>#VALUE!</v>
      </c>
      <c r="S139" t="e">
        <f>AND(tecantrop!J322,"AAAAAD6V5BI=")</f>
        <v>#VALUE!</v>
      </c>
      <c r="T139" t="e">
        <f>AND(tecantrop!K322,"AAAAAD6V5BM=")</f>
        <v>#VALUE!</v>
      </c>
      <c r="U139" t="e">
        <f>AND(tecantrop!L322,"AAAAAD6V5BQ=")</f>
        <v>#VALUE!</v>
      </c>
      <c r="V139" t="e">
        <f>AND(tecantrop!M322,"AAAAAD6V5BU=")</f>
        <v>#VALUE!</v>
      </c>
      <c r="W139" t="e">
        <f>AND(tecantrop!N322,"AAAAAD6V5BY=")</f>
        <v>#VALUE!</v>
      </c>
      <c r="X139" t="e">
        <f>AND(tecantrop!O322,"AAAAAD6V5Bc=")</f>
        <v>#VALUE!</v>
      </c>
      <c r="Y139" t="e">
        <f>AND(tecantrop!P322,"AAAAAD6V5Bg=")</f>
        <v>#VALUE!</v>
      </c>
      <c r="Z139" t="e">
        <f>AND(tecantrop!Q322,"AAAAAD6V5Bk=")</f>
        <v>#VALUE!</v>
      </c>
      <c r="AA139" t="e">
        <f>AND(tecantrop!R322,"AAAAAD6V5Bo=")</f>
        <v>#VALUE!</v>
      </c>
      <c r="AB139" t="e">
        <f>AND(tecantrop!S322,"AAAAAD6V5Bs=")</f>
        <v>#VALUE!</v>
      </c>
      <c r="AC139" t="e">
        <f>AND(tecantrop!T322,"AAAAAD6V5Bw=")</f>
        <v>#VALUE!</v>
      </c>
      <c r="AD139" t="e">
        <f>AND(tecantrop!U322,"AAAAAD6V5B0=")</f>
        <v>#VALUE!</v>
      </c>
      <c r="AE139" t="e">
        <f>AND(tecantrop!V322,"AAAAAD6V5B4=")</f>
        <v>#VALUE!</v>
      </c>
      <c r="AF139" t="e">
        <f>AND(tecantrop!W322,"AAAAAD6V5B8=")</f>
        <v>#VALUE!</v>
      </c>
      <c r="AG139" t="e">
        <f>AND(tecantrop!X322,"AAAAAD6V5CA=")</f>
        <v>#VALUE!</v>
      </c>
      <c r="AH139">
        <f>IF(tecantrop!323:323,"AAAAAD6V5CE=",0)</f>
        <v>0</v>
      </c>
      <c r="AI139" t="e">
        <f>AND(tecantrop!A323,"AAAAAD6V5CI=")</f>
        <v>#VALUE!</v>
      </c>
      <c r="AJ139" t="e">
        <f>AND(tecantrop!B323,"AAAAAD6V5CM=")</f>
        <v>#VALUE!</v>
      </c>
      <c r="AK139" t="e">
        <f>AND(tecantrop!C323,"AAAAAD6V5CQ=")</f>
        <v>#VALUE!</v>
      </c>
      <c r="AL139" t="e">
        <f>AND(tecantrop!D323,"AAAAAD6V5CU=")</f>
        <v>#VALUE!</v>
      </c>
      <c r="AM139" t="e">
        <f>AND(tecantrop!E323,"AAAAAD6V5CY=")</f>
        <v>#VALUE!</v>
      </c>
      <c r="AN139" t="e">
        <f>AND(tecantrop!F323,"AAAAAD6V5Cc=")</f>
        <v>#VALUE!</v>
      </c>
      <c r="AO139" t="e">
        <f>AND(tecantrop!G323,"AAAAAD6V5Cg=")</f>
        <v>#VALUE!</v>
      </c>
      <c r="AP139" t="e">
        <f>AND(tecantrop!H323,"AAAAAD6V5Ck=")</f>
        <v>#VALUE!</v>
      </c>
      <c r="AQ139" t="e">
        <f>AND(tecantrop!I323,"AAAAAD6V5Co=")</f>
        <v>#VALUE!</v>
      </c>
      <c r="AR139" t="e">
        <f>AND(tecantrop!J323,"AAAAAD6V5Cs=")</f>
        <v>#VALUE!</v>
      </c>
      <c r="AS139" t="e">
        <f>AND(tecantrop!K323,"AAAAAD6V5Cw=")</f>
        <v>#VALUE!</v>
      </c>
      <c r="AT139" t="e">
        <f>AND(tecantrop!L323,"AAAAAD6V5C0=")</f>
        <v>#VALUE!</v>
      </c>
      <c r="AU139" t="e">
        <f>AND(tecantrop!M323,"AAAAAD6V5C4=")</f>
        <v>#VALUE!</v>
      </c>
      <c r="AV139" t="e">
        <f>AND(tecantrop!N323,"AAAAAD6V5C8=")</f>
        <v>#VALUE!</v>
      </c>
      <c r="AW139" t="e">
        <f>AND(tecantrop!O323,"AAAAAD6V5DA=")</f>
        <v>#VALUE!</v>
      </c>
      <c r="AX139" t="e">
        <f>AND(tecantrop!P323,"AAAAAD6V5DE=")</f>
        <v>#VALUE!</v>
      </c>
      <c r="AY139" t="e">
        <f>AND(tecantrop!Q323,"AAAAAD6V5DI=")</f>
        <v>#VALUE!</v>
      </c>
      <c r="AZ139" t="e">
        <f>AND(tecantrop!R323,"AAAAAD6V5DM=")</f>
        <v>#VALUE!</v>
      </c>
      <c r="BA139" t="e">
        <f>AND(tecantrop!S323,"AAAAAD6V5DQ=")</f>
        <v>#VALUE!</v>
      </c>
      <c r="BB139" t="e">
        <f>AND(tecantrop!T323,"AAAAAD6V5DU=")</f>
        <v>#VALUE!</v>
      </c>
      <c r="BC139" t="e">
        <f>AND(tecantrop!U323,"AAAAAD6V5DY=")</f>
        <v>#VALUE!</v>
      </c>
      <c r="BD139" t="e">
        <f>AND(tecantrop!V323,"AAAAAD6V5Dc=")</f>
        <v>#VALUE!</v>
      </c>
      <c r="BE139" t="e">
        <f>AND(tecantrop!W323,"AAAAAD6V5Dg=")</f>
        <v>#VALUE!</v>
      </c>
      <c r="BF139" t="e">
        <f>AND(tecantrop!X323,"AAAAAD6V5Dk=")</f>
        <v>#VALUE!</v>
      </c>
      <c r="BG139">
        <f>IF(tecantrop!324:324,"AAAAAD6V5Do=",0)</f>
        <v>0</v>
      </c>
      <c r="BH139" t="e">
        <f>AND(tecantrop!A324,"AAAAAD6V5Ds=")</f>
        <v>#VALUE!</v>
      </c>
      <c r="BI139" t="e">
        <f>AND(tecantrop!B324,"AAAAAD6V5Dw=")</f>
        <v>#VALUE!</v>
      </c>
      <c r="BJ139" t="e">
        <f>AND(tecantrop!C324,"AAAAAD6V5D0=")</f>
        <v>#VALUE!</v>
      </c>
      <c r="BK139" t="e">
        <f>AND(tecantrop!D324,"AAAAAD6V5D4=")</f>
        <v>#VALUE!</v>
      </c>
      <c r="BL139" t="e">
        <f>AND(tecantrop!E324,"AAAAAD6V5D8=")</f>
        <v>#VALUE!</v>
      </c>
      <c r="BM139" t="e">
        <f>AND(tecantrop!F324,"AAAAAD6V5EA=")</f>
        <v>#VALUE!</v>
      </c>
      <c r="BN139" t="e">
        <f>AND(tecantrop!G324,"AAAAAD6V5EE=")</f>
        <v>#VALUE!</v>
      </c>
      <c r="BO139" t="e">
        <f>AND(tecantrop!H324,"AAAAAD6V5EI=")</f>
        <v>#VALUE!</v>
      </c>
      <c r="BP139" t="e">
        <f>AND(tecantrop!I324,"AAAAAD6V5EM=")</f>
        <v>#VALUE!</v>
      </c>
      <c r="BQ139" t="e">
        <f>AND(tecantrop!J324,"AAAAAD6V5EQ=")</f>
        <v>#VALUE!</v>
      </c>
      <c r="BR139" t="e">
        <f>AND(tecantrop!K324,"AAAAAD6V5EU=")</f>
        <v>#VALUE!</v>
      </c>
      <c r="BS139" t="e">
        <f>AND(tecantrop!L324,"AAAAAD6V5EY=")</f>
        <v>#VALUE!</v>
      </c>
      <c r="BT139" t="e">
        <f>AND(tecantrop!M324,"AAAAAD6V5Ec=")</f>
        <v>#VALUE!</v>
      </c>
      <c r="BU139" t="e">
        <f>AND(tecantrop!N324,"AAAAAD6V5Eg=")</f>
        <v>#VALUE!</v>
      </c>
      <c r="BV139" t="e">
        <f>AND(tecantrop!O324,"AAAAAD6V5Ek=")</f>
        <v>#VALUE!</v>
      </c>
      <c r="BW139" t="e">
        <f>AND(tecantrop!P324,"AAAAAD6V5Eo=")</f>
        <v>#VALUE!</v>
      </c>
      <c r="BX139" t="e">
        <f>AND(tecantrop!Q324,"AAAAAD6V5Es=")</f>
        <v>#VALUE!</v>
      </c>
      <c r="BY139" t="e">
        <f>AND(tecantrop!R324,"AAAAAD6V5Ew=")</f>
        <v>#VALUE!</v>
      </c>
      <c r="BZ139" t="e">
        <f>AND(tecantrop!S324,"AAAAAD6V5E0=")</f>
        <v>#VALUE!</v>
      </c>
      <c r="CA139" t="e">
        <f>AND(tecantrop!T324,"AAAAAD6V5E4=")</f>
        <v>#VALUE!</v>
      </c>
      <c r="CB139" t="e">
        <f>AND(tecantrop!U324,"AAAAAD6V5E8=")</f>
        <v>#VALUE!</v>
      </c>
      <c r="CC139" t="e">
        <f>AND(tecantrop!V324,"AAAAAD6V5FA=")</f>
        <v>#VALUE!</v>
      </c>
      <c r="CD139" t="e">
        <f>AND(tecantrop!W324,"AAAAAD6V5FE=")</f>
        <v>#VALUE!</v>
      </c>
      <c r="CE139" t="e">
        <f>AND(tecantrop!X324,"AAAAAD6V5FI=")</f>
        <v>#VALUE!</v>
      </c>
      <c r="CF139">
        <f>IF(tecantrop!325:325,"AAAAAD6V5FM=",0)</f>
        <v>0</v>
      </c>
      <c r="CG139" t="e">
        <f>AND(tecantrop!A325,"AAAAAD6V5FQ=")</f>
        <v>#VALUE!</v>
      </c>
      <c r="CH139" t="e">
        <f>AND(tecantrop!B325,"AAAAAD6V5FU=")</f>
        <v>#VALUE!</v>
      </c>
      <c r="CI139" t="e">
        <f>AND(tecantrop!C325,"AAAAAD6V5FY=")</f>
        <v>#VALUE!</v>
      </c>
      <c r="CJ139" t="e">
        <f>AND(tecantrop!D325,"AAAAAD6V5Fc=")</f>
        <v>#VALUE!</v>
      </c>
      <c r="CK139" t="e">
        <f>AND(tecantrop!E325,"AAAAAD6V5Fg=")</f>
        <v>#VALUE!</v>
      </c>
      <c r="CL139" t="e">
        <f>AND(tecantrop!F325,"AAAAAD6V5Fk=")</f>
        <v>#VALUE!</v>
      </c>
      <c r="CM139" t="e">
        <f>AND(tecantrop!G325,"AAAAAD6V5Fo=")</f>
        <v>#VALUE!</v>
      </c>
      <c r="CN139" t="e">
        <f>AND(tecantrop!H325,"AAAAAD6V5Fs=")</f>
        <v>#VALUE!</v>
      </c>
      <c r="CO139" t="e">
        <f>AND(tecantrop!I325,"AAAAAD6V5Fw=")</f>
        <v>#VALUE!</v>
      </c>
      <c r="CP139" t="e">
        <f>AND(tecantrop!J325,"AAAAAD6V5F0=")</f>
        <v>#VALUE!</v>
      </c>
      <c r="CQ139" t="e">
        <f>AND(tecantrop!K325,"AAAAAD6V5F4=")</f>
        <v>#VALUE!</v>
      </c>
      <c r="CR139" t="e">
        <f>AND(tecantrop!L325,"AAAAAD6V5F8=")</f>
        <v>#VALUE!</v>
      </c>
      <c r="CS139" t="e">
        <f>AND(tecantrop!M325,"AAAAAD6V5GA=")</f>
        <v>#VALUE!</v>
      </c>
      <c r="CT139" t="e">
        <f>AND(tecantrop!N325,"AAAAAD6V5GE=")</f>
        <v>#VALUE!</v>
      </c>
      <c r="CU139" t="e">
        <f>AND(tecantrop!O325,"AAAAAD6V5GI=")</f>
        <v>#VALUE!</v>
      </c>
      <c r="CV139" t="e">
        <f>AND(tecantrop!P325,"AAAAAD6V5GM=")</f>
        <v>#VALUE!</v>
      </c>
      <c r="CW139" t="e">
        <f>AND(tecantrop!Q325,"AAAAAD6V5GQ=")</f>
        <v>#VALUE!</v>
      </c>
      <c r="CX139" t="e">
        <f>AND(tecantrop!R325,"AAAAAD6V5GU=")</f>
        <v>#VALUE!</v>
      </c>
      <c r="CY139" t="e">
        <f>AND(tecantrop!S325,"AAAAAD6V5GY=")</f>
        <v>#VALUE!</v>
      </c>
      <c r="CZ139" t="e">
        <f>AND(tecantrop!T325,"AAAAAD6V5Gc=")</f>
        <v>#VALUE!</v>
      </c>
      <c r="DA139" t="e">
        <f>AND(tecantrop!U325,"AAAAAD6V5Gg=")</f>
        <v>#VALUE!</v>
      </c>
      <c r="DB139" t="e">
        <f>AND(tecantrop!V325,"AAAAAD6V5Gk=")</f>
        <v>#VALUE!</v>
      </c>
      <c r="DC139" t="e">
        <f>AND(tecantrop!W325,"AAAAAD6V5Go=")</f>
        <v>#VALUE!</v>
      </c>
      <c r="DD139" t="e">
        <f>AND(tecantrop!X325,"AAAAAD6V5Gs=")</f>
        <v>#VALUE!</v>
      </c>
      <c r="DE139">
        <f>IF(tecantrop!326:326,"AAAAAD6V5Gw=",0)</f>
        <v>0</v>
      </c>
      <c r="DF139" t="e">
        <f>AND(tecantrop!A326,"AAAAAD6V5G0=")</f>
        <v>#VALUE!</v>
      </c>
      <c r="DG139" t="e">
        <f>AND(tecantrop!B326,"AAAAAD6V5G4=")</f>
        <v>#VALUE!</v>
      </c>
      <c r="DH139" t="e">
        <f>AND(tecantrop!C326,"AAAAAD6V5G8=")</f>
        <v>#VALUE!</v>
      </c>
      <c r="DI139" t="e">
        <f>AND(tecantrop!D326,"AAAAAD6V5HA=")</f>
        <v>#VALUE!</v>
      </c>
      <c r="DJ139" t="e">
        <f>AND(tecantrop!E326,"AAAAAD6V5HE=")</f>
        <v>#VALUE!</v>
      </c>
      <c r="DK139" t="e">
        <f>AND(tecantrop!F326,"AAAAAD6V5HI=")</f>
        <v>#VALUE!</v>
      </c>
      <c r="DL139" t="e">
        <f>AND(tecantrop!G326,"AAAAAD6V5HM=")</f>
        <v>#VALUE!</v>
      </c>
      <c r="DM139" t="e">
        <f>AND(tecantrop!H326,"AAAAAD6V5HQ=")</f>
        <v>#VALUE!</v>
      </c>
      <c r="DN139" t="e">
        <f>AND(tecantrop!I326,"AAAAAD6V5HU=")</f>
        <v>#VALUE!</v>
      </c>
      <c r="DO139" t="e">
        <f>AND(tecantrop!J326,"AAAAAD6V5HY=")</f>
        <v>#VALUE!</v>
      </c>
      <c r="DP139" t="e">
        <f>AND(tecantrop!K326,"AAAAAD6V5Hc=")</f>
        <v>#VALUE!</v>
      </c>
      <c r="DQ139" t="e">
        <f>AND(tecantrop!L326,"AAAAAD6V5Hg=")</f>
        <v>#VALUE!</v>
      </c>
      <c r="DR139" t="e">
        <f>AND(tecantrop!M326,"AAAAAD6V5Hk=")</f>
        <v>#VALUE!</v>
      </c>
      <c r="DS139" t="e">
        <f>AND(tecantrop!N326,"AAAAAD6V5Ho=")</f>
        <v>#VALUE!</v>
      </c>
      <c r="DT139" t="e">
        <f>AND(tecantrop!O326,"AAAAAD6V5Hs=")</f>
        <v>#VALUE!</v>
      </c>
      <c r="DU139" t="e">
        <f>AND(tecantrop!P326,"AAAAAD6V5Hw=")</f>
        <v>#VALUE!</v>
      </c>
      <c r="DV139" t="e">
        <f>AND(tecantrop!Q326,"AAAAAD6V5H0=")</f>
        <v>#VALUE!</v>
      </c>
      <c r="DW139" t="e">
        <f>AND(tecantrop!R326,"AAAAAD6V5H4=")</f>
        <v>#VALUE!</v>
      </c>
      <c r="DX139" t="e">
        <f>AND(tecantrop!S326,"AAAAAD6V5H8=")</f>
        <v>#VALUE!</v>
      </c>
      <c r="DY139" t="e">
        <f>AND(tecantrop!T326,"AAAAAD6V5IA=")</f>
        <v>#VALUE!</v>
      </c>
      <c r="DZ139" t="e">
        <f>AND(tecantrop!U326,"AAAAAD6V5IE=")</f>
        <v>#VALUE!</v>
      </c>
      <c r="EA139" t="e">
        <f>AND(tecantrop!V326,"AAAAAD6V5II=")</f>
        <v>#VALUE!</v>
      </c>
      <c r="EB139" t="e">
        <f>AND(tecantrop!W326,"AAAAAD6V5IM=")</f>
        <v>#VALUE!</v>
      </c>
      <c r="EC139" t="e">
        <f>AND(tecantrop!X326,"AAAAAD6V5IQ=")</f>
        <v>#VALUE!</v>
      </c>
      <c r="ED139">
        <f>IF(tecantrop!327:327,"AAAAAD6V5IU=",0)</f>
        <v>0</v>
      </c>
      <c r="EE139" t="e">
        <f>AND(tecantrop!A327,"AAAAAD6V5IY=")</f>
        <v>#VALUE!</v>
      </c>
      <c r="EF139" t="e">
        <f>AND(tecantrop!B327,"AAAAAD6V5Ic=")</f>
        <v>#VALUE!</v>
      </c>
      <c r="EG139" t="e">
        <f>AND(tecantrop!C327,"AAAAAD6V5Ig=")</f>
        <v>#VALUE!</v>
      </c>
      <c r="EH139" t="e">
        <f>AND(tecantrop!D327,"AAAAAD6V5Ik=")</f>
        <v>#VALUE!</v>
      </c>
      <c r="EI139" t="e">
        <f>AND(tecantrop!E327,"AAAAAD6V5Io=")</f>
        <v>#VALUE!</v>
      </c>
      <c r="EJ139" t="e">
        <f>AND(tecantrop!F327,"AAAAAD6V5Is=")</f>
        <v>#VALUE!</v>
      </c>
      <c r="EK139" t="e">
        <f>AND(tecantrop!G327,"AAAAAD6V5Iw=")</f>
        <v>#VALUE!</v>
      </c>
      <c r="EL139" t="e">
        <f>AND(tecantrop!H327,"AAAAAD6V5I0=")</f>
        <v>#VALUE!</v>
      </c>
      <c r="EM139" t="e">
        <f>AND(tecantrop!I327,"AAAAAD6V5I4=")</f>
        <v>#VALUE!</v>
      </c>
      <c r="EN139" t="e">
        <f>AND(tecantrop!J327,"AAAAAD6V5I8=")</f>
        <v>#VALUE!</v>
      </c>
      <c r="EO139" t="e">
        <f>AND(tecantrop!K327,"AAAAAD6V5JA=")</f>
        <v>#VALUE!</v>
      </c>
      <c r="EP139" t="e">
        <f>AND(tecantrop!L327,"AAAAAD6V5JE=")</f>
        <v>#VALUE!</v>
      </c>
      <c r="EQ139" t="e">
        <f>AND(tecantrop!M327,"AAAAAD6V5JI=")</f>
        <v>#VALUE!</v>
      </c>
      <c r="ER139" t="e">
        <f>AND(tecantrop!N327,"AAAAAD6V5JM=")</f>
        <v>#VALUE!</v>
      </c>
      <c r="ES139" t="e">
        <f>AND(tecantrop!O327,"AAAAAD6V5JQ=")</f>
        <v>#VALUE!</v>
      </c>
      <c r="ET139" t="e">
        <f>AND(tecantrop!P327,"AAAAAD6V5JU=")</f>
        <v>#VALUE!</v>
      </c>
      <c r="EU139" t="e">
        <f>AND(tecantrop!Q327,"AAAAAD6V5JY=")</f>
        <v>#VALUE!</v>
      </c>
      <c r="EV139" t="e">
        <f>AND(tecantrop!R327,"AAAAAD6V5Jc=")</f>
        <v>#VALUE!</v>
      </c>
      <c r="EW139" t="e">
        <f>AND(tecantrop!S327,"AAAAAD6V5Jg=")</f>
        <v>#VALUE!</v>
      </c>
      <c r="EX139" t="e">
        <f>AND(tecantrop!T327,"AAAAAD6V5Jk=")</f>
        <v>#VALUE!</v>
      </c>
      <c r="EY139" t="e">
        <f>AND(tecantrop!U327,"AAAAAD6V5Jo=")</f>
        <v>#VALUE!</v>
      </c>
      <c r="EZ139" t="e">
        <f>AND(tecantrop!V327,"AAAAAD6V5Js=")</f>
        <v>#VALUE!</v>
      </c>
      <c r="FA139" t="e">
        <f>AND(tecantrop!W327,"AAAAAD6V5Jw=")</f>
        <v>#VALUE!</v>
      </c>
      <c r="FB139" t="e">
        <f>AND(tecantrop!X327,"AAAAAD6V5J0=")</f>
        <v>#VALUE!</v>
      </c>
      <c r="FC139">
        <f>IF(tecantrop!328:328,"AAAAAD6V5J4=",0)</f>
        <v>0</v>
      </c>
      <c r="FD139" t="e">
        <f>AND(tecantrop!A328,"AAAAAD6V5J8=")</f>
        <v>#VALUE!</v>
      </c>
      <c r="FE139" t="e">
        <f>AND(tecantrop!B328,"AAAAAD6V5KA=")</f>
        <v>#VALUE!</v>
      </c>
      <c r="FF139" t="e">
        <f>AND(tecantrop!C328,"AAAAAD6V5KE=")</f>
        <v>#VALUE!</v>
      </c>
      <c r="FG139" t="e">
        <f>AND(tecantrop!D328,"AAAAAD6V5KI=")</f>
        <v>#VALUE!</v>
      </c>
      <c r="FH139" t="e">
        <f>AND(tecantrop!E328,"AAAAAD6V5KM=")</f>
        <v>#VALUE!</v>
      </c>
      <c r="FI139" t="e">
        <f>AND(tecantrop!F328,"AAAAAD6V5KQ=")</f>
        <v>#VALUE!</v>
      </c>
      <c r="FJ139" t="e">
        <f>AND(tecantrop!G328,"AAAAAD6V5KU=")</f>
        <v>#VALUE!</v>
      </c>
      <c r="FK139" t="e">
        <f>AND(tecantrop!H328,"AAAAAD6V5KY=")</f>
        <v>#VALUE!</v>
      </c>
      <c r="FL139" t="e">
        <f>AND(tecantrop!I328,"AAAAAD6V5Kc=")</f>
        <v>#VALUE!</v>
      </c>
      <c r="FM139" t="e">
        <f>AND(tecantrop!J328,"AAAAAD6V5Kg=")</f>
        <v>#VALUE!</v>
      </c>
      <c r="FN139" t="e">
        <f>AND(tecantrop!K328,"AAAAAD6V5Kk=")</f>
        <v>#VALUE!</v>
      </c>
      <c r="FO139" t="e">
        <f>AND(tecantrop!L328,"AAAAAD6V5Ko=")</f>
        <v>#VALUE!</v>
      </c>
      <c r="FP139" t="e">
        <f>AND(tecantrop!M328,"AAAAAD6V5Ks=")</f>
        <v>#VALUE!</v>
      </c>
      <c r="FQ139" t="e">
        <f>AND(tecantrop!N328,"AAAAAD6V5Kw=")</f>
        <v>#VALUE!</v>
      </c>
      <c r="FR139" t="e">
        <f>AND(tecantrop!O328,"AAAAAD6V5K0=")</f>
        <v>#VALUE!</v>
      </c>
      <c r="FS139" t="e">
        <f>AND(tecantrop!P328,"AAAAAD6V5K4=")</f>
        <v>#VALUE!</v>
      </c>
      <c r="FT139" t="e">
        <f>AND(tecantrop!Q328,"AAAAAD6V5K8=")</f>
        <v>#VALUE!</v>
      </c>
      <c r="FU139" t="e">
        <f>AND(tecantrop!R328,"AAAAAD6V5LA=")</f>
        <v>#VALUE!</v>
      </c>
      <c r="FV139" t="e">
        <f>AND(tecantrop!S328,"AAAAAD6V5LE=")</f>
        <v>#VALUE!</v>
      </c>
      <c r="FW139" t="e">
        <f>AND(tecantrop!T328,"AAAAAD6V5LI=")</f>
        <v>#VALUE!</v>
      </c>
      <c r="FX139" t="e">
        <f>AND(tecantrop!U328,"AAAAAD6V5LM=")</f>
        <v>#VALUE!</v>
      </c>
      <c r="FY139" t="e">
        <f>AND(tecantrop!V328,"AAAAAD6V5LQ=")</f>
        <v>#VALUE!</v>
      </c>
      <c r="FZ139" t="e">
        <f>AND(tecantrop!W328,"AAAAAD6V5LU=")</f>
        <v>#VALUE!</v>
      </c>
      <c r="GA139" t="e">
        <f>AND(tecantrop!X328,"AAAAAD6V5LY=")</f>
        <v>#VALUE!</v>
      </c>
      <c r="GB139">
        <f>IF(tecantrop!329:329,"AAAAAD6V5Lc=",0)</f>
        <v>0</v>
      </c>
      <c r="GC139" t="e">
        <f>AND(tecantrop!A329,"AAAAAD6V5Lg=")</f>
        <v>#VALUE!</v>
      </c>
      <c r="GD139" t="e">
        <f>AND(tecantrop!B329,"AAAAAD6V5Lk=")</f>
        <v>#VALUE!</v>
      </c>
      <c r="GE139" t="e">
        <f>AND(tecantrop!C329,"AAAAAD6V5Lo=")</f>
        <v>#VALUE!</v>
      </c>
      <c r="GF139" t="e">
        <f>AND(tecantrop!D329,"AAAAAD6V5Ls=")</f>
        <v>#VALUE!</v>
      </c>
      <c r="GG139" t="e">
        <f>AND(tecantrop!E329,"AAAAAD6V5Lw=")</f>
        <v>#VALUE!</v>
      </c>
      <c r="GH139" t="e">
        <f>AND(tecantrop!F329,"AAAAAD6V5L0=")</f>
        <v>#VALUE!</v>
      </c>
      <c r="GI139" t="e">
        <f>AND(tecantrop!G329,"AAAAAD6V5L4=")</f>
        <v>#VALUE!</v>
      </c>
      <c r="GJ139" t="e">
        <f>AND(tecantrop!H329,"AAAAAD6V5L8=")</f>
        <v>#VALUE!</v>
      </c>
      <c r="GK139" t="e">
        <f>AND(tecantrop!I329,"AAAAAD6V5MA=")</f>
        <v>#VALUE!</v>
      </c>
      <c r="GL139" t="e">
        <f>AND(tecantrop!J329,"AAAAAD6V5ME=")</f>
        <v>#VALUE!</v>
      </c>
      <c r="GM139" t="e">
        <f>AND(tecantrop!K329,"AAAAAD6V5MI=")</f>
        <v>#VALUE!</v>
      </c>
      <c r="GN139" t="e">
        <f>AND(tecantrop!L329,"AAAAAD6V5MM=")</f>
        <v>#VALUE!</v>
      </c>
      <c r="GO139" t="e">
        <f>AND(tecantrop!M329,"AAAAAD6V5MQ=")</f>
        <v>#VALUE!</v>
      </c>
      <c r="GP139" t="e">
        <f>AND(tecantrop!N329,"AAAAAD6V5MU=")</f>
        <v>#VALUE!</v>
      </c>
      <c r="GQ139" t="e">
        <f>AND(tecantrop!O329,"AAAAAD6V5MY=")</f>
        <v>#VALUE!</v>
      </c>
      <c r="GR139" t="e">
        <f>AND(tecantrop!P329,"AAAAAD6V5Mc=")</f>
        <v>#VALUE!</v>
      </c>
      <c r="GS139" t="e">
        <f>AND(tecantrop!Q329,"AAAAAD6V5Mg=")</f>
        <v>#VALUE!</v>
      </c>
      <c r="GT139" t="e">
        <f>AND(tecantrop!R329,"AAAAAD6V5Mk=")</f>
        <v>#VALUE!</v>
      </c>
      <c r="GU139" t="e">
        <f>AND(tecantrop!S329,"AAAAAD6V5Mo=")</f>
        <v>#VALUE!</v>
      </c>
      <c r="GV139" t="e">
        <f>AND(tecantrop!T329,"AAAAAD6V5Ms=")</f>
        <v>#VALUE!</v>
      </c>
      <c r="GW139" t="e">
        <f>AND(tecantrop!U329,"AAAAAD6V5Mw=")</f>
        <v>#VALUE!</v>
      </c>
      <c r="GX139" t="e">
        <f>AND(tecantrop!V329,"AAAAAD6V5M0=")</f>
        <v>#VALUE!</v>
      </c>
      <c r="GY139" t="e">
        <f>AND(tecantrop!W329,"AAAAAD6V5M4=")</f>
        <v>#VALUE!</v>
      </c>
      <c r="GZ139" t="e">
        <f>AND(tecantrop!X329,"AAAAAD6V5M8=")</f>
        <v>#VALUE!</v>
      </c>
      <c r="HA139">
        <f>IF(tecantrop!330:330,"AAAAAD6V5NA=",0)</f>
        <v>0</v>
      </c>
      <c r="HB139" t="e">
        <f>AND(tecantrop!A330,"AAAAAD6V5NE=")</f>
        <v>#VALUE!</v>
      </c>
      <c r="HC139" t="e">
        <f>AND(tecantrop!B330,"AAAAAD6V5NI=")</f>
        <v>#VALUE!</v>
      </c>
      <c r="HD139" t="e">
        <f>AND(tecantrop!C330,"AAAAAD6V5NM=")</f>
        <v>#VALUE!</v>
      </c>
      <c r="HE139" t="e">
        <f>AND(tecantrop!D330,"AAAAAD6V5NQ=")</f>
        <v>#VALUE!</v>
      </c>
      <c r="HF139" t="e">
        <f>AND(tecantrop!E330,"AAAAAD6V5NU=")</f>
        <v>#VALUE!</v>
      </c>
      <c r="HG139" t="e">
        <f>AND(tecantrop!F330,"AAAAAD6V5NY=")</f>
        <v>#VALUE!</v>
      </c>
      <c r="HH139" t="e">
        <f>AND(tecantrop!G330,"AAAAAD6V5Nc=")</f>
        <v>#VALUE!</v>
      </c>
      <c r="HI139" t="e">
        <f>AND(tecantrop!H330,"AAAAAD6V5Ng=")</f>
        <v>#VALUE!</v>
      </c>
      <c r="HJ139" t="e">
        <f>AND(tecantrop!I330,"AAAAAD6V5Nk=")</f>
        <v>#VALUE!</v>
      </c>
      <c r="HK139" t="e">
        <f>AND(tecantrop!J330,"AAAAAD6V5No=")</f>
        <v>#VALUE!</v>
      </c>
      <c r="HL139" t="e">
        <f>AND(tecantrop!K330,"AAAAAD6V5Ns=")</f>
        <v>#VALUE!</v>
      </c>
      <c r="HM139" t="e">
        <f>AND(tecantrop!L330,"AAAAAD6V5Nw=")</f>
        <v>#VALUE!</v>
      </c>
      <c r="HN139" t="e">
        <f>AND(tecantrop!M330,"AAAAAD6V5N0=")</f>
        <v>#VALUE!</v>
      </c>
      <c r="HO139" t="e">
        <f>AND(tecantrop!N330,"AAAAAD6V5N4=")</f>
        <v>#VALUE!</v>
      </c>
      <c r="HP139" t="e">
        <f>AND(tecantrop!O330,"AAAAAD6V5N8=")</f>
        <v>#VALUE!</v>
      </c>
      <c r="HQ139" t="e">
        <f>AND(tecantrop!P330,"AAAAAD6V5OA=")</f>
        <v>#VALUE!</v>
      </c>
      <c r="HR139" t="e">
        <f>AND(tecantrop!Q330,"AAAAAD6V5OE=")</f>
        <v>#VALUE!</v>
      </c>
      <c r="HS139" t="e">
        <f>AND(tecantrop!R330,"AAAAAD6V5OI=")</f>
        <v>#VALUE!</v>
      </c>
      <c r="HT139" t="e">
        <f>AND(tecantrop!S330,"AAAAAD6V5OM=")</f>
        <v>#VALUE!</v>
      </c>
      <c r="HU139" t="e">
        <f>AND(tecantrop!T330,"AAAAAD6V5OQ=")</f>
        <v>#VALUE!</v>
      </c>
      <c r="HV139" t="e">
        <f>AND(tecantrop!U330,"AAAAAD6V5OU=")</f>
        <v>#VALUE!</v>
      </c>
      <c r="HW139" t="e">
        <f>AND(tecantrop!V330,"AAAAAD6V5OY=")</f>
        <v>#VALUE!</v>
      </c>
      <c r="HX139" t="e">
        <f>AND(tecantrop!W330,"AAAAAD6V5Oc=")</f>
        <v>#VALUE!</v>
      </c>
      <c r="HY139" t="e">
        <f>AND(tecantrop!X330,"AAAAAD6V5Og=")</f>
        <v>#VALUE!</v>
      </c>
      <c r="HZ139">
        <f>IF(tecantrop!331:331,"AAAAAD6V5Ok=",0)</f>
        <v>0</v>
      </c>
      <c r="IA139" t="e">
        <f>AND(tecantrop!A331,"AAAAAD6V5Oo=")</f>
        <v>#VALUE!</v>
      </c>
      <c r="IB139" t="e">
        <f>AND(tecantrop!B331,"AAAAAD6V5Os=")</f>
        <v>#VALUE!</v>
      </c>
      <c r="IC139" t="e">
        <f>AND(tecantrop!C331,"AAAAAD6V5Ow=")</f>
        <v>#VALUE!</v>
      </c>
      <c r="ID139" t="e">
        <f>AND(tecantrop!D331,"AAAAAD6V5O0=")</f>
        <v>#VALUE!</v>
      </c>
      <c r="IE139" t="e">
        <f>AND(tecantrop!E331,"AAAAAD6V5O4=")</f>
        <v>#VALUE!</v>
      </c>
      <c r="IF139" t="e">
        <f>AND(tecantrop!F331,"AAAAAD6V5O8=")</f>
        <v>#VALUE!</v>
      </c>
      <c r="IG139" t="e">
        <f>AND(tecantrop!G331,"AAAAAD6V5PA=")</f>
        <v>#VALUE!</v>
      </c>
      <c r="IH139" t="e">
        <f>AND(tecantrop!H331,"AAAAAD6V5PE=")</f>
        <v>#VALUE!</v>
      </c>
      <c r="II139" t="e">
        <f>AND(tecantrop!I331,"AAAAAD6V5PI=")</f>
        <v>#VALUE!</v>
      </c>
      <c r="IJ139" t="e">
        <f>AND(tecantrop!J331,"AAAAAD6V5PM=")</f>
        <v>#VALUE!</v>
      </c>
      <c r="IK139" t="e">
        <f>AND(tecantrop!K331,"AAAAAD6V5PQ=")</f>
        <v>#VALUE!</v>
      </c>
      <c r="IL139" t="e">
        <f>AND(tecantrop!L331,"AAAAAD6V5PU=")</f>
        <v>#VALUE!</v>
      </c>
      <c r="IM139" t="e">
        <f>AND(tecantrop!M331,"AAAAAD6V5PY=")</f>
        <v>#VALUE!</v>
      </c>
      <c r="IN139" t="e">
        <f>AND(tecantrop!N331,"AAAAAD6V5Pc=")</f>
        <v>#VALUE!</v>
      </c>
      <c r="IO139" t="e">
        <f>AND(tecantrop!O331,"AAAAAD6V5Pg=")</f>
        <v>#VALUE!</v>
      </c>
      <c r="IP139" t="e">
        <f>AND(tecantrop!P331,"AAAAAD6V5Pk=")</f>
        <v>#VALUE!</v>
      </c>
      <c r="IQ139" t="e">
        <f>AND(tecantrop!Q331,"AAAAAD6V5Po=")</f>
        <v>#VALUE!</v>
      </c>
      <c r="IR139" t="e">
        <f>AND(tecantrop!R331,"AAAAAD6V5Ps=")</f>
        <v>#VALUE!</v>
      </c>
      <c r="IS139" t="e">
        <f>AND(tecantrop!S331,"AAAAAD6V5Pw=")</f>
        <v>#VALUE!</v>
      </c>
      <c r="IT139" t="e">
        <f>AND(tecantrop!T331,"AAAAAD6V5P0=")</f>
        <v>#VALUE!</v>
      </c>
      <c r="IU139" t="e">
        <f>AND(tecantrop!U331,"AAAAAD6V5P4=")</f>
        <v>#VALUE!</v>
      </c>
      <c r="IV139" t="e">
        <f>AND(tecantrop!V331,"AAAAAD6V5P8=")</f>
        <v>#VALUE!</v>
      </c>
    </row>
    <row r="140" spans="1:256" x14ac:dyDescent="0.2">
      <c r="A140" t="e">
        <f>AND(tecantrop!W331,"AAAAAF971wA=")</f>
        <v>#VALUE!</v>
      </c>
      <c r="B140" t="e">
        <f>AND(tecantrop!X331,"AAAAAF971wE=")</f>
        <v>#VALUE!</v>
      </c>
      <c r="C140">
        <f>IF(tecantrop!332:332,"AAAAAF971wI=",0)</f>
        <v>0</v>
      </c>
      <c r="D140" t="e">
        <f>AND(tecantrop!A332,"AAAAAF971wM=")</f>
        <v>#VALUE!</v>
      </c>
      <c r="E140" t="e">
        <f>AND(tecantrop!B332,"AAAAAF971wQ=")</f>
        <v>#VALUE!</v>
      </c>
      <c r="F140" t="e">
        <f>AND(tecantrop!C332,"AAAAAF971wU=")</f>
        <v>#VALUE!</v>
      </c>
      <c r="G140" t="e">
        <f>AND(tecantrop!D332,"AAAAAF971wY=")</f>
        <v>#VALUE!</v>
      </c>
      <c r="H140" t="e">
        <f>AND(tecantrop!E332,"AAAAAF971wc=")</f>
        <v>#VALUE!</v>
      </c>
      <c r="I140" t="e">
        <f>AND(tecantrop!F332,"AAAAAF971wg=")</f>
        <v>#VALUE!</v>
      </c>
      <c r="J140" t="e">
        <f>AND(tecantrop!G332,"AAAAAF971wk=")</f>
        <v>#VALUE!</v>
      </c>
      <c r="K140" t="e">
        <f>AND(tecantrop!H332,"AAAAAF971wo=")</f>
        <v>#VALUE!</v>
      </c>
      <c r="L140" t="e">
        <f>AND(tecantrop!I332,"AAAAAF971ws=")</f>
        <v>#VALUE!</v>
      </c>
      <c r="M140" t="e">
        <f>AND(tecantrop!J332,"AAAAAF971ww=")</f>
        <v>#VALUE!</v>
      </c>
      <c r="N140" t="e">
        <f>AND(tecantrop!K332,"AAAAAF971w0=")</f>
        <v>#VALUE!</v>
      </c>
      <c r="O140" t="e">
        <f>AND(tecantrop!L332,"AAAAAF971w4=")</f>
        <v>#VALUE!</v>
      </c>
      <c r="P140" t="e">
        <f>AND(tecantrop!M332,"AAAAAF971w8=")</f>
        <v>#VALUE!</v>
      </c>
      <c r="Q140" t="e">
        <f>AND(tecantrop!N332,"AAAAAF971xA=")</f>
        <v>#VALUE!</v>
      </c>
      <c r="R140" t="e">
        <f>AND(tecantrop!O332,"AAAAAF971xE=")</f>
        <v>#VALUE!</v>
      </c>
      <c r="S140" t="e">
        <f>AND(tecantrop!P332,"AAAAAF971xI=")</f>
        <v>#VALUE!</v>
      </c>
      <c r="T140" t="e">
        <f>AND(tecantrop!Q332,"AAAAAF971xM=")</f>
        <v>#VALUE!</v>
      </c>
      <c r="U140" t="e">
        <f>AND(tecantrop!R332,"AAAAAF971xQ=")</f>
        <v>#VALUE!</v>
      </c>
      <c r="V140" t="e">
        <f>AND(tecantrop!S332,"AAAAAF971xU=")</f>
        <v>#VALUE!</v>
      </c>
      <c r="W140" t="e">
        <f>AND(tecantrop!T332,"AAAAAF971xY=")</f>
        <v>#VALUE!</v>
      </c>
      <c r="X140" t="e">
        <f>AND(tecantrop!U332,"AAAAAF971xc=")</f>
        <v>#VALUE!</v>
      </c>
      <c r="Y140" t="e">
        <f>AND(tecantrop!V332,"AAAAAF971xg=")</f>
        <v>#VALUE!</v>
      </c>
      <c r="Z140" t="e">
        <f>AND(tecantrop!W332,"AAAAAF971xk=")</f>
        <v>#VALUE!</v>
      </c>
      <c r="AA140" t="e">
        <f>AND(tecantrop!X332,"AAAAAF971xo=")</f>
        <v>#VALUE!</v>
      </c>
      <c r="AB140">
        <f>IF(tecantrop!333:333,"AAAAAF971xs=",0)</f>
        <v>0</v>
      </c>
      <c r="AC140" t="e">
        <f>AND(tecantrop!A333,"AAAAAF971xw=")</f>
        <v>#VALUE!</v>
      </c>
      <c r="AD140" t="e">
        <f>AND(tecantrop!B333,"AAAAAF971x0=")</f>
        <v>#VALUE!</v>
      </c>
      <c r="AE140" t="e">
        <f>AND(tecantrop!C333,"AAAAAF971x4=")</f>
        <v>#VALUE!</v>
      </c>
      <c r="AF140" t="e">
        <f>AND(tecantrop!D333,"AAAAAF971x8=")</f>
        <v>#VALUE!</v>
      </c>
      <c r="AG140" t="e">
        <f>AND(tecantrop!E333,"AAAAAF971yA=")</f>
        <v>#VALUE!</v>
      </c>
      <c r="AH140" t="e">
        <f>AND(tecantrop!F333,"AAAAAF971yE=")</f>
        <v>#VALUE!</v>
      </c>
      <c r="AI140" t="e">
        <f>AND(tecantrop!G333,"AAAAAF971yI=")</f>
        <v>#VALUE!</v>
      </c>
      <c r="AJ140" t="e">
        <f>AND(tecantrop!H333,"AAAAAF971yM=")</f>
        <v>#VALUE!</v>
      </c>
      <c r="AK140" t="e">
        <f>AND(tecantrop!I333,"AAAAAF971yQ=")</f>
        <v>#VALUE!</v>
      </c>
      <c r="AL140" t="e">
        <f>AND(tecantrop!J333,"AAAAAF971yU=")</f>
        <v>#VALUE!</v>
      </c>
      <c r="AM140" t="e">
        <f>AND(tecantrop!K333,"AAAAAF971yY=")</f>
        <v>#VALUE!</v>
      </c>
      <c r="AN140" t="e">
        <f>AND(tecantrop!L333,"AAAAAF971yc=")</f>
        <v>#VALUE!</v>
      </c>
      <c r="AO140" t="e">
        <f>AND(tecantrop!M333,"AAAAAF971yg=")</f>
        <v>#VALUE!</v>
      </c>
      <c r="AP140" t="e">
        <f>AND(tecantrop!N333,"AAAAAF971yk=")</f>
        <v>#VALUE!</v>
      </c>
      <c r="AQ140" t="e">
        <f>AND(tecantrop!O333,"AAAAAF971yo=")</f>
        <v>#VALUE!</v>
      </c>
      <c r="AR140" t="e">
        <f>AND(tecantrop!P333,"AAAAAF971ys=")</f>
        <v>#VALUE!</v>
      </c>
      <c r="AS140" t="e">
        <f>AND(tecantrop!Q333,"AAAAAF971yw=")</f>
        <v>#VALUE!</v>
      </c>
      <c r="AT140" t="e">
        <f>AND(tecantrop!R333,"AAAAAF971y0=")</f>
        <v>#VALUE!</v>
      </c>
      <c r="AU140" t="e">
        <f>AND(tecantrop!S333,"AAAAAF971y4=")</f>
        <v>#VALUE!</v>
      </c>
      <c r="AV140" t="e">
        <f>AND(tecantrop!T333,"AAAAAF971y8=")</f>
        <v>#VALUE!</v>
      </c>
      <c r="AW140" t="e">
        <f>AND(tecantrop!U333,"AAAAAF971zA=")</f>
        <v>#VALUE!</v>
      </c>
      <c r="AX140" t="e">
        <f>AND(tecantrop!V333,"AAAAAF971zE=")</f>
        <v>#VALUE!</v>
      </c>
      <c r="AY140" t="e">
        <f>AND(tecantrop!W333,"AAAAAF971zI=")</f>
        <v>#VALUE!</v>
      </c>
      <c r="AZ140" t="e">
        <f>AND(tecantrop!X333,"AAAAAF971zM=")</f>
        <v>#VALUE!</v>
      </c>
      <c r="BA140">
        <f>IF(tecantrop!334:334,"AAAAAF971zQ=",0)</f>
        <v>0</v>
      </c>
      <c r="BB140" t="e">
        <f>AND(tecantrop!A334,"AAAAAF971zU=")</f>
        <v>#VALUE!</v>
      </c>
      <c r="BC140" t="e">
        <f>AND(tecantrop!B334,"AAAAAF971zY=")</f>
        <v>#VALUE!</v>
      </c>
      <c r="BD140" t="e">
        <f>AND(tecantrop!C334,"AAAAAF971zc=")</f>
        <v>#VALUE!</v>
      </c>
      <c r="BE140" t="e">
        <f>AND(tecantrop!D334,"AAAAAF971zg=")</f>
        <v>#VALUE!</v>
      </c>
      <c r="BF140" t="e">
        <f>AND(tecantrop!E334,"AAAAAF971zk=")</f>
        <v>#VALUE!</v>
      </c>
      <c r="BG140" t="e">
        <f>AND(tecantrop!F334,"AAAAAF971zo=")</f>
        <v>#VALUE!</v>
      </c>
      <c r="BH140" t="e">
        <f>AND(tecantrop!G334,"AAAAAF971zs=")</f>
        <v>#VALUE!</v>
      </c>
      <c r="BI140" t="e">
        <f>AND(tecantrop!H334,"AAAAAF971zw=")</f>
        <v>#VALUE!</v>
      </c>
      <c r="BJ140" t="e">
        <f>AND(tecantrop!I334,"AAAAAF971z0=")</f>
        <v>#VALUE!</v>
      </c>
      <c r="BK140" t="e">
        <f>AND(tecantrop!J334,"AAAAAF971z4=")</f>
        <v>#VALUE!</v>
      </c>
      <c r="BL140" t="e">
        <f>AND(tecantrop!K334,"AAAAAF971z8=")</f>
        <v>#VALUE!</v>
      </c>
      <c r="BM140" t="e">
        <f>AND(tecantrop!L334,"AAAAAF9710A=")</f>
        <v>#VALUE!</v>
      </c>
      <c r="BN140" t="e">
        <f>AND(tecantrop!M334,"AAAAAF9710E=")</f>
        <v>#VALUE!</v>
      </c>
      <c r="BO140" t="e">
        <f>AND(tecantrop!N334,"AAAAAF9710I=")</f>
        <v>#VALUE!</v>
      </c>
      <c r="BP140" t="e">
        <f>AND(tecantrop!O334,"AAAAAF9710M=")</f>
        <v>#VALUE!</v>
      </c>
      <c r="BQ140" t="e">
        <f>AND(tecantrop!P334,"AAAAAF9710Q=")</f>
        <v>#VALUE!</v>
      </c>
      <c r="BR140" t="e">
        <f>AND(tecantrop!Q334,"AAAAAF9710U=")</f>
        <v>#VALUE!</v>
      </c>
      <c r="BS140" t="e">
        <f>AND(tecantrop!R334,"AAAAAF9710Y=")</f>
        <v>#VALUE!</v>
      </c>
      <c r="BT140" t="e">
        <f>AND(tecantrop!S334,"AAAAAF9710c=")</f>
        <v>#VALUE!</v>
      </c>
      <c r="BU140" t="e">
        <f>AND(tecantrop!T334,"AAAAAF9710g=")</f>
        <v>#VALUE!</v>
      </c>
      <c r="BV140" t="e">
        <f>AND(tecantrop!U334,"AAAAAF9710k=")</f>
        <v>#VALUE!</v>
      </c>
      <c r="BW140" t="e">
        <f>AND(tecantrop!V334,"AAAAAF9710o=")</f>
        <v>#VALUE!</v>
      </c>
      <c r="BX140" t="e">
        <f>AND(tecantrop!W334,"AAAAAF9710s=")</f>
        <v>#VALUE!</v>
      </c>
      <c r="BY140" t="e">
        <f>AND(tecantrop!X334,"AAAAAF9710w=")</f>
        <v>#VALUE!</v>
      </c>
      <c r="BZ140">
        <f>IF(tecantrop!335:335,"AAAAAF97100=",0)</f>
        <v>0</v>
      </c>
      <c r="CA140" t="e">
        <f>AND(tecantrop!A335,"AAAAAF97104=")</f>
        <v>#VALUE!</v>
      </c>
      <c r="CB140" t="e">
        <f>AND(tecantrop!B335,"AAAAAF97108=")</f>
        <v>#VALUE!</v>
      </c>
      <c r="CC140" t="e">
        <f>AND(tecantrop!C335,"AAAAAF9711A=")</f>
        <v>#VALUE!</v>
      </c>
      <c r="CD140" t="e">
        <f>AND(tecantrop!D335,"AAAAAF9711E=")</f>
        <v>#VALUE!</v>
      </c>
      <c r="CE140" t="e">
        <f>AND(tecantrop!E335,"AAAAAF9711I=")</f>
        <v>#VALUE!</v>
      </c>
      <c r="CF140" t="e">
        <f>AND(tecantrop!F335,"AAAAAF9711M=")</f>
        <v>#VALUE!</v>
      </c>
      <c r="CG140" t="e">
        <f>AND(tecantrop!G335,"AAAAAF9711Q=")</f>
        <v>#VALUE!</v>
      </c>
      <c r="CH140" t="e">
        <f>AND(tecantrop!H335,"AAAAAF9711U=")</f>
        <v>#VALUE!</v>
      </c>
      <c r="CI140" t="e">
        <f>AND(tecantrop!I335,"AAAAAF9711Y=")</f>
        <v>#VALUE!</v>
      </c>
      <c r="CJ140" t="e">
        <f>AND(tecantrop!J335,"AAAAAF9711c=")</f>
        <v>#VALUE!</v>
      </c>
      <c r="CK140" t="e">
        <f>AND(tecantrop!K335,"AAAAAF9711g=")</f>
        <v>#VALUE!</v>
      </c>
      <c r="CL140" t="e">
        <f>AND(tecantrop!L335,"AAAAAF9711k=")</f>
        <v>#VALUE!</v>
      </c>
      <c r="CM140" t="e">
        <f>AND(tecantrop!M335,"AAAAAF9711o=")</f>
        <v>#VALUE!</v>
      </c>
      <c r="CN140" t="e">
        <f>AND(tecantrop!N335,"AAAAAF9711s=")</f>
        <v>#VALUE!</v>
      </c>
      <c r="CO140" t="e">
        <f>AND(tecantrop!O335,"AAAAAF9711w=")</f>
        <v>#VALUE!</v>
      </c>
      <c r="CP140" t="e">
        <f>AND(tecantrop!P335,"AAAAAF97110=")</f>
        <v>#VALUE!</v>
      </c>
      <c r="CQ140" t="e">
        <f>AND(tecantrop!Q335,"AAAAAF97114=")</f>
        <v>#VALUE!</v>
      </c>
      <c r="CR140" t="e">
        <f>AND(tecantrop!R335,"AAAAAF97118=")</f>
        <v>#VALUE!</v>
      </c>
      <c r="CS140" t="e">
        <f>AND(tecantrop!S335,"AAAAAF9712A=")</f>
        <v>#VALUE!</v>
      </c>
      <c r="CT140" t="e">
        <f>AND(tecantrop!T335,"AAAAAF9712E=")</f>
        <v>#VALUE!</v>
      </c>
      <c r="CU140" t="e">
        <f>AND(tecantrop!U335,"AAAAAF9712I=")</f>
        <v>#VALUE!</v>
      </c>
      <c r="CV140" t="e">
        <f>AND(tecantrop!V335,"AAAAAF9712M=")</f>
        <v>#VALUE!</v>
      </c>
      <c r="CW140" t="e">
        <f>AND(tecantrop!W335,"AAAAAF9712Q=")</f>
        <v>#VALUE!</v>
      </c>
      <c r="CX140" t="e">
        <f>AND(tecantrop!X335,"AAAAAF9712U=")</f>
        <v>#VALUE!</v>
      </c>
      <c r="CY140">
        <f>IF(tecantrop!336:336,"AAAAAF9712Y=",0)</f>
        <v>0</v>
      </c>
      <c r="CZ140" t="e">
        <f>AND(tecantrop!A336,"AAAAAF9712c=")</f>
        <v>#VALUE!</v>
      </c>
      <c r="DA140" t="e">
        <f>AND(tecantrop!B336,"AAAAAF9712g=")</f>
        <v>#VALUE!</v>
      </c>
      <c r="DB140" t="e">
        <f>AND(tecantrop!C336,"AAAAAF9712k=")</f>
        <v>#VALUE!</v>
      </c>
      <c r="DC140" t="e">
        <f>AND(tecantrop!D336,"AAAAAF9712o=")</f>
        <v>#VALUE!</v>
      </c>
      <c r="DD140" t="e">
        <f>AND(tecantrop!E336,"AAAAAF9712s=")</f>
        <v>#VALUE!</v>
      </c>
      <c r="DE140" t="e">
        <f>AND(tecantrop!F336,"AAAAAF9712w=")</f>
        <v>#VALUE!</v>
      </c>
      <c r="DF140" t="e">
        <f>AND(tecantrop!G336,"AAAAAF97120=")</f>
        <v>#VALUE!</v>
      </c>
      <c r="DG140" t="e">
        <f>AND(tecantrop!H336,"AAAAAF97124=")</f>
        <v>#VALUE!</v>
      </c>
      <c r="DH140" t="e">
        <f>AND(tecantrop!I336,"AAAAAF97128=")</f>
        <v>#VALUE!</v>
      </c>
      <c r="DI140" t="e">
        <f>AND(tecantrop!J336,"AAAAAF9713A=")</f>
        <v>#VALUE!</v>
      </c>
      <c r="DJ140" t="e">
        <f>AND(tecantrop!K336,"AAAAAF9713E=")</f>
        <v>#VALUE!</v>
      </c>
      <c r="DK140" t="e">
        <f>AND(tecantrop!L336,"AAAAAF9713I=")</f>
        <v>#VALUE!</v>
      </c>
      <c r="DL140" t="e">
        <f>AND(tecantrop!M336,"AAAAAF9713M=")</f>
        <v>#VALUE!</v>
      </c>
      <c r="DM140" t="e">
        <f>AND(tecantrop!N336,"AAAAAF9713Q=")</f>
        <v>#VALUE!</v>
      </c>
      <c r="DN140" t="e">
        <f>AND(tecantrop!O336,"AAAAAF9713U=")</f>
        <v>#VALUE!</v>
      </c>
      <c r="DO140" t="e">
        <f>AND(tecantrop!P336,"AAAAAF9713Y=")</f>
        <v>#VALUE!</v>
      </c>
      <c r="DP140" t="e">
        <f>AND(tecantrop!Q336,"AAAAAF9713c=")</f>
        <v>#VALUE!</v>
      </c>
      <c r="DQ140" t="e">
        <f>AND(tecantrop!R336,"AAAAAF9713g=")</f>
        <v>#VALUE!</v>
      </c>
      <c r="DR140" t="e">
        <f>AND(tecantrop!S336,"AAAAAF9713k=")</f>
        <v>#VALUE!</v>
      </c>
      <c r="DS140" t="e">
        <f>AND(tecantrop!T336,"AAAAAF9713o=")</f>
        <v>#VALUE!</v>
      </c>
      <c r="DT140" t="e">
        <f>AND(tecantrop!U336,"AAAAAF9713s=")</f>
        <v>#VALUE!</v>
      </c>
      <c r="DU140" t="e">
        <f>AND(tecantrop!V336,"AAAAAF9713w=")</f>
        <v>#VALUE!</v>
      </c>
      <c r="DV140" t="e">
        <f>AND(tecantrop!W336,"AAAAAF97130=")</f>
        <v>#VALUE!</v>
      </c>
      <c r="DW140" t="e">
        <f>AND(tecantrop!X336,"AAAAAF97134=")</f>
        <v>#VALUE!</v>
      </c>
      <c r="DX140">
        <f>IF(tecantrop!337:337,"AAAAAF97138=",0)</f>
        <v>0</v>
      </c>
      <c r="DY140" t="e">
        <f>AND(tecantrop!A337,"AAAAAF9714A=")</f>
        <v>#VALUE!</v>
      </c>
      <c r="DZ140" t="e">
        <f>AND(tecantrop!B337,"AAAAAF9714E=")</f>
        <v>#VALUE!</v>
      </c>
      <c r="EA140" t="e">
        <f>AND(tecantrop!C337,"AAAAAF9714I=")</f>
        <v>#VALUE!</v>
      </c>
      <c r="EB140" t="e">
        <f>AND(tecantrop!D337,"AAAAAF9714M=")</f>
        <v>#VALUE!</v>
      </c>
      <c r="EC140" t="e">
        <f>AND(tecantrop!E337,"AAAAAF9714Q=")</f>
        <v>#VALUE!</v>
      </c>
      <c r="ED140" t="e">
        <f>AND(tecantrop!F337,"AAAAAF9714U=")</f>
        <v>#VALUE!</v>
      </c>
      <c r="EE140" t="e">
        <f>AND(tecantrop!G337,"AAAAAF9714Y=")</f>
        <v>#VALUE!</v>
      </c>
      <c r="EF140" t="e">
        <f>AND(tecantrop!H337,"AAAAAF9714c=")</f>
        <v>#VALUE!</v>
      </c>
      <c r="EG140" t="e">
        <f>AND(tecantrop!I337,"AAAAAF9714g=")</f>
        <v>#VALUE!</v>
      </c>
      <c r="EH140" t="e">
        <f>AND(tecantrop!J337,"AAAAAF9714k=")</f>
        <v>#VALUE!</v>
      </c>
      <c r="EI140" t="e">
        <f>AND(tecantrop!K337,"AAAAAF9714o=")</f>
        <v>#VALUE!</v>
      </c>
      <c r="EJ140" t="e">
        <f>AND(tecantrop!L337,"AAAAAF9714s=")</f>
        <v>#VALUE!</v>
      </c>
      <c r="EK140" t="e">
        <f>AND(tecantrop!M337,"AAAAAF9714w=")</f>
        <v>#VALUE!</v>
      </c>
      <c r="EL140" t="e">
        <f>AND(tecantrop!N337,"AAAAAF97140=")</f>
        <v>#VALUE!</v>
      </c>
      <c r="EM140" t="e">
        <f>AND(tecantrop!O337,"AAAAAF97144=")</f>
        <v>#VALUE!</v>
      </c>
      <c r="EN140" t="e">
        <f>AND(tecantrop!P337,"AAAAAF97148=")</f>
        <v>#VALUE!</v>
      </c>
      <c r="EO140" t="e">
        <f>AND(tecantrop!Q337,"AAAAAF9715A=")</f>
        <v>#VALUE!</v>
      </c>
      <c r="EP140" t="e">
        <f>AND(tecantrop!R337,"AAAAAF9715E=")</f>
        <v>#VALUE!</v>
      </c>
      <c r="EQ140" t="e">
        <f>AND(tecantrop!S337,"AAAAAF9715I=")</f>
        <v>#VALUE!</v>
      </c>
      <c r="ER140" t="e">
        <f>AND(tecantrop!T337,"AAAAAF9715M=")</f>
        <v>#VALUE!</v>
      </c>
      <c r="ES140" t="e">
        <f>AND(tecantrop!U337,"AAAAAF9715Q=")</f>
        <v>#VALUE!</v>
      </c>
      <c r="ET140" t="e">
        <f>AND(tecantrop!V337,"AAAAAF9715U=")</f>
        <v>#VALUE!</v>
      </c>
      <c r="EU140" t="e">
        <f>AND(tecantrop!W337,"AAAAAF9715Y=")</f>
        <v>#VALUE!</v>
      </c>
      <c r="EV140" t="e">
        <f>AND(tecantrop!X337,"AAAAAF9715c=")</f>
        <v>#VALUE!</v>
      </c>
      <c r="EW140">
        <f>IF(tecantrop!338:338,"AAAAAF9715g=",0)</f>
        <v>0</v>
      </c>
      <c r="EX140" t="e">
        <f>AND(tecantrop!A338,"AAAAAF9715k=")</f>
        <v>#VALUE!</v>
      </c>
      <c r="EY140" t="e">
        <f>AND(tecantrop!B338,"AAAAAF9715o=")</f>
        <v>#VALUE!</v>
      </c>
      <c r="EZ140" t="e">
        <f>AND(tecantrop!C338,"AAAAAF9715s=")</f>
        <v>#VALUE!</v>
      </c>
      <c r="FA140" t="e">
        <f>AND(tecantrop!D338,"AAAAAF9715w=")</f>
        <v>#VALUE!</v>
      </c>
      <c r="FB140" t="e">
        <f>AND(tecantrop!E338,"AAAAAF97150=")</f>
        <v>#VALUE!</v>
      </c>
      <c r="FC140" t="e">
        <f>AND(tecantrop!F338,"AAAAAF97154=")</f>
        <v>#VALUE!</v>
      </c>
      <c r="FD140" t="e">
        <f>AND(tecantrop!G338,"AAAAAF97158=")</f>
        <v>#VALUE!</v>
      </c>
      <c r="FE140" t="e">
        <f>AND(tecantrop!H338,"AAAAAF9716A=")</f>
        <v>#VALUE!</v>
      </c>
      <c r="FF140" t="e">
        <f>AND(tecantrop!I338,"AAAAAF9716E=")</f>
        <v>#VALUE!</v>
      </c>
      <c r="FG140" t="e">
        <f>AND(tecantrop!J338,"AAAAAF9716I=")</f>
        <v>#VALUE!</v>
      </c>
      <c r="FH140" t="e">
        <f>AND(tecantrop!K338,"AAAAAF9716M=")</f>
        <v>#VALUE!</v>
      </c>
      <c r="FI140" t="e">
        <f>AND(tecantrop!L338,"AAAAAF9716Q=")</f>
        <v>#VALUE!</v>
      </c>
      <c r="FJ140" t="e">
        <f>AND(tecantrop!M338,"AAAAAF9716U=")</f>
        <v>#VALUE!</v>
      </c>
      <c r="FK140" t="e">
        <f>AND(tecantrop!N338,"AAAAAF9716Y=")</f>
        <v>#VALUE!</v>
      </c>
      <c r="FL140" t="e">
        <f>AND(tecantrop!O338,"AAAAAF9716c=")</f>
        <v>#VALUE!</v>
      </c>
      <c r="FM140" t="e">
        <f>AND(tecantrop!P338,"AAAAAF9716g=")</f>
        <v>#VALUE!</v>
      </c>
      <c r="FN140" t="e">
        <f>AND(tecantrop!Q338,"AAAAAF9716k=")</f>
        <v>#VALUE!</v>
      </c>
      <c r="FO140" t="e">
        <f>AND(tecantrop!R338,"AAAAAF9716o=")</f>
        <v>#VALUE!</v>
      </c>
      <c r="FP140" t="e">
        <f>AND(tecantrop!S338,"AAAAAF9716s=")</f>
        <v>#VALUE!</v>
      </c>
      <c r="FQ140" t="e">
        <f>AND(tecantrop!T338,"AAAAAF9716w=")</f>
        <v>#VALUE!</v>
      </c>
      <c r="FR140" t="e">
        <f>AND(tecantrop!U338,"AAAAAF97160=")</f>
        <v>#VALUE!</v>
      </c>
      <c r="FS140" t="e">
        <f>AND(tecantrop!V338,"AAAAAF97164=")</f>
        <v>#VALUE!</v>
      </c>
      <c r="FT140" t="e">
        <f>AND(tecantrop!W338,"AAAAAF97168=")</f>
        <v>#VALUE!</v>
      </c>
      <c r="FU140" t="e">
        <f>AND(tecantrop!X338,"AAAAAF9717A=")</f>
        <v>#VALUE!</v>
      </c>
      <c r="FV140">
        <f>IF(tecantrop!339:339,"AAAAAF9717E=",0)</f>
        <v>0</v>
      </c>
      <c r="FW140" t="e">
        <f>AND(tecantrop!A339,"AAAAAF9717I=")</f>
        <v>#VALUE!</v>
      </c>
      <c r="FX140" t="e">
        <f>AND(tecantrop!B339,"AAAAAF9717M=")</f>
        <v>#VALUE!</v>
      </c>
      <c r="FY140" t="e">
        <f>AND(tecantrop!C339,"AAAAAF9717Q=")</f>
        <v>#VALUE!</v>
      </c>
      <c r="FZ140" t="e">
        <f>AND(tecantrop!D339,"AAAAAF9717U=")</f>
        <v>#VALUE!</v>
      </c>
      <c r="GA140" t="e">
        <f>AND(tecantrop!E339,"AAAAAF9717Y=")</f>
        <v>#VALUE!</v>
      </c>
      <c r="GB140" t="e">
        <f>AND(tecantrop!F339,"AAAAAF9717c=")</f>
        <v>#VALUE!</v>
      </c>
      <c r="GC140" t="e">
        <f>AND(tecantrop!G339,"AAAAAF9717g=")</f>
        <v>#VALUE!</v>
      </c>
      <c r="GD140" t="e">
        <f>AND(tecantrop!H339,"AAAAAF9717k=")</f>
        <v>#VALUE!</v>
      </c>
      <c r="GE140" t="e">
        <f>AND(tecantrop!I339,"AAAAAF9717o=")</f>
        <v>#VALUE!</v>
      </c>
      <c r="GF140" t="e">
        <f>AND(tecantrop!J339,"AAAAAF9717s=")</f>
        <v>#VALUE!</v>
      </c>
      <c r="GG140" t="e">
        <f>AND(tecantrop!K339,"AAAAAF9717w=")</f>
        <v>#VALUE!</v>
      </c>
      <c r="GH140" t="e">
        <f>AND(tecantrop!L339,"AAAAAF97170=")</f>
        <v>#VALUE!</v>
      </c>
      <c r="GI140" t="e">
        <f>AND(tecantrop!M339,"AAAAAF97174=")</f>
        <v>#VALUE!</v>
      </c>
      <c r="GJ140" t="e">
        <f>AND(tecantrop!N339,"AAAAAF97178=")</f>
        <v>#VALUE!</v>
      </c>
      <c r="GK140" t="e">
        <f>AND(tecantrop!O339,"AAAAAF9718A=")</f>
        <v>#VALUE!</v>
      </c>
      <c r="GL140" t="e">
        <f>AND(tecantrop!P339,"AAAAAF9718E=")</f>
        <v>#VALUE!</v>
      </c>
      <c r="GM140" t="e">
        <f>AND(tecantrop!Q339,"AAAAAF9718I=")</f>
        <v>#VALUE!</v>
      </c>
      <c r="GN140" t="e">
        <f>AND(tecantrop!R339,"AAAAAF9718M=")</f>
        <v>#VALUE!</v>
      </c>
      <c r="GO140" t="e">
        <f>AND(tecantrop!S339,"AAAAAF9718Q=")</f>
        <v>#VALUE!</v>
      </c>
      <c r="GP140" t="e">
        <f>AND(tecantrop!T339,"AAAAAF9718U=")</f>
        <v>#VALUE!</v>
      </c>
      <c r="GQ140" t="e">
        <f>AND(tecantrop!U339,"AAAAAF9718Y=")</f>
        <v>#VALUE!</v>
      </c>
      <c r="GR140" t="e">
        <f>AND(tecantrop!V339,"AAAAAF9718c=")</f>
        <v>#VALUE!</v>
      </c>
      <c r="GS140" t="e">
        <f>AND(tecantrop!W339,"AAAAAF9718g=")</f>
        <v>#VALUE!</v>
      </c>
      <c r="GT140" t="e">
        <f>AND(tecantrop!X339,"AAAAAF9718k=")</f>
        <v>#VALUE!</v>
      </c>
      <c r="GU140">
        <f>IF(tecantrop!340:340,"AAAAAF9718o=",0)</f>
        <v>0</v>
      </c>
      <c r="GV140" t="e">
        <f>AND(tecantrop!A340,"AAAAAF9718s=")</f>
        <v>#VALUE!</v>
      </c>
      <c r="GW140" t="e">
        <f>AND(tecantrop!B340,"AAAAAF9718w=")</f>
        <v>#VALUE!</v>
      </c>
      <c r="GX140" t="e">
        <f>AND(tecantrop!C340,"AAAAAF97180=")</f>
        <v>#VALUE!</v>
      </c>
      <c r="GY140" t="e">
        <f>AND(tecantrop!D340,"AAAAAF97184=")</f>
        <v>#VALUE!</v>
      </c>
      <c r="GZ140" t="e">
        <f>AND(tecantrop!E340,"AAAAAF97188=")</f>
        <v>#VALUE!</v>
      </c>
      <c r="HA140" t="e">
        <f>AND(tecantrop!F340,"AAAAAF9719A=")</f>
        <v>#VALUE!</v>
      </c>
      <c r="HB140" t="e">
        <f>AND(tecantrop!G340,"AAAAAF9719E=")</f>
        <v>#VALUE!</v>
      </c>
      <c r="HC140" t="e">
        <f>AND(tecantrop!H340,"AAAAAF9719I=")</f>
        <v>#VALUE!</v>
      </c>
      <c r="HD140" t="e">
        <f>AND(tecantrop!I340,"AAAAAF9719M=")</f>
        <v>#VALUE!</v>
      </c>
      <c r="HE140" t="e">
        <f>AND(tecantrop!J340,"AAAAAF9719Q=")</f>
        <v>#VALUE!</v>
      </c>
      <c r="HF140" t="e">
        <f>AND(tecantrop!K340,"AAAAAF9719U=")</f>
        <v>#VALUE!</v>
      </c>
      <c r="HG140" t="e">
        <f>AND(tecantrop!L340,"AAAAAF9719Y=")</f>
        <v>#VALUE!</v>
      </c>
      <c r="HH140" t="e">
        <f>AND(tecantrop!M340,"AAAAAF9719c=")</f>
        <v>#VALUE!</v>
      </c>
      <c r="HI140" t="e">
        <f>AND(tecantrop!N340,"AAAAAF9719g=")</f>
        <v>#VALUE!</v>
      </c>
      <c r="HJ140" t="e">
        <f>AND(tecantrop!O340,"AAAAAF9719k=")</f>
        <v>#VALUE!</v>
      </c>
      <c r="HK140" t="e">
        <f>AND(tecantrop!P340,"AAAAAF9719o=")</f>
        <v>#VALUE!</v>
      </c>
      <c r="HL140" t="e">
        <f>AND(tecantrop!Q340,"AAAAAF9719s=")</f>
        <v>#VALUE!</v>
      </c>
      <c r="HM140" t="e">
        <f>AND(tecantrop!R340,"AAAAAF9719w=")</f>
        <v>#VALUE!</v>
      </c>
      <c r="HN140" t="e">
        <f>AND(tecantrop!S340,"AAAAAF97190=")</f>
        <v>#VALUE!</v>
      </c>
      <c r="HO140" t="e">
        <f>AND(tecantrop!T340,"AAAAAF97194=")</f>
        <v>#VALUE!</v>
      </c>
      <c r="HP140" t="e">
        <f>AND(tecantrop!U340,"AAAAAF97198=")</f>
        <v>#VALUE!</v>
      </c>
      <c r="HQ140" t="e">
        <f>AND(tecantrop!V340,"AAAAAF971+A=")</f>
        <v>#VALUE!</v>
      </c>
      <c r="HR140" t="e">
        <f>AND(tecantrop!W340,"AAAAAF971+E=")</f>
        <v>#VALUE!</v>
      </c>
      <c r="HS140" t="e">
        <f>AND(tecantrop!X340,"AAAAAF971+I=")</f>
        <v>#VALUE!</v>
      </c>
      <c r="HT140">
        <f>IF(tecantrop!341:341,"AAAAAF971+M=",0)</f>
        <v>0</v>
      </c>
      <c r="HU140" t="e">
        <f>AND(tecantrop!A341,"AAAAAF971+Q=")</f>
        <v>#VALUE!</v>
      </c>
      <c r="HV140" t="e">
        <f>AND(tecantrop!B341,"AAAAAF971+U=")</f>
        <v>#VALUE!</v>
      </c>
      <c r="HW140" t="e">
        <f>AND(tecantrop!C341,"AAAAAF971+Y=")</f>
        <v>#VALUE!</v>
      </c>
      <c r="HX140" t="e">
        <f>AND(tecantrop!D341,"AAAAAF971+c=")</f>
        <v>#VALUE!</v>
      </c>
      <c r="HY140" t="e">
        <f>AND(tecantrop!E341,"AAAAAF971+g=")</f>
        <v>#VALUE!</v>
      </c>
      <c r="HZ140" t="e">
        <f>AND(tecantrop!F341,"AAAAAF971+k=")</f>
        <v>#VALUE!</v>
      </c>
      <c r="IA140" t="e">
        <f>AND(tecantrop!G341,"AAAAAF971+o=")</f>
        <v>#VALUE!</v>
      </c>
      <c r="IB140" t="e">
        <f>AND(tecantrop!H341,"AAAAAF971+s=")</f>
        <v>#VALUE!</v>
      </c>
      <c r="IC140" t="e">
        <f>AND(tecantrop!I341,"AAAAAF971+w=")</f>
        <v>#VALUE!</v>
      </c>
      <c r="ID140" t="e">
        <f>AND(tecantrop!J341,"AAAAAF971+0=")</f>
        <v>#VALUE!</v>
      </c>
      <c r="IE140" t="e">
        <f>AND(tecantrop!K341,"AAAAAF971+4=")</f>
        <v>#VALUE!</v>
      </c>
      <c r="IF140" t="e">
        <f>AND(tecantrop!L341,"AAAAAF971+8=")</f>
        <v>#VALUE!</v>
      </c>
      <c r="IG140" t="e">
        <f>AND(tecantrop!M341,"AAAAAF971/A=")</f>
        <v>#VALUE!</v>
      </c>
      <c r="IH140" t="e">
        <f>AND(tecantrop!N341,"AAAAAF971/E=")</f>
        <v>#VALUE!</v>
      </c>
      <c r="II140" t="e">
        <f>AND(tecantrop!O341,"AAAAAF971/I=")</f>
        <v>#VALUE!</v>
      </c>
      <c r="IJ140" t="e">
        <f>AND(tecantrop!P341,"AAAAAF971/M=")</f>
        <v>#VALUE!</v>
      </c>
      <c r="IK140" t="e">
        <f>AND(tecantrop!Q341,"AAAAAF971/Q=")</f>
        <v>#VALUE!</v>
      </c>
      <c r="IL140" t="e">
        <f>AND(tecantrop!R341,"AAAAAF971/U=")</f>
        <v>#VALUE!</v>
      </c>
      <c r="IM140" t="e">
        <f>AND(tecantrop!S341,"AAAAAF971/Y=")</f>
        <v>#VALUE!</v>
      </c>
      <c r="IN140" t="e">
        <f>AND(tecantrop!T341,"AAAAAF971/c=")</f>
        <v>#VALUE!</v>
      </c>
      <c r="IO140" t="e">
        <f>AND(tecantrop!U341,"AAAAAF971/g=")</f>
        <v>#VALUE!</v>
      </c>
      <c r="IP140" t="e">
        <f>AND(tecantrop!V341,"AAAAAF971/k=")</f>
        <v>#VALUE!</v>
      </c>
      <c r="IQ140" t="e">
        <f>AND(tecantrop!W341,"AAAAAF971/o=")</f>
        <v>#VALUE!</v>
      </c>
      <c r="IR140" t="e">
        <f>AND(tecantrop!X341,"AAAAAF971/s=")</f>
        <v>#VALUE!</v>
      </c>
      <c r="IS140">
        <f>IF(tecantrop!342:342,"AAAAAF971/w=",0)</f>
        <v>0</v>
      </c>
      <c r="IT140" t="e">
        <f>AND(tecantrop!A342,"AAAAAF971/0=")</f>
        <v>#VALUE!</v>
      </c>
      <c r="IU140" t="e">
        <f>AND(tecantrop!B342,"AAAAAF971/4=")</f>
        <v>#VALUE!</v>
      </c>
      <c r="IV140" t="e">
        <f>AND(tecantrop!C342,"AAAAAF971/8=")</f>
        <v>#VALUE!</v>
      </c>
    </row>
    <row r="141" spans="1:256" x14ac:dyDescent="0.2">
      <c r="A141" t="e">
        <f>AND(tecantrop!D342,"AAAAAF+R9QA=")</f>
        <v>#VALUE!</v>
      </c>
      <c r="B141" t="e">
        <f>AND(tecantrop!E342,"AAAAAF+R9QE=")</f>
        <v>#VALUE!</v>
      </c>
      <c r="C141" t="e">
        <f>AND(tecantrop!F342,"AAAAAF+R9QI=")</f>
        <v>#VALUE!</v>
      </c>
      <c r="D141" t="e">
        <f>AND(tecantrop!G342,"AAAAAF+R9QM=")</f>
        <v>#VALUE!</v>
      </c>
      <c r="E141" t="e">
        <f>AND(tecantrop!H342,"AAAAAF+R9QQ=")</f>
        <v>#VALUE!</v>
      </c>
      <c r="F141" t="e">
        <f>AND(tecantrop!I342,"AAAAAF+R9QU=")</f>
        <v>#VALUE!</v>
      </c>
      <c r="G141" t="e">
        <f>AND(tecantrop!J342,"AAAAAF+R9QY=")</f>
        <v>#VALUE!</v>
      </c>
      <c r="H141" t="e">
        <f>AND(tecantrop!K342,"AAAAAF+R9Qc=")</f>
        <v>#VALUE!</v>
      </c>
      <c r="I141" t="e">
        <f>AND(tecantrop!L342,"AAAAAF+R9Qg=")</f>
        <v>#VALUE!</v>
      </c>
      <c r="J141" t="e">
        <f>AND(tecantrop!M342,"AAAAAF+R9Qk=")</f>
        <v>#VALUE!</v>
      </c>
      <c r="K141" t="e">
        <f>AND(tecantrop!N342,"AAAAAF+R9Qo=")</f>
        <v>#VALUE!</v>
      </c>
      <c r="L141" t="e">
        <f>AND(tecantrop!O342,"AAAAAF+R9Qs=")</f>
        <v>#VALUE!</v>
      </c>
      <c r="M141" t="e">
        <f>AND(tecantrop!P342,"AAAAAF+R9Qw=")</f>
        <v>#VALUE!</v>
      </c>
      <c r="N141" t="e">
        <f>AND(tecantrop!Q342,"AAAAAF+R9Q0=")</f>
        <v>#VALUE!</v>
      </c>
      <c r="O141" t="e">
        <f>AND(tecantrop!R342,"AAAAAF+R9Q4=")</f>
        <v>#VALUE!</v>
      </c>
      <c r="P141" t="e">
        <f>AND(tecantrop!S342,"AAAAAF+R9Q8=")</f>
        <v>#VALUE!</v>
      </c>
      <c r="Q141" t="e">
        <f>AND(tecantrop!T342,"AAAAAF+R9RA=")</f>
        <v>#VALUE!</v>
      </c>
      <c r="R141" t="e">
        <f>AND(tecantrop!U342,"AAAAAF+R9RE=")</f>
        <v>#VALUE!</v>
      </c>
      <c r="S141" t="e">
        <f>AND(tecantrop!V342,"AAAAAF+R9RI=")</f>
        <v>#VALUE!</v>
      </c>
      <c r="T141" t="e">
        <f>AND(tecantrop!W342,"AAAAAF+R9RM=")</f>
        <v>#VALUE!</v>
      </c>
      <c r="U141" t="e">
        <f>AND(tecantrop!X342,"AAAAAF+R9RQ=")</f>
        <v>#VALUE!</v>
      </c>
      <c r="V141">
        <f>IF(tecantrop!343:343,"AAAAAF+R9RU=",0)</f>
        <v>0</v>
      </c>
      <c r="W141" t="e">
        <f>AND(tecantrop!A343,"AAAAAF+R9RY=")</f>
        <v>#VALUE!</v>
      </c>
      <c r="X141" t="e">
        <f>AND(tecantrop!B343,"AAAAAF+R9Rc=")</f>
        <v>#VALUE!</v>
      </c>
      <c r="Y141" t="e">
        <f>AND(tecantrop!C343,"AAAAAF+R9Rg=")</f>
        <v>#VALUE!</v>
      </c>
      <c r="Z141" t="e">
        <f>AND(tecantrop!D343,"AAAAAF+R9Rk=")</f>
        <v>#VALUE!</v>
      </c>
      <c r="AA141" t="e">
        <f>AND(tecantrop!E343,"AAAAAF+R9Ro=")</f>
        <v>#VALUE!</v>
      </c>
      <c r="AB141" t="e">
        <f>AND(tecantrop!F343,"AAAAAF+R9Rs=")</f>
        <v>#VALUE!</v>
      </c>
      <c r="AC141" t="e">
        <f>AND(tecantrop!G343,"AAAAAF+R9Rw=")</f>
        <v>#VALUE!</v>
      </c>
      <c r="AD141" t="e">
        <f>AND(tecantrop!H343,"AAAAAF+R9R0=")</f>
        <v>#VALUE!</v>
      </c>
      <c r="AE141" t="e">
        <f>AND(tecantrop!I343,"AAAAAF+R9R4=")</f>
        <v>#VALUE!</v>
      </c>
      <c r="AF141" t="e">
        <f>AND(tecantrop!J343,"AAAAAF+R9R8=")</f>
        <v>#VALUE!</v>
      </c>
      <c r="AG141" t="e">
        <f>AND(tecantrop!K343,"AAAAAF+R9SA=")</f>
        <v>#VALUE!</v>
      </c>
      <c r="AH141" t="e">
        <f>AND(tecantrop!L343,"AAAAAF+R9SE=")</f>
        <v>#VALUE!</v>
      </c>
      <c r="AI141" t="e">
        <f>AND(tecantrop!M343,"AAAAAF+R9SI=")</f>
        <v>#VALUE!</v>
      </c>
      <c r="AJ141" t="e">
        <f>AND(tecantrop!N343,"AAAAAF+R9SM=")</f>
        <v>#VALUE!</v>
      </c>
      <c r="AK141" t="e">
        <f>AND(tecantrop!O343,"AAAAAF+R9SQ=")</f>
        <v>#VALUE!</v>
      </c>
      <c r="AL141" t="e">
        <f>AND(tecantrop!P343,"AAAAAF+R9SU=")</f>
        <v>#VALUE!</v>
      </c>
      <c r="AM141" t="e">
        <f>AND(tecantrop!Q343,"AAAAAF+R9SY=")</f>
        <v>#VALUE!</v>
      </c>
      <c r="AN141" t="e">
        <f>AND(tecantrop!R343,"AAAAAF+R9Sc=")</f>
        <v>#VALUE!</v>
      </c>
      <c r="AO141" t="e">
        <f>AND(tecantrop!S343,"AAAAAF+R9Sg=")</f>
        <v>#VALUE!</v>
      </c>
      <c r="AP141" t="e">
        <f>AND(tecantrop!T343,"AAAAAF+R9Sk=")</f>
        <v>#VALUE!</v>
      </c>
      <c r="AQ141" t="e">
        <f>AND(tecantrop!U343,"AAAAAF+R9So=")</f>
        <v>#VALUE!</v>
      </c>
      <c r="AR141" t="e">
        <f>AND(tecantrop!V343,"AAAAAF+R9Ss=")</f>
        <v>#VALUE!</v>
      </c>
      <c r="AS141" t="e">
        <f>AND(tecantrop!W343,"AAAAAF+R9Sw=")</f>
        <v>#VALUE!</v>
      </c>
      <c r="AT141" t="e">
        <f>AND(tecantrop!X343,"AAAAAF+R9S0=")</f>
        <v>#VALUE!</v>
      </c>
      <c r="AU141">
        <f>IF(tecantrop!344:344,"AAAAAF+R9S4=",0)</f>
        <v>0</v>
      </c>
      <c r="AV141" t="e">
        <f>AND(tecantrop!A344,"AAAAAF+R9S8=")</f>
        <v>#VALUE!</v>
      </c>
      <c r="AW141" t="e">
        <f>AND(tecantrop!B344,"AAAAAF+R9TA=")</f>
        <v>#VALUE!</v>
      </c>
      <c r="AX141" t="e">
        <f>AND(tecantrop!C344,"AAAAAF+R9TE=")</f>
        <v>#VALUE!</v>
      </c>
      <c r="AY141" t="e">
        <f>AND(tecantrop!D344,"AAAAAF+R9TI=")</f>
        <v>#VALUE!</v>
      </c>
      <c r="AZ141" t="e">
        <f>AND(tecantrop!E344,"AAAAAF+R9TM=")</f>
        <v>#VALUE!</v>
      </c>
      <c r="BA141" t="e">
        <f>AND(tecantrop!F344,"AAAAAF+R9TQ=")</f>
        <v>#VALUE!</v>
      </c>
      <c r="BB141" t="e">
        <f>AND(tecantrop!G344,"AAAAAF+R9TU=")</f>
        <v>#VALUE!</v>
      </c>
      <c r="BC141" t="e">
        <f>AND(tecantrop!H344,"AAAAAF+R9TY=")</f>
        <v>#VALUE!</v>
      </c>
      <c r="BD141" t="e">
        <f>AND(tecantrop!I344,"AAAAAF+R9Tc=")</f>
        <v>#VALUE!</v>
      </c>
      <c r="BE141" t="e">
        <f>AND(tecantrop!J344,"AAAAAF+R9Tg=")</f>
        <v>#VALUE!</v>
      </c>
      <c r="BF141" t="e">
        <f>AND(tecantrop!K344,"AAAAAF+R9Tk=")</f>
        <v>#VALUE!</v>
      </c>
      <c r="BG141" t="e">
        <f>AND(tecantrop!L344,"AAAAAF+R9To=")</f>
        <v>#VALUE!</v>
      </c>
      <c r="BH141" t="e">
        <f>AND(tecantrop!M344,"AAAAAF+R9Ts=")</f>
        <v>#VALUE!</v>
      </c>
      <c r="BI141" t="e">
        <f>AND(tecantrop!N344,"AAAAAF+R9Tw=")</f>
        <v>#VALUE!</v>
      </c>
      <c r="BJ141" t="e">
        <f>AND(tecantrop!O344,"AAAAAF+R9T0=")</f>
        <v>#VALUE!</v>
      </c>
      <c r="BK141" t="e">
        <f>AND(tecantrop!P344,"AAAAAF+R9T4=")</f>
        <v>#VALUE!</v>
      </c>
      <c r="BL141" t="e">
        <f>AND(tecantrop!Q344,"AAAAAF+R9T8=")</f>
        <v>#VALUE!</v>
      </c>
      <c r="BM141" t="e">
        <f>AND(tecantrop!R344,"AAAAAF+R9UA=")</f>
        <v>#VALUE!</v>
      </c>
      <c r="BN141" t="e">
        <f>AND(tecantrop!S344,"AAAAAF+R9UE=")</f>
        <v>#VALUE!</v>
      </c>
      <c r="BO141" t="e">
        <f>AND(tecantrop!T344,"AAAAAF+R9UI=")</f>
        <v>#VALUE!</v>
      </c>
      <c r="BP141" t="e">
        <f>AND(tecantrop!U344,"AAAAAF+R9UM=")</f>
        <v>#VALUE!</v>
      </c>
      <c r="BQ141" t="e">
        <f>AND(tecantrop!V344,"AAAAAF+R9UQ=")</f>
        <v>#VALUE!</v>
      </c>
      <c r="BR141" t="e">
        <f>AND(tecantrop!W344,"AAAAAF+R9UU=")</f>
        <v>#VALUE!</v>
      </c>
      <c r="BS141" t="e">
        <f>AND(tecantrop!X344,"AAAAAF+R9UY=")</f>
        <v>#VALUE!</v>
      </c>
      <c r="BT141">
        <f>IF(tecantrop!345:345,"AAAAAF+R9Uc=",0)</f>
        <v>0</v>
      </c>
      <c r="BU141" t="e">
        <f>AND(tecantrop!A345,"AAAAAF+R9Ug=")</f>
        <v>#VALUE!</v>
      </c>
      <c r="BV141" t="e">
        <f>AND(tecantrop!B345,"AAAAAF+R9Uk=")</f>
        <v>#VALUE!</v>
      </c>
      <c r="BW141" t="e">
        <f>AND(tecantrop!C345,"AAAAAF+R9Uo=")</f>
        <v>#VALUE!</v>
      </c>
      <c r="BX141" t="e">
        <f>AND(tecantrop!D345,"AAAAAF+R9Us=")</f>
        <v>#VALUE!</v>
      </c>
      <c r="BY141" t="e">
        <f>AND(tecantrop!E345,"AAAAAF+R9Uw=")</f>
        <v>#VALUE!</v>
      </c>
      <c r="BZ141" t="e">
        <f>AND(tecantrop!F345,"AAAAAF+R9U0=")</f>
        <v>#VALUE!</v>
      </c>
      <c r="CA141" t="e">
        <f>AND(tecantrop!G345,"AAAAAF+R9U4=")</f>
        <v>#VALUE!</v>
      </c>
      <c r="CB141" t="e">
        <f>AND(tecantrop!H345,"AAAAAF+R9U8=")</f>
        <v>#VALUE!</v>
      </c>
      <c r="CC141" t="e">
        <f>AND(tecantrop!I345,"AAAAAF+R9VA=")</f>
        <v>#VALUE!</v>
      </c>
      <c r="CD141" t="e">
        <f>AND(tecantrop!J345,"AAAAAF+R9VE=")</f>
        <v>#VALUE!</v>
      </c>
      <c r="CE141" t="e">
        <f>AND(tecantrop!K345,"AAAAAF+R9VI=")</f>
        <v>#VALUE!</v>
      </c>
      <c r="CF141" t="e">
        <f>AND(tecantrop!L345,"AAAAAF+R9VM=")</f>
        <v>#VALUE!</v>
      </c>
      <c r="CG141" t="e">
        <f>AND(tecantrop!M345,"AAAAAF+R9VQ=")</f>
        <v>#VALUE!</v>
      </c>
      <c r="CH141" t="e">
        <f>AND(tecantrop!N345,"AAAAAF+R9VU=")</f>
        <v>#VALUE!</v>
      </c>
      <c r="CI141" t="e">
        <f>AND(tecantrop!O345,"AAAAAF+R9VY=")</f>
        <v>#VALUE!</v>
      </c>
      <c r="CJ141" t="e">
        <f>AND(tecantrop!P345,"AAAAAF+R9Vc=")</f>
        <v>#VALUE!</v>
      </c>
      <c r="CK141" t="e">
        <f>AND(tecantrop!Q345,"AAAAAF+R9Vg=")</f>
        <v>#VALUE!</v>
      </c>
      <c r="CL141" t="e">
        <f>AND(tecantrop!R345,"AAAAAF+R9Vk=")</f>
        <v>#VALUE!</v>
      </c>
      <c r="CM141" t="e">
        <f>AND(tecantrop!S345,"AAAAAF+R9Vo=")</f>
        <v>#VALUE!</v>
      </c>
      <c r="CN141" t="e">
        <f>AND(tecantrop!T345,"AAAAAF+R9Vs=")</f>
        <v>#VALUE!</v>
      </c>
      <c r="CO141" t="e">
        <f>AND(tecantrop!U345,"AAAAAF+R9Vw=")</f>
        <v>#VALUE!</v>
      </c>
      <c r="CP141" t="e">
        <f>AND(tecantrop!V345,"AAAAAF+R9V0=")</f>
        <v>#VALUE!</v>
      </c>
      <c r="CQ141" t="e">
        <f>AND(tecantrop!W345,"AAAAAF+R9V4=")</f>
        <v>#VALUE!</v>
      </c>
      <c r="CR141" t="e">
        <f>AND(tecantrop!X345,"AAAAAF+R9V8=")</f>
        <v>#VALUE!</v>
      </c>
      <c r="CS141">
        <f>IF(tecantrop!346:346,"AAAAAF+R9WA=",0)</f>
        <v>0</v>
      </c>
      <c r="CT141" t="e">
        <f>AND(tecantrop!A346,"AAAAAF+R9WE=")</f>
        <v>#VALUE!</v>
      </c>
      <c r="CU141" t="e">
        <f>AND(tecantrop!B346,"AAAAAF+R9WI=")</f>
        <v>#VALUE!</v>
      </c>
      <c r="CV141" t="e">
        <f>AND(tecantrop!C346,"AAAAAF+R9WM=")</f>
        <v>#VALUE!</v>
      </c>
      <c r="CW141" t="e">
        <f>AND(tecantrop!D346,"AAAAAF+R9WQ=")</f>
        <v>#VALUE!</v>
      </c>
      <c r="CX141" t="e">
        <f>AND(tecantrop!E346,"AAAAAF+R9WU=")</f>
        <v>#VALUE!</v>
      </c>
      <c r="CY141" t="e">
        <f>AND(tecantrop!F346,"AAAAAF+R9WY=")</f>
        <v>#VALUE!</v>
      </c>
      <c r="CZ141" t="e">
        <f>AND(tecantrop!G346,"AAAAAF+R9Wc=")</f>
        <v>#VALUE!</v>
      </c>
      <c r="DA141" t="e">
        <f>AND(tecantrop!H346,"AAAAAF+R9Wg=")</f>
        <v>#VALUE!</v>
      </c>
      <c r="DB141" t="e">
        <f>AND(tecantrop!I346,"AAAAAF+R9Wk=")</f>
        <v>#VALUE!</v>
      </c>
      <c r="DC141" t="e">
        <f>AND(tecantrop!J346,"AAAAAF+R9Wo=")</f>
        <v>#VALUE!</v>
      </c>
      <c r="DD141" t="e">
        <f>AND(tecantrop!K346,"AAAAAF+R9Ws=")</f>
        <v>#VALUE!</v>
      </c>
      <c r="DE141" t="e">
        <f>AND(tecantrop!L346,"AAAAAF+R9Ww=")</f>
        <v>#VALUE!</v>
      </c>
      <c r="DF141" t="e">
        <f>AND(tecantrop!M346,"AAAAAF+R9W0=")</f>
        <v>#VALUE!</v>
      </c>
      <c r="DG141" t="e">
        <f>AND(tecantrop!N346,"AAAAAF+R9W4=")</f>
        <v>#VALUE!</v>
      </c>
      <c r="DH141" t="e">
        <f>AND(tecantrop!O346,"AAAAAF+R9W8=")</f>
        <v>#VALUE!</v>
      </c>
      <c r="DI141" t="e">
        <f>AND(tecantrop!P346,"AAAAAF+R9XA=")</f>
        <v>#VALUE!</v>
      </c>
      <c r="DJ141" t="e">
        <f>AND(tecantrop!Q346,"AAAAAF+R9XE=")</f>
        <v>#VALUE!</v>
      </c>
      <c r="DK141" t="e">
        <f>AND(tecantrop!R346,"AAAAAF+R9XI=")</f>
        <v>#VALUE!</v>
      </c>
      <c r="DL141" t="e">
        <f>AND(tecantrop!S346,"AAAAAF+R9XM=")</f>
        <v>#VALUE!</v>
      </c>
      <c r="DM141" t="e">
        <f>AND(tecantrop!T346,"AAAAAF+R9XQ=")</f>
        <v>#VALUE!</v>
      </c>
      <c r="DN141" t="e">
        <f>AND(tecantrop!U346,"AAAAAF+R9XU=")</f>
        <v>#VALUE!</v>
      </c>
      <c r="DO141" t="e">
        <f>AND(tecantrop!V346,"AAAAAF+R9XY=")</f>
        <v>#VALUE!</v>
      </c>
      <c r="DP141" t="e">
        <f>AND(tecantrop!W346,"AAAAAF+R9Xc=")</f>
        <v>#VALUE!</v>
      </c>
      <c r="DQ141" t="e">
        <f>AND(tecantrop!X346,"AAAAAF+R9Xg=")</f>
        <v>#VALUE!</v>
      </c>
      <c r="DR141">
        <f>IF(tecantrop!347:347,"AAAAAF+R9Xk=",0)</f>
        <v>0</v>
      </c>
      <c r="DS141" t="e">
        <f>AND(tecantrop!A347,"AAAAAF+R9Xo=")</f>
        <v>#VALUE!</v>
      </c>
      <c r="DT141" t="e">
        <f>AND(tecantrop!B347,"AAAAAF+R9Xs=")</f>
        <v>#VALUE!</v>
      </c>
      <c r="DU141" t="e">
        <f>AND(tecantrop!C347,"AAAAAF+R9Xw=")</f>
        <v>#VALUE!</v>
      </c>
      <c r="DV141" t="e">
        <f>AND(tecantrop!D347,"AAAAAF+R9X0=")</f>
        <v>#VALUE!</v>
      </c>
      <c r="DW141" t="e">
        <f>AND(tecantrop!E347,"AAAAAF+R9X4=")</f>
        <v>#VALUE!</v>
      </c>
      <c r="DX141" t="e">
        <f>AND(tecantrop!F347,"AAAAAF+R9X8=")</f>
        <v>#VALUE!</v>
      </c>
      <c r="DY141" t="e">
        <f>AND(tecantrop!G347,"AAAAAF+R9YA=")</f>
        <v>#VALUE!</v>
      </c>
      <c r="DZ141" t="e">
        <f>AND(tecantrop!H347,"AAAAAF+R9YE=")</f>
        <v>#VALUE!</v>
      </c>
      <c r="EA141" t="e">
        <f>AND(tecantrop!I347,"AAAAAF+R9YI=")</f>
        <v>#VALUE!</v>
      </c>
      <c r="EB141" t="e">
        <f>AND(tecantrop!J347,"AAAAAF+R9YM=")</f>
        <v>#VALUE!</v>
      </c>
      <c r="EC141" t="e">
        <f>AND(tecantrop!K347,"AAAAAF+R9YQ=")</f>
        <v>#VALUE!</v>
      </c>
      <c r="ED141" t="e">
        <f>AND(tecantrop!L347,"AAAAAF+R9YU=")</f>
        <v>#VALUE!</v>
      </c>
      <c r="EE141" t="e">
        <f>AND(tecantrop!M347,"AAAAAF+R9YY=")</f>
        <v>#VALUE!</v>
      </c>
      <c r="EF141" t="e">
        <f>AND(tecantrop!N347,"AAAAAF+R9Yc=")</f>
        <v>#VALUE!</v>
      </c>
      <c r="EG141" t="e">
        <f>AND(tecantrop!O347,"AAAAAF+R9Yg=")</f>
        <v>#VALUE!</v>
      </c>
      <c r="EH141" t="e">
        <f>AND(tecantrop!P347,"AAAAAF+R9Yk=")</f>
        <v>#VALUE!</v>
      </c>
      <c r="EI141" t="e">
        <f>AND(tecantrop!Q347,"AAAAAF+R9Yo=")</f>
        <v>#VALUE!</v>
      </c>
      <c r="EJ141" t="e">
        <f>AND(tecantrop!R347,"AAAAAF+R9Ys=")</f>
        <v>#VALUE!</v>
      </c>
      <c r="EK141" t="e">
        <f>AND(tecantrop!S347,"AAAAAF+R9Yw=")</f>
        <v>#VALUE!</v>
      </c>
      <c r="EL141" t="e">
        <f>AND(tecantrop!T347,"AAAAAF+R9Y0=")</f>
        <v>#VALUE!</v>
      </c>
      <c r="EM141" t="e">
        <f>AND(tecantrop!U347,"AAAAAF+R9Y4=")</f>
        <v>#VALUE!</v>
      </c>
      <c r="EN141" t="e">
        <f>AND(tecantrop!V347,"AAAAAF+R9Y8=")</f>
        <v>#VALUE!</v>
      </c>
      <c r="EO141" t="e">
        <f>AND(tecantrop!W347,"AAAAAF+R9ZA=")</f>
        <v>#VALUE!</v>
      </c>
      <c r="EP141" t="e">
        <f>AND(tecantrop!X347,"AAAAAF+R9ZE=")</f>
        <v>#VALUE!</v>
      </c>
      <c r="EQ141">
        <f>IF(tecantrop!348:348,"AAAAAF+R9ZI=",0)</f>
        <v>0</v>
      </c>
      <c r="ER141" t="e">
        <f>AND(tecantrop!A348,"AAAAAF+R9ZM=")</f>
        <v>#VALUE!</v>
      </c>
      <c r="ES141" t="e">
        <f>AND(tecantrop!B348,"AAAAAF+R9ZQ=")</f>
        <v>#VALUE!</v>
      </c>
      <c r="ET141" t="e">
        <f>AND(tecantrop!C348,"AAAAAF+R9ZU=")</f>
        <v>#VALUE!</v>
      </c>
      <c r="EU141" t="e">
        <f>AND(tecantrop!D348,"AAAAAF+R9ZY=")</f>
        <v>#VALUE!</v>
      </c>
      <c r="EV141" t="e">
        <f>AND(tecantrop!E348,"AAAAAF+R9Zc=")</f>
        <v>#VALUE!</v>
      </c>
      <c r="EW141" t="e">
        <f>AND(tecantrop!F348,"AAAAAF+R9Zg=")</f>
        <v>#VALUE!</v>
      </c>
      <c r="EX141" t="e">
        <f>AND(tecantrop!G348,"AAAAAF+R9Zk=")</f>
        <v>#VALUE!</v>
      </c>
      <c r="EY141" t="e">
        <f>AND(tecantrop!H348,"AAAAAF+R9Zo=")</f>
        <v>#VALUE!</v>
      </c>
      <c r="EZ141" t="e">
        <f>AND(tecantrop!I348,"AAAAAF+R9Zs=")</f>
        <v>#VALUE!</v>
      </c>
      <c r="FA141" t="e">
        <f>AND(tecantrop!J348,"AAAAAF+R9Zw=")</f>
        <v>#VALUE!</v>
      </c>
      <c r="FB141" t="e">
        <f>AND(tecantrop!K348,"AAAAAF+R9Z0=")</f>
        <v>#VALUE!</v>
      </c>
      <c r="FC141" t="e">
        <f>AND(tecantrop!L348,"AAAAAF+R9Z4=")</f>
        <v>#VALUE!</v>
      </c>
      <c r="FD141" t="e">
        <f>AND(tecantrop!M348,"AAAAAF+R9Z8=")</f>
        <v>#VALUE!</v>
      </c>
      <c r="FE141" t="e">
        <f>AND(tecantrop!N348,"AAAAAF+R9aA=")</f>
        <v>#VALUE!</v>
      </c>
      <c r="FF141" t="e">
        <f>AND(tecantrop!O348,"AAAAAF+R9aE=")</f>
        <v>#VALUE!</v>
      </c>
      <c r="FG141" t="e">
        <f>AND(tecantrop!P348,"AAAAAF+R9aI=")</f>
        <v>#VALUE!</v>
      </c>
      <c r="FH141" t="e">
        <f>AND(tecantrop!Q348,"AAAAAF+R9aM=")</f>
        <v>#VALUE!</v>
      </c>
      <c r="FI141" t="e">
        <f>AND(tecantrop!R348,"AAAAAF+R9aQ=")</f>
        <v>#VALUE!</v>
      </c>
      <c r="FJ141" t="e">
        <f>AND(tecantrop!S348,"AAAAAF+R9aU=")</f>
        <v>#VALUE!</v>
      </c>
      <c r="FK141" t="e">
        <f>AND(tecantrop!T348,"AAAAAF+R9aY=")</f>
        <v>#VALUE!</v>
      </c>
      <c r="FL141" t="e">
        <f>AND(tecantrop!U348,"AAAAAF+R9ac=")</f>
        <v>#VALUE!</v>
      </c>
      <c r="FM141" t="e">
        <f>AND(tecantrop!V348,"AAAAAF+R9ag=")</f>
        <v>#VALUE!</v>
      </c>
      <c r="FN141" t="e">
        <f>AND(tecantrop!W348,"AAAAAF+R9ak=")</f>
        <v>#VALUE!</v>
      </c>
      <c r="FO141" t="e">
        <f>AND(tecantrop!X348,"AAAAAF+R9ao=")</f>
        <v>#VALUE!</v>
      </c>
      <c r="FP141">
        <f>IF(tecantrop!349:349,"AAAAAF+R9as=",0)</f>
        <v>0</v>
      </c>
      <c r="FQ141" t="e">
        <f>AND(tecantrop!A349,"AAAAAF+R9aw=")</f>
        <v>#VALUE!</v>
      </c>
      <c r="FR141" t="e">
        <f>AND(tecantrop!B349,"AAAAAF+R9a0=")</f>
        <v>#VALUE!</v>
      </c>
      <c r="FS141" t="e">
        <f>AND(tecantrop!C349,"AAAAAF+R9a4=")</f>
        <v>#VALUE!</v>
      </c>
      <c r="FT141" t="e">
        <f>AND(tecantrop!D349,"AAAAAF+R9a8=")</f>
        <v>#VALUE!</v>
      </c>
      <c r="FU141" t="e">
        <f>AND(tecantrop!E349,"AAAAAF+R9bA=")</f>
        <v>#VALUE!</v>
      </c>
      <c r="FV141" t="e">
        <f>AND(tecantrop!F349,"AAAAAF+R9bE=")</f>
        <v>#VALUE!</v>
      </c>
      <c r="FW141" t="e">
        <f>AND(tecantrop!G349,"AAAAAF+R9bI=")</f>
        <v>#VALUE!</v>
      </c>
      <c r="FX141" t="e">
        <f>AND(tecantrop!H349,"AAAAAF+R9bM=")</f>
        <v>#VALUE!</v>
      </c>
      <c r="FY141" t="e">
        <f>AND(tecantrop!I349,"AAAAAF+R9bQ=")</f>
        <v>#VALUE!</v>
      </c>
      <c r="FZ141" t="e">
        <f>AND(tecantrop!J349,"AAAAAF+R9bU=")</f>
        <v>#VALUE!</v>
      </c>
      <c r="GA141" t="e">
        <f>AND(tecantrop!K349,"AAAAAF+R9bY=")</f>
        <v>#VALUE!</v>
      </c>
      <c r="GB141" t="e">
        <f>AND(tecantrop!L349,"AAAAAF+R9bc=")</f>
        <v>#VALUE!</v>
      </c>
      <c r="GC141" t="e">
        <f>AND(tecantrop!M349,"AAAAAF+R9bg=")</f>
        <v>#VALUE!</v>
      </c>
      <c r="GD141" t="e">
        <f>AND(tecantrop!N349,"AAAAAF+R9bk=")</f>
        <v>#VALUE!</v>
      </c>
      <c r="GE141" t="e">
        <f>AND(tecantrop!O349,"AAAAAF+R9bo=")</f>
        <v>#VALUE!</v>
      </c>
      <c r="GF141" t="e">
        <f>AND(tecantrop!P349,"AAAAAF+R9bs=")</f>
        <v>#VALUE!</v>
      </c>
      <c r="GG141" t="e">
        <f>AND(tecantrop!Q349,"AAAAAF+R9bw=")</f>
        <v>#VALUE!</v>
      </c>
      <c r="GH141" t="e">
        <f>AND(tecantrop!R349,"AAAAAF+R9b0=")</f>
        <v>#VALUE!</v>
      </c>
      <c r="GI141" t="e">
        <f>AND(tecantrop!S349,"AAAAAF+R9b4=")</f>
        <v>#VALUE!</v>
      </c>
      <c r="GJ141" t="e">
        <f>AND(tecantrop!T349,"AAAAAF+R9b8=")</f>
        <v>#VALUE!</v>
      </c>
      <c r="GK141" t="e">
        <f>AND(tecantrop!U349,"AAAAAF+R9cA=")</f>
        <v>#VALUE!</v>
      </c>
      <c r="GL141" t="e">
        <f>AND(tecantrop!V349,"AAAAAF+R9cE=")</f>
        <v>#VALUE!</v>
      </c>
      <c r="GM141" t="e">
        <f>AND(tecantrop!W349,"AAAAAF+R9cI=")</f>
        <v>#VALUE!</v>
      </c>
      <c r="GN141" t="e">
        <f>AND(tecantrop!X349,"AAAAAF+R9cM=")</f>
        <v>#VALUE!</v>
      </c>
      <c r="GO141">
        <f>IF(tecantrop!350:350,"AAAAAF+R9cQ=",0)</f>
        <v>0</v>
      </c>
      <c r="GP141" t="e">
        <f>AND(tecantrop!A350,"AAAAAF+R9cU=")</f>
        <v>#VALUE!</v>
      </c>
      <c r="GQ141" t="e">
        <f>AND(tecantrop!B350,"AAAAAF+R9cY=")</f>
        <v>#VALUE!</v>
      </c>
      <c r="GR141" t="e">
        <f>AND(tecantrop!C350,"AAAAAF+R9cc=")</f>
        <v>#VALUE!</v>
      </c>
      <c r="GS141" t="e">
        <f>AND(tecantrop!D350,"AAAAAF+R9cg=")</f>
        <v>#VALUE!</v>
      </c>
      <c r="GT141" t="e">
        <f>AND(tecantrop!E350,"AAAAAF+R9ck=")</f>
        <v>#VALUE!</v>
      </c>
      <c r="GU141" t="e">
        <f>AND(tecantrop!F350,"AAAAAF+R9co=")</f>
        <v>#VALUE!</v>
      </c>
      <c r="GV141" t="e">
        <f>AND(tecantrop!G350,"AAAAAF+R9cs=")</f>
        <v>#VALUE!</v>
      </c>
      <c r="GW141" t="e">
        <f>AND(tecantrop!H350,"AAAAAF+R9cw=")</f>
        <v>#VALUE!</v>
      </c>
      <c r="GX141" t="e">
        <f>AND(tecantrop!I350,"AAAAAF+R9c0=")</f>
        <v>#VALUE!</v>
      </c>
      <c r="GY141" t="e">
        <f>AND(tecantrop!J350,"AAAAAF+R9c4=")</f>
        <v>#VALUE!</v>
      </c>
      <c r="GZ141" t="e">
        <f>AND(tecantrop!K350,"AAAAAF+R9c8=")</f>
        <v>#VALUE!</v>
      </c>
      <c r="HA141" t="e">
        <f>AND(tecantrop!L350,"AAAAAF+R9dA=")</f>
        <v>#VALUE!</v>
      </c>
      <c r="HB141" t="e">
        <f>AND(tecantrop!M350,"AAAAAF+R9dE=")</f>
        <v>#VALUE!</v>
      </c>
      <c r="HC141" t="e">
        <f>AND(tecantrop!N350,"AAAAAF+R9dI=")</f>
        <v>#VALUE!</v>
      </c>
      <c r="HD141" t="e">
        <f>AND(tecantrop!O350,"AAAAAF+R9dM=")</f>
        <v>#VALUE!</v>
      </c>
      <c r="HE141" t="e">
        <f>AND(tecantrop!P350,"AAAAAF+R9dQ=")</f>
        <v>#VALUE!</v>
      </c>
      <c r="HF141" t="e">
        <f>AND(tecantrop!Q350,"AAAAAF+R9dU=")</f>
        <v>#VALUE!</v>
      </c>
      <c r="HG141" t="e">
        <f>AND(tecantrop!R350,"AAAAAF+R9dY=")</f>
        <v>#VALUE!</v>
      </c>
      <c r="HH141" t="e">
        <f>AND(tecantrop!S350,"AAAAAF+R9dc=")</f>
        <v>#VALUE!</v>
      </c>
      <c r="HI141" t="e">
        <f>AND(tecantrop!T350,"AAAAAF+R9dg=")</f>
        <v>#VALUE!</v>
      </c>
      <c r="HJ141" t="e">
        <f>AND(tecantrop!U350,"AAAAAF+R9dk=")</f>
        <v>#VALUE!</v>
      </c>
      <c r="HK141" t="e">
        <f>AND(tecantrop!V350,"AAAAAF+R9do=")</f>
        <v>#VALUE!</v>
      </c>
      <c r="HL141" t="e">
        <f>AND(tecantrop!W350,"AAAAAF+R9ds=")</f>
        <v>#VALUE!</v>
      </c>
      <c r="HM141" t="e">
        <f>AND(tecantrop!X350,"AAAAAF+R9dw=")</f>
        <v>#VALUE!</v>
      </c>
      <c r="HN141">
        <f>IF(tecantrop!351:351,"AAAAAF+R9d0=",0)</f>
        <v>0</v>
      </c>
      <c r="HO141" t="e">
        <f>AND(tecantrop!A351,"AAAAAF+R9d4=")</f>
        <v>#VALUE!</v>
      </c>
      <c r="HP141" t="e">
        <f>AND(tecantrop!B351,"AAAAAF+R9d8=")</f>
        <v>#VALUE!</v>
      </c>
      <c r="HQ141" t="e">
        <f>AND(tecantrop!C351,"AAAAAF+R9eA=")</f>
        <v>#VALUE!</v>
      </c>
      <c r="HR141" t="e">
        <f>AND(tecantrop!D351,"AAAAAF+R9eE=")</f>
        <v>#VALUE!</v>
      </c>
      <c r="HS141" t="e">
        <f>AND(tecantrop!E351,"AAAAAF+R9eI=")</f>
        <v>#VALUE!</v>
      </c>
      <c r="HT141" t="e">
        <f>AND(tecantrop!F351,"AAAAAF+R9eM=")</f>
        <v>#VALUE!</v>
      </c>
      <c r="HU141" t="e">
        <f>AND(tecantrop!G351,"AAAAAF+R9eQ=")</f>
        <v>#VALUE!</v>
      </c>
      <c r="HV141" t="e">
        <f>AND(tecantrop!H351,"AAAAAF+R9eU=")</f>
        <v>#VALUE!</v>
      </c>
      <c r="HW141" t="e">
        <f>AND(tecantrop!I351,"AAAAAF+R9eY=")</f>
        <v>#VALUE!</v>
      </c>
      <c r="HX141" t="e">
        <f>AND(tecantrop!J351,"AAAAAF+R9ec=")</f>
        <v>#VALUE!</v>
      </c>
      <c r="HY141" t="e">
        <f>AND(tecantrop!K351,"AAAAAF+R9eg=")</f>
        <v>#VALUE!</v>
      </c>
      <c r="HZ141" t="e">
        <f>AND(tecantrop!L351,"AAAAAF+R9ek=")</f>
        <v>#VALUE!</v>
      </c>
      <c r="IA141" t="e">
        <f>AND(tecantrop!M351,"AAAAAF+R9eo=")</f>
        <v>#VALUE!</v>
      </c>
      <c r="IB141" t="e">
        <f>AND(tecantrop!N351,"AAAAAF+R9es=")</f>
        <v>#VALUE!</v>
      </c>
      <c r="IC141" t="e">
        <f>AND(tecantrop!O351,"AAAAAF+R9ew=")</f>
        <v>#VALUE!</v>
      </c>
      <c r="ID141" t="e">
        <f>AND(tecantrop!P351,"AAAAAF+R9e0=")</f>
        <v>#VALUE!</v>
      </c>
      <c r="IE141" t="e">
        <f>AND(tecantrop!Q351,"AAAAAF+R9e4=")</f>
        <v>#VALUE!</v>
      </c>
      <c r="IF141" t="e">
        <f>AND(tecantrop!R351,"AAAAAF+R9e8=")</f>
        <v>#VALUE!</v>
      </c>
      <c r="IG141" t="e">
        <f>AND(tecantrop!S351,"AAAAAF+R9fA=")</f>
        <v>#VALUE!</v>
      </c>
      <c r="IH141" t="e">
        <f>AND(tecantrop!T351,"AAAAAF+R9fE=")</f>
        <v>#VALUE!</v>
      </c>
      <c r="II141" t="e">
        <f>AND(tecantrop!U351,"AAAAAF+R9fI=")</f>
        <v>#VALUE!</v>
      </c>
      <c r="IJ141" t="e">
        <f>AND(tecantrop!V351,"AAAAAF+R9fM=")</f>
        <v>#VALUE!</v>
      </c>
      <c r="IK141" t="e">
        <f>AND(tecantrop!W351,"AAAAAF+R9fQ=")</f>
        <v>#VALUE!</v>
      </c>
      <c r="IL141" t="e">
        <f>AND(tecantrop!X351,"AAAAAF+R9fU=")</f>
        <v>#VALUE!</v>
      </c>
      <c r="IM141">
        <f>IF(tecantrop!352:352,"AAAAAF+R9fY=",0)</f>
        <v>0</v>
      </c>
      <c r="IN141" t="e">
        <f>AND(tecantrop!A352,"AAAAAF+R9fc=")</f>
        <v>#VALUE!</v>
      </c>
      <c r="IO141" t="e">
        <f>AND(tecantrop!B352,"AAAAAF+R9fg=")</f>
        <v>#VALUE!</v>
      </c>
      <c r="IP141" t="e">
        <f>AND(tecantrop!C352,"AAAAAF+R9fk=")</f>
        <v>#VALUE!</v>
      </c>
      <c r="IQ141" t="e">
        <f>AND(tecantrop!D352,"AAAAAF+R9fo=")</f>
        <v>#VALUE!</v>
      </c>
      <c r="IR141" t="e">
        <f>AND(tecantrop!E352,"AAAAAF+R9fs=")</f>
        <v>#VALUE!</v>
      </c>
      <c r="IS141" t="e">
        <f>AND(tecantrop!F352,"AAAAAF+R9fw=")</f>
        <v>#VALUE!</v>
      </c>
      <c r="IT141" t="e">
        <f>AND(tecantrop!G352,"AAAAAF+R9f0=")</f>
        <v>#VALUE!</v>
      </c>
      <c r="IU141" t="e">
        <f>AND(tecantrop!H352,"AAAAAF+R9f4=")</f>
        <v>#VALUE!</v>
      </c>
      <c r="IV141" t="e">
        <f>AND(tecantrop!I352,"AAAAAF+R9f8=")</f>
        <v>#VALUE!</v>
      </c>
    </row>
    <row r="142" spans="1:256" x14ac:dyDescent="0.2">
      <c r="A142" t="e">
        <f>AND(tecantrop!J352,"AAAAAFd3fwA=")</f>
        <v>#VALUE!</v>
      </c>
      <c r="B142" t="e">
        <f>AND(tecantrop!K352,"AAAAAFd3fwE=")</f>
        <v>#VALUE!</v>
      </c>
      <c r="C142" t="e">
        <f>AND(tecantrop!L352,"AAAAAFd3fwI=")</f>
        <v>#VALUE!</v>
      </c>
      <c r="D142" t="e">
        <f>AND(tecantrop!M352,"AAAAAFd3fwM=")</f>
        <v>#VALUE!</v>
      </c>
      <c r="E142" t="e">
        <f>AND(tecantrop!N352,"AAAAAFd3fwQ=")</f>
        <v>#VALUE!</v>
      </c>
      <c r="F142" t="e">
        <f>AND(tecantrop!O352,"AAAAAFd3fwU=")</f>
        <v>#VALUE!</v>
      </c>
      <c r="G142" t="e">
        <f>AND(tecantrop!P352,"AAAAAFd3fwY=")</f>
        <v>#VALUE!</v>
      </c>
      <c r="H142" t="e">
        <f>AND(tecantrop!Q352,"AAAAAFd3fwc=")</f>
        <v>#VALUE!</v>
      </c>
      <c r="I142" t="e">
        <f>AND(tecantrop!R352,"AAAAAFd3fwg=")</f>
        <v>#VALUE!</v>
      </c>
      <c r="J142" t="e">
        <f>AND(tecantrop!S352,"AAAAAFd3fwk=")</f>
        <v>#VALUE!</v>
      </c>
      <c r="K142" t="e">
        <f>AND(tecantrop!T352,"AAAAAFd3fwo=")</f>
        <v>#VALUE!</v>
      </c>
      <c r="L142" t="e">
        <f>AND(tecantrop!U352,"AAAAAFd3fws=")</f>
        <v>#VALUE!</v>
      </c>
      <c r="M142" t="e">
        <f>AND(tecantrop!V352,"AAAAAFd3fww=")</f>
        <v>#VALUE!</v>
      </c>
      <c r="N142" t="e">
        <f>AND(tecantrop!W352,"AAAAAFd3fw0=")</f>
        <v>#VALUE!</v>
      </c>
      <c r="O142" t="e">
        <f>AND(tecantrop!X352,"AAAAAFd3fw4=")</f>
        <v>#VALUE!</v>
      </c>
      <c r="P142">
        <f>IF(tecantrop!353:353,"AAAAAFd3fw8=",0)</f>
        <v>0</v>
      </c>
      <c r="Q142" t="e">
        <f>AND(tecantrop!A353,"AAAAAFd3fxA=")</f>
        <v>#VALUE!</v>
      </c>
      <c r="R142" t="e">
        <f>AND(tecantrop!B353,"AAAAAFd3fxE=")</f>
        <v>#VALUE!</v>
      </c>
      <c r="S142" t="e">
        <f>AND(tecantrop!C353,"AAAAAFd3fxI=")</f>
        <v>#VALUE!</v>
      </c>
      <c r="T142" t="e">
        <f>AND(tecantrop!D353,"AAAAAFd3fxM=")</f>
        <v>#VALUE!</v>
      </c>
      <c r="U142" t="e">
        <f>AND(tecantrop!E353,"AAAAAFd3fxQ=")</f>
        <v>#VALUE!</v>
      </c>
      <c r="V142" t="e">
        <f>AND(tecantrop!F353,"AAAAAFd3fxU=")</f>
        <v>#VALUE!</v>
      </c>
      <c r="W142" t="e">
        <f>AND(tecantrop!G353,"AAAAAFd3fxY=")</f>
        <v>#VALUE!</v>
      </c>
      <c r="X142" t="e">
        <f>AND(tecantrop!H353,"AAAAAFd3fxc=")</f>
        <v>#VALUE!</v>
      </c>
      <c r="Y142" t="e">
        <f>AND(tecantrop!I353,"AAAAAFd3fxg=")</f>
        <v>#VALUE!</v>
      </c>
      <c r="Z142" t="e">
        <f>AND(tecantrop!J353,"AAAAAFd3fxk=")</f>
        <v>#VALUE!</v>
      </c>
      <c r="AA142" t="e">
        <f>AND(tecantrop!K353,"AAAAAFd3fxo=")</f>
        <v>#VALUE!</v>
      </c>
      <c r="AB142" t="e">
        <f>AND(tecantrop!L353,"AAAAAFd3fxs=")</f>
        <v>#VALUE!</v>
      </c>
      <c r="AC142" t="e">
        <f>AND(tecantrop!M353,"AAAAAFd3fxw=")</f>
        <v>#VALUE!</v>
      </c>
      <c r="AD142" t="e">
        <f>AND(tecantrop!N353,"AAAAAFd3fx0=")</f>
        <v>#VALUE!</v>
      </c>
      <c r="AE142" t="e">
        <f>AND(tecantrop!O353,"AAAAAFd3fx4=")</f>
        <v>#VALUE!</v>
      </c>
      <c r="AF142" t="e">
        <f>AND(tecantrop!P353,"AAAAAFd3fx8=")</f>
        <v>#VALUE!</v>
      </c>
      <c r="AG142" t="e">
        <f>AND(tecantrop!Q353,"AAAAAFd3fyA=")</f>
        <v>#VALUE!</v>
      </c>
      <c r="AH142" t="e">
        <f>AND(tecantrop!R353,"AAAAAFd3fyE=")</f>
        <v>#VALUE!</v>
      </c>
      <c r="AI142" t="e">
        <f>AND(tecantrop!S353,"AAAAAFd3fyI=")</f>
        <v>#VALUE!</v>
      </c>
      <c r="AJ142" t="e">
        <f>AND(tecantrop!T353,"AAAAAFd3fyM=")</f>
        <v>#VALUE!</v>
      </c>
      <c r="AK142" t="e">
        <f>AND(tecantrop!U353,"AAAAAFd3fyQ=")</f>
        <v>#VALUE!</v>
      </c>
      <c r="AL142" t="e">
        <f>AND(tecantrop!V353,"AAAAAFd3fyU=")</f>
        <v>#VALUE!</v>
      </c>
      <c r="AM142" t="e">
        <f>AND(tecantrop!W353,"AAAAAFd3fyY=")</f>
        <v>#VALUE!</v>
      </c>
      <c r="AN142" t="e">
        <f>AND(tecantrop!X353,"AAAAAFd3fyc=")</f>
        <v>#VALUE!</v>
      </c>
      <c r="AO142">
        <f>IF(tecantrop!354:354,"AAAAAFd3fyg=",0)</f>
        <v>0</v>
      </c>
      <c r="AP142" t="e">
        <f>AND(tecantrop!A354,"AAAAAFd3fyk=")</f>
        <v>#VALUE!</v>
      </c>
      <c r="AQ142" t="e">
        <f>AND(tecantrop!B354,"AAAAAFd3fyo=")</f>
        <v>#VALUE!</v>
      </c>
      <c r="AR142" t="e">
        <f>AND(tecantrop!C354,"AAAAAFd3fys=")</f>
        <v>#VALUE!</v>
      </c>
      <c r="AS142" t="e">
        <f>AND(tecantrop!D354,"AAAAAFd3fyw=")</f>
        <v>#VALUE!</v>
      </c>
      <c r="AT142" t="e">
        <f>AND(tecantrop!E354,"AAAAAFd3fy0=")</f>
        <v>#VALUE!</v>
      </c>
      <c r="AU142" t="e">
        <f>AND(tecantrop!F354,"AAAAAFd3fy4=")</f>
        <v>#VALUE!</v>
      </c>
      <c r="AV142" t="e">
        <f>AND(tecantrop!G354,"AAAAAFd3fy8=")</f>
        <v>#VALUE!</v>
      </c>
      <c r="AW142" t="e">
        <f>AND(tecantrop!H354,"AAAAAFd3fzA=")</f>
        <v>#VALUE!</v>
      </c>
      <c r="AX142" t="e">
        <f>AND(tecantrop!I354,"AAAAAFd3fzE=")</f>
        <v>#VALUE!</v>
      </c>
      <c r="AY142" t="e">
        <f>AND(tecantrop!J354,"AAAAAFd3fzI=")</f>
        <v>#VALUE!</v>
      </c>
      <c r="AZ142" t="e">
        <f>AND(tecantrop!K354,"AAAAAFd3fzM=")</f>
        <v>#VALUE!</v>
      </c>
      <c r="BA142" t="e">
        <f>AND(tecantrop!L354,"AAAAAFd3fzQ=")</f>
        <v>#VALUE!</v>
      </c>
      <c r="BB142" t="e">
        <f>AND(tecantrop!M354,"AAAAAFd3fzU=")</f>
        <v>#VALUE!</v>
      </c>
      <c r="BC142" t="e">
        <f>AND(tecantrop!N354,"AAAAAFd3fzY=")</f>
        <v>#VALUE!</v>
      </c>
      <c r="BD142" t="e">
        <f>AND(tecantrop!O354,"AAAAAFd3fzc=")</f>
        <v>#VALUE!</v>
      </c>
      <c r="BE142" t="e">
        <f>AND(tecantrop!P354,"AAAAAFd3fzg=")</f>
        <v>#VALUE!</v>
      </c>
      <c r="BF142" t="e">
        <f>AND(tecantrop!Q354,"AAAAAFd3fzk=")</f>
        <v>#VALUE!</v>
      </c>
      <c r="BG142" t="e">
        <f>AND(tecantrop!R354,"AAAAAFd3fzo=")</f>
        <v>#VALUE!</v>
      </c>
      <c r="BH142" t="e">
        <f>AND(tecantrop!S354,"AAAAAFd3fzs=")</f>
        <v>#VALUE!</v>
      </c>
      <c r="BI142" t="e">
        <f>AND(tecantrop!T354,"AAAAAFd3fzw=")</f>
        <v>#VALUE!</v>
      </c>
      <c r="BJ142" t="e">
        <f>AND(tecantrop!U354,"AAAAAFd3fz0=")</f>
        <v>#VALUE!</v>
      </c>
      <c r="BK142" t="e">
        <f>AND(tecantrop!V354,"AAAAAFd3fz4=")</f>
        <v>#VALUE!</v>
      </c>
      <c r="BL142" t="e">
        <f>AND(tecantrop!W354,"AAAAAFd3fz8=")</f>
        <v>#VALUE!</v>
      </c>
      <c r="BM142" t="e">
        <f>AND(tecantrop!X354,"AAAAAFd3f0A=")</f>
        <v>#VALUE!</v>
      </c>
      <c r="BN142">
        <f>IF(tecantrop!355:355,"AAAAAFd3f0E=",0)</f>
        <v>0</v>
      </c>
      <c r="BO142" t="e">
        <f>AND(tecantrop!A355,"AAAAAFd3f0I=")</f>
        <v>#VALUE!</v>
      </c>
      <c r="BP142" t="e">
        <f>AND(tecantrop!B355,"AAAAAFd3f0M=")</f>
        <v>#VALUE!</v>
      </c>
      <c r="BQ142" t="e">
        <f>AND(tecantrop!C355,"AAAAAFd3f0Q=")</f>
        <v>#VALUE!</v>
      </c>
      <c r="BR142" t="e">
        <f>AND(tecantrop!D355,"AAAAAFd3f0U=")</f>
        <v>#VALUE!</v>
      </c>
      <c r="BS142" t="e">
        <f>AND(tecantrop!E355,"AAAAAFd3f0Y=")</f>
        <v>#VALUE!</v>
      </c>
      <c r="BT142" t="e">
        <f>AND(tecantrop!F355,"AAAAAFd3f0c=")</f>
        <v>#VALUE!</v>
      </c>
      <c r="BU142" t="e">
        <f>AND(tecantrop!G355,"AAAAAFd3f0g=")</f>
        <v>#VALUE!</v>
      </c>
      <c r="BV142" t="e">
        <f>AND(tecantrop!H355,"AAAAAFd3f0k=")</f>
        <v>#VALUE!</v>
      </c>
      <c r="BW142" t="e">
        <f>AND(tecantrop!I355,"AAAAAFd3f0o=")</f>
        <v>#VALUE!</v>
      </c>
      <c r="BX142" t="e">
        <f>AND(tecantrop!J355,"AAAAAFd3f0s=")</f>
        <v>#VALUE!</v>
      </c>
      <c r="BY142" t="e">
        <f>AND(tecantrop!K355,"AAAAAFd3f0w=")</f>
        <v>#VALUE!</v>
      </c>
      <c r="BZ142" t="e">
        <f>AND(tecantrop!L355,"AAAAAFd3f00=")</f>
        <v>#VALUE!</v>
      </c>
      <c r="CA142" t="e">
        <f>AND(tecantrop!M355,"AAAAAFd3f04=")</f>
        <v>#VALUE!</v>
      </c>
      <c r="CB142" t="e">
        <f>AND(tecantrop!N355,"AAAAAFd3f08=")</f>
        <v>#VALUE!</v>
      </c>
      <c r="CC142" t="e">
        <f>AND(tecantrop!O355,"AAAAAFd3f1A=")</f>
        <v>#VALUE!</v>
      </c>
      <c r="CD142" t="e">
        <f>AND(tecantrop!P355,"AAAAAFd3f1E=")</f>
        <v>#VALUE!</v>
      </c>
      <c r="CE142" t="e">
        <f>AND(tecantrop!Q355,"AAAAAFd3f1I=")</f>
        <v>#VALUE!</v>
      </c>
      <c r="CF142" t="e">
        <f>AND(tecantrop!R355,"AAAAAFd3f1M=")</f>
        <v>#VALUE!</v>
      </c>
      <c r="CG142" t="e">
        <f>AND(tecantrop!S355,"AAAAAFd3f1Q=")</f>
        <v>#VALUE!</v>
      </c>
      <c r="CH142" t="e">
        <f>AND(tecantrop!T355,"AAAAAFd3f1U=")</f>
        <v>#VALUE!</v>
      </c>
      <c r="CI142" t="e">
        <f>AND(tecantrop!U355,"AAAAAFd3f1Y=")</f>
        <v>#VALUE!</v>
      </c>
      <c r="CJ142" t="e">
        <f>AND(tecantrop!V355,"AAAAAFd3f1c=")</f>
        <v>#VALUE!</v>
      </c>
      <c r="CK142" t="e">
        <f>AND(tecantrop!W355,"AAAAAFd3f1g=")</f>
        <v>#VALUE!</v>
      </c>
      <c r="CL142" t="e">
        <f>AND(tecantrop!X355,"AAAAAFd3f1k=")</f>
        <v>#VALUE!</v>
      </c>
      <c r="CM142">
        <f>IF(tecantrop!356:356,"AAAAAFd3f1o=",0)</f>
        <v>0</v>
      </c>
      <c r="CN142" t="e">
        <f>AND(tecantrop!A356,"AAAAAFd3f1s=")</f>
        <v>#VALUE!</v>
      </c>
      <c r="CO142" t="e">
        <f>AND(tecantrop!B356,"AAAAAFd3f1w=")</f>
        <v>#VALUE!</v>
      </c>
      <c r="CP142" t="e">
        <f>AND(tecantrop!C356,"AAAAAFd3f10=")</f>
        <v>#VALUE!</v>
      </c>
      <c r="CQ142" t="e">
        <f>AND(tecantrop!D356,"AAAAAFd3f14=")</f>
        <v>#VALUE!</v>
      </c>
      <c r="CR142" t="e">
        <f>AND(tecantrop!E356,"AAAAAFd3f18=")</f>
        <v>#VALUE!</v>
      </c>
      <c r="CS142" t="e">
        <f>AND(tecantrop!F356,"AAAAAFd3f2A=")</f>
        <v>#VALUE!</v>
      </c>
      <c r="CT142" t="e">
        <f>AND(tecantrop!G356,"AAAAAFd3f2E=")</f>
        <v>#VALUE!</v>
      </c>
      <c r="CU142" t="e">
        <f>AND(tecantrop!H356,"AAAAAFd3f2I=")</f>
        <v>#VALUE!</v>
      </c>
      <c r="CV142" t="e">
        <f>AND(tecantrop!I356,"AAAAAFd3f2M=")</f>
        <v>#VALUE!</v>
      </c>
      <c r="CW142" t="e">
        <f>AND(tecantrop!J356,"AAAAAFd3f2Q=")</f>
        <v>#VALUE!</v>
      </c>
      <c r="CX142" t="e">
        <f>AND(tecantrop!K356,"AAAAAFd3f2U=")</f>
        <v>#VALUE!</v>
      </c>
      <c r="CY142" t="e">
        <f>AND(tecantrop!L356,"AAAAAFd3f2Y=")</f>
        <v>#VALUE!</v>
      </c>
      <c r="CZ142" t="e">
        <f>AND(tecantrop!M356,"AAAAAFd3f2c=")</f>
        <v>#VALUE!</v>
      </c>
      <c r="DA142" t="e">
        <f>AND(tecantrop!N356,"AAAAAFd3f2g=")</f>
        <v>#VALUE!</v>
      </c>
      <c r="DB142" t="e">
        <f>AND(tecantrop!O356,"AAAAAFd3f2k=")</f>
        <v>#VALUE!</v>
      </c>
      <c r="DC142" t="e">
        <f>AND(tecantrop!P356,"AAAAAFd3f2o=")</f>
        <v>#VALUE!</v>
      </c>
      <c r="DD142" t="e">
        <f>AND(tecantrop!Q356,"AAAAAFd3f2s=")</f>
        <v>#VALUE!</v>
      </c>
      <c r="DE142" t="e">
        <f>AND(tecantrop!R356,"AAAAAFd3f2w=")</f>
        <v>#VALUE!</v>
      </c>
      <c r="DF142" t="e">
        <f>AND(tecantrop!S356,"AAAAAFd3f20=")</f>
        <v>#VALUE!</v>
      </c>
      <c r="DG142" t="e">
        <f>AND(tecantrop!T356,"AAAAAFd3f24=")</f>
        <v>#VALUE!</v>
      </c>
      <c r="DH142" t="e">
        <f>AND(tecantrop!U356,"AAAAAFd3f28=")</f>
        <v>#VALUE!</v>
      </c>
      <c r="DI142" t="e">
        <f>AND(tecantrop!V356,"AAAAAFd3f3A=")</f>
        <v>#VALUE!</v>
      </c>
      <c r="DJ142" t="e">
        <f>AND(tecantrop!W356,"AAAAAFd3f3E=")</f>
        <v>#VALUE!</v>
      </c>
      <c r="DK142" t="e">
        <f>AND(tecantrop!X356,"AAAAAFd3f3I=")</f>
        <v>#VALUE!</v>
      </c>
      <c r="DL142">
        <f>IF(tecantrop!357:357,"AAAAAFd3f3M=",0)</f>
        <v>0</v>
      </c>
      <c r="DM142" t="e">
        <f>AND(tecantrop!A357,"AAAAAFd3f3Q=")</f>
        <v>#VALUE!</v>
      </c>
      <c r="DN142" t="e">
        <f>AND(tecantrop!B357,"AAAAAFd3f3U=")</f>
        <v>#VALUE!</v>
      </c>
      <c r="DO142" t="e">
        <f>AND(tecantrop!C357,"AAAAAFd3f3Y=")</f>
        <v>#VALUE!</v>
      </c>
      <c r="DP142" t="e">
        <f>AND(tecantrop!D357,"AAAAAFd3f3c=")</f>
        <v>#VALUE!</v>
      </c>
      <c r="DQ142" t="e">
        <f>AND(tecantrop!E357,"AAAAAFd3f3g=")</f>
        <v>#VALUE!</v>
      </c>
      <c r="DR142" t="e">
        <f>AND(tecantrop!F357,"AAAAAFd3f3k=")</f>
        <v>#VALUE!</v>
      </c>
      <c r="DS142" t="e">
        <f>AND(tecantrop!G357,"AAAAAFd3f3o=")</f>
        <v>#VALUE!</v>
      </c>
      <c r="DT142" t="e">
        <f>AND(tecantrop!H357,"AAAAAFd3f3s=")</f>
        <v>#VALUE!</v>
      </c>
      <c r="DU142" t="e">
        <f>AND(tecantrop!I357,"AAAAAFd3f3w=")</f>
        <v>#VALUE!</v>
      </c>
      <c r="DV142" t="e">
        <f>AND(tecantrop!J357,"AAAAAFd3f30=")</f>
        <v>#VALUE!</v>
      </c>
      <c r="DW142" t="e">
        <f>AND(tecantrop!K357,"AAAAAFd3f34=")</f>
        <v>#VALUE!</v>
      </c>
      <c r="DX142" t="e">
        <f>AND(tecantrop!L357,"AAAAAFd3f38=")</f>
        <v>#VALUE!</v>
      </c>
      <c r="DY142" t="e">
        <f>AND(tecantrop!M357,"AAAAAFd3f4A=")</f>
        <v>#VALUE!</v>
      </c>
      <c r="DZ142" t="e">
        <f>AND(tecantrop!N357,"AAAAAFd3f4E=")</f>
        <v>#VALUE!</v>
      </c>
      <c r="EA142" t="e">
        <f>AND(tecantrop!O357,"AAAAAFd3f4I=")</f>
        <v>#VALUE!</v>
      </c>
      <c r="EB142" t="e">
        <f>AND(tecantrop!P357,"AAAAAFd3f4M=")</f>
        <v>#VALUE!</v>
      </c>
      <c r="EC142" t="e">
        <f>AND(tecantrop!Q357,"AAAAAFd3f4Q=")</f>
        <v>#VALUE!</v>
      </c>
      <c r="ED142" t="e">
        <f>AND(tecantrop!R357,"AAAAAFd3f4U=")</f>
        <v>#VALUE!</v>
      </c>
      <c r="EE142" t="e">
        <f>AND(tecantrop!S357,"AAAAAFd3f4Y=")</f>
        <v>#VALUE!</v>
      </c>
      <c r="EF142" t="e">
        <f>AND(tecantrop!T357,"AAAAAFd3f4c=")</f>
        <v>#VALUE!</v>
      </c>
      <c r="EG142" t="e">
        <f>AND(tecantrop!U357,"AAAAAFd3f4g=")</f>
        <v>#VALUE!</v>
      </c>
      <c r="EH142" t="e">
        <f>AND(tecantrop!V357,"AAAAAFd3f4k=")</f>
        <v>#VALUE!</v>
      </c>
      <c r="EI142" t="e">
        <f>AND(tecantrop!W357,"AAAAAFd3f4o=")</f>
        <v>#VALUE!</v>
      </c>
      <c r="EJ142" t="e">
        <f>AND(tecantrop!X357,"AAAAAFd3f4s=")</f>
        <v>#VALUE!</v>
      </c>
      <c r="EK142">
        <f>IF(tecantrop!358:358,"AAAAAFd3f4w=",0)</f>
        <v>0</v>
      </c>
      <c r="EL142" t="e">
        <f>AND(tecantrop!A358,"AAAAAFd3f40=")</f>
        <v>#VALUE!</v>
      </c>
      <c r="EM142" t="e">
        <f>AND(tecantrop!B358,"AAAAAFd3f44=")</f>
        <v>#VALUE!</v>
      </c>
      <c r="EN142" t="e">
        <f>AND(tecantrop!C358,"AAAAAFd3f48=")</f>
        <v>#VALUE!</v>
      </c>
      <c r="EO142" t="e">
        <f>AND(tecantrop!D358,"AAAAAFd3f5A=")</f>
        <v>#VALUE!</v>
      </c>
      <c r="EP142" t="e">
        <f>AND(tecantrop!E358,"AAAAAFd3f5E=")</f>
        <v>#VALUE!</v>
      </c>
      <c r="EQ142" t="e">
        <f>AND(tecantrop!F358,"AAAAAFd3f5I=")</f>
        <v>#VALUE!</v>
      </c>
      <c r="ER142" t="e">
        <f>AND(tecantrop!G358,"AAAAAFd3f5M=")</f>
        <v>#VALUE!</v>
      </c>
      <c r="ES142" t="e">
        <f>AND(tecantrop!H358,"AAAAAFd3f5Q=")</f>
        <v>#VALUE!</v>
      </c>
      <c r="ET142" t="e">
        <f>AND(tecantrop!I358,"AAAAAFd3f5U=")</f>
        <v>#VALUE!</v>
      </c>
      <c r="EU142" t="e">
        <f>AND(tecantrop!J358,"AAAAAFd3f5Y=")</f>
        <v>#VALUE!</v>
      </c>
      <c r="EV142" t="e">
        <f>AND(tecantrop!K358,"AAAAAFd3f5c=")</f>
        <v>#VALUE!</v>
      </c>
      <c r="EW142" t="e">
        <f>AND(tecantrop!L358,"AAAAAFd3f5g=")</f>
        <v>#VALUE!</v>
      </c>
      <c r="EX142" t="e">
        <f>AND(tecantrop!M358,"AAAAAFd3f5k=")</f>
        <v>#VALUE!</v>
      </c>
      <c r="EY142" t="e">
        <f>AND(tecantrop!N358,"AAAAAFd3f5o=")</f>
        <v>#VALUE!</v>
      </c>
      <c r="EZ142" t="e">
        <f>AND(tecantrop!O358,"AAAAAFd3f5s=")</f>
        <v>#VALUE!</v>
      </c>
      <c r="FA142" t="e">
        <f>AND(tecantrop!P358,"AAAAAFd3f5w=")</f>
        <v>#VALUE!</v>
      </c>
      <c r="FB142" t="e">
        <f>AND(tecantrop!Q358,"AAAAAFd3f50=")</f>
        <v>#VALUE!</v>
      </c>
      <c r="FC142" t="e">
        <f>AND(tecantrop!R358,"AAAAAFd3f54=")</f>
        <v>#VALUE!</v>
      </c>
      <c r="FD142" t="e">
        <f>AND(tecantrop!S358,"AAAAAFd3f58=")</f>
        <v>#VALUE!</v>
      </c>
      <c r="FE142" t="e">
        <f>AND(tecantrop!T358,"AAAAAFd3f6A=")</f>
        <v>#VALUE!</v>
      </c>
      <c r="FF142" t="e">
        <f>AND(tecantrop!U358,"AAAAAFd3f6E=")</f>
        <v>#VALUE!</v>
      </c>
      <c r="FG142" t="e">
        <f>AND(tecantrop!V358,"AAAAAFd3f6I=")</f>
        <v>#VALUE!</v>
      </c>
      <c r="FH142" t="e">
        <f>AND(tecantrop!W358,"AAAAAFd3f6M=")</f>
        <v>#VALUE!</v>
      </c>
      <c r="FI142" t="e">
        <f>AND(tecantrop!X358,"AAAAAFd3f6Q=")</f>
        <v>#VALUE!</v>
      </c>
      <c r="FJ142">
        <f>IF(tecantrop!359:359,"AAAAAFd3f6U=",0)</f>
        <v>0</v>
      </c>
      <c r="FK142" t="e">
        <f>AND(tecantrop!A359,"AAAAAFd3f6Y=")</f>
        <v>#VALUE!</v>
      </c>
      <c r="FL142" t="e">
        <f>AND(tecantrop!B359,"AAAAAFd3f6c=")</f>
        <v>#VALUE!</v>
      </c>
      <c r="FM142" t="e">
        <f>AND(tecantrop!C359,"AAAAAFd3f6g=")</f>
        <v>#VALUE!</v>
      </c>
      <c r="FN142" t="e">
        <f>AND(tecantrop!D359,"AAAAAFd3f6k=")</f>
        <v>#VALUE!</v>
      </c>
      <c r="FO142" t="e">
        <f>AND(tecantrop!E359,"AAAAAFd3f6o=")</f>
        <v>#VALUE!</v>
      </c>
      <c r="FP142" t="e">
        <f>AND(tecantrop!F359,"AAAAAFd3f6s=")</f>
        <v>#VALUE!</v>
      </c>
      <c r="FQ142" t="e">
        <f>AND(tecantrop!G359,"AAAAAFd3f6w=")</f>
        <v>#VALUE!</v>
      </c>
      <c r="FR142" t="e">
        <f>AND(tecantrop!H359,"AAAAAFd3f60=")</f>
        <v>#VALUE!</v>
      </c>
      <c r="FS142" t="e">
        <f>AND(tecantrop!I359,"AAAAAFd3f64=")</f>
        <v>#VALUE!</v>
      </c>
      <c r="FT142" t="e">
        <f>AND(tecantrop!J359,"AAAAAFd3f68=")</f>
        <v>#VALUE!</v>
      </c>
      <c r="FU142" t="e">
        <f>AND(tecantrop!K359,"AAAAAFd3f7A=")</f>
        <v>#VALUE!</v>
      </c>
      <c r="FV142" t="e">
        <f>AND(tecantrop!L359,"AAAAAFd3f7E=")</f>
        <v>#VALUE!</v>
      </c>
      <c r="FW142" t="e">
        <f>AND(tecantrop!M359,"AAAAAFd3f7I=")</f>
        <v>#VALUE!</v>
      </c>
      <c r="FX142" t="e">
        <f>AND(tecantrop!N359,"AAAAAFd3f7M=")</f>
        <v>#VALUE!</v>
      </c>
      <c r="FY142" t="e">
        <f>AND(tecantrop!O359,"AAAAAFd3f7Q=")</f>
        <v>#VALUE!</v>
      </c>
      <c r="FZ142" t="e">
        <f>AND(tecantrop!P359,"AAAAAFd3f7U=")</f>
        <v>#VALUE!</v>
      </c>
      <c r="GA142" t="e">
        <f>AND(tecantrop!Q359,"AAAAAFd3f7Y=")</f>
        <v>#VALUE!</v>
      </c>
      <c r="GB142" t="e">
        <f>AND(tecantrop!R359,"AAAAAFd3f7c=")</f>
        <v>#VALUE!</v>
      </c>
      <c r="GC142" t="e">
        <f>AND(tecantrop!S359,"AAAAAFd3f7g=")</f>
        <v>#VALUE!</v>
      </c>
      <c r="GD142" t="e">
        <f>AND(tecantrop!T359,"AAAAAFd3f7k=")</f>
        <v>#VALUE!</v>
      </c>
      <c r="GE142" t="e">
        <f>AND(tecantrop!U359,"AAAAAFd3f7o=")</f>
        <v>#VALUE!</v>
      </c>
      <c r="GF142" t="e">
        <f>AND(tecantrop!V359,"AAAAAFd3f7s=")</f>
        <v>#VALUE!</v>
      </c>
      <c r="GG142" t="e">
        <f>AND(tecantrop!W359,"AAAAAFd3f7w=")</f>
        <v>#VALUE!</v>
      </c>
      <c r="GH142" t="e">
        <f>AND(tecantrop!X359,"AAAAAFd3f70=")</f>
        <v>#VALUE!</v>
      </c>
      <c r="GI142">
        <f>IF(tecantrop!360:360,"AAAAAFd3f74=",0)</f>
        <v>0</v>
      </c>
      <c r="GJ142" t="e">
        <f>AND(tecantrop!A360,"AAAAAFd3f78=")</f>
        <v>#VALUE!</v>
      </c>
      <c r="GK142" t="e">
        <f>AND(tecantrop!B360,"AAAAAFd3f8A=")</f>
        <v>#VALUE!</v>
      </c>
      <c r="GL142" t="e">
        <f>AND(tecantrop!C360,"AAAAAFd3f8E=")</f>
        <v>#VALUE!</v>
      </c>
      <c r="GM142" t="e">
        <f>AND(tecantrop!D360,"AAAAAFd3f8I=")</f>
        <v>#VALUE!</v>
      </c>
      <c r="GN142" t="e">
        <f>AND(tecantrop!E360,"AAAAAFd3f8M=")</f>
        <v>#VALUE!</v>
      </c>
      <c r="GO142" t="e">
        <f>AND(tecantrop!F360,"AAAAAFd3f8Q=")</f>
        <v>#VALUE!</v>
      </c>
      <c r="GP142" t="e">
        <f>AND(tecantrop!G360,"AAAAAFd3f8U=")</f>
        <v>#VALUE!</v>
      </c>
      <c r="GQ142" t="e">
        <f>AND(tecantrop!H360,"AAAAAFd3f8Y=")</f>
        <v>#VALUE!</v>
      </c>
      <c r="GR142" t="e">
        <f>AND(tecantrop!I360,"AAAAAFd3f8c=")</f>
        <v>#VALUE!</v>
      </c>
      <c r="GS142" t="e">
        <f>AND(tecantrop!J360,"AAAAAFd3f8g=")</f>
        <v>#VALUE!</v>
      </c>
      <c r="GT142" t="e">
        <f>AND(tecantrop!K360,"AAAAAFd3f8k=")</f>
        <v>#VALUE!</v>
      </c>
      <c r="GU142" t="e">
        <f>AND(tecantrop!L360,"AAAAAFd3f8o=")</f>
        <v>#VALUE!</v>
      </c>
      <c r="GV142" t="e">
        <f>AND(tecantrop!M360,"AAAAAFd3f8s=")</f>
        <v>#VALUE!</v>
      </c>
      <c r="GW142" t="e">
        <f>AND(tecantrop!N360,"AAAAAFd3f8w=")</f>
        <v>#VALUE!</v>
      </c>
      <c r="GX142" t="e">
        <f>AND(tecantrop!O360,"AAAAAFd3f80=")</f>
        <v>#VALUE!</v>
      </c>
      <c r="GY142" t="e">
        <f>AND(tecantrop!P360,"AAAAAFd3f84=")</f>
        <v>#VALUE!</v>
      </c>
      <c r="GZ142" t="e">
        <f>AND(tecantrop!Q360,"AAAAAFd3f88=")</f>
        <v>#VALUE!</v>
      </c>
      <c r="HA142" t="e">
        <f>AND(tecantrop!R360,"AAAAAFd3f9A=")</f>
        <v>#VALUE!</v>
      </c>
      <c r="HB142" t="e">
        <f>AND(tecantrop!S360,"AAAAAFd3f9E=")</f>
        <v>#VALUE!</v>
      </c>
      <c r="HC142" t="e">
        <f>AND(tecantrop!T360,"AAAAAFd3f9I=")</f>
        <v>#VALUE!</v>
      </c>
      <c r="HD142" t="e">
        <f>AND(tecantrop!U360,"AAAAAFd3f9M=")</f>
        <v>#VALUE!</v>
      </c>
      <c r="HE142" t="e">
        <f>AND(tecantrop!V360,"AAAAAFd3f9Q=")</f>
        <v>#VALUE!</v>
      </c>
      <c r="HF142" t="e">
        <f>AND(tecantrop!W360,"AAAAAFd3f9U=")</f>
        <v>#VALUE!</v>
      </c>
      <c r="HG142" t="e">
        <f>AND(tecantrop!X360,"AAAAAFd3f9Y=")</f>
        <v>#VALUE!</v>
      </c>
      <c r="HH142">
        <f>IF(tecantrop!361:361,"AAAAAFd3f9c=",0)</f>
        <v>0</v>
      </c>
      <c r="HI142" t="e">
        <f>AND(tecantrop!A361,"AAAAAFd3f9g=")</f>
        <v>#VALUE!</v>
      </c>
      <c r="HJ142" t="e">
        <f>AND(tecantrop!B361,"AAAAAFd3f9k=")</f>
        <v>#VALUE!</v>
      </c>
      <c r="HK142" t="e">
        <f>AND(tecantrop!C361,"AAAAAFd3f9o=")</f>
        <v>#VALUE!</v>
      </c>
      <c r="HL142" t="e">
        <f>AND(tecantrop!D361,"AAAAAFd3f9s=")</f>
        <v>#VALUE!</v>
      </c>
      <c r="HM142" t="e">
        <f>AND(tecantrop!E361,"AAAAAFd3f9w=")</f>
        <v>#VALUE!</v>
      </c>
      <c r="HN142" t="e">
        <f>AND(tecantrop!F361,"AAAAAFd3f90=")</f>
        <v>#VALUE!</v>
      </c>
      <c r="HO142" t="e">
        <f>AND(tecantrop!G361,"AAAAAFd3f94=")</f>
        <v>#VALUE!</v>
      </c>
      <c r="HP142" t="e">
        <f>AND(tecantrop!H361,"AAAAAFd3f98=")</f>
        <v>#VALUE!</v>
      </c>
      <c r="HQ142" t="e">
        <f>AND(tecantrop!I361,"AAAAAFd3f+A=")</f>
        <v>#VALUE!</v>
      </c>
      <c r="HR142" t="e">
        <f>AND(tecantrop!J361,"AAAAAFd3f+E=")</f>
        <v>#VALUE!</v>
      </c>
      <c r="HS142" t="e">
        <f>AND(tecantrop!K361,"AAAAAFd3f+I=")</f>
        <v>#VALUE!</v>
      </c>
      <c r="HT142" t="e">
        <f>AND(tecantrop!L361,"AAAAAFd3f+M=")</f>
        <v>#VALUE!</v>
      </c>
      <c r="HU142" t="e">
        <f>AND(tecantrop!M361,"AAAAAFd3f+Q=")</f>
        <v>#VALUE!</v>
      </c>
      <c r="HV142" t="e">
        <f>AND(tecantrop!N361,"AAAAAFd3f+U=")</f>
        <v>#VALUE!</v>
      </c>
      <c r="HW142" t="e">
        <f>AND(tecantrop!O361,"AAAAAFd3f+Y=")</f>
        <v>#VALUE!</v>
      </c>
      <c r="HX142" t="e">
        <f>AND(tecantrop!P361,"AAAAAFd3f+c=")</f>
        <v>#VALUE!</v>
      </c>
      <c r="HY142" t="e">
        <f>AND(tecantrop!Q361,"AAAAAFd3f+g=")</f>
        <v>#VALUE!</v>
      </c>
      <c r="HZ142" t="e">
        <f>AND(tecantrop!R361,"AAAAAFd3f+k=")</f>
        <v>#VALUE!</v>
      </c>
      <c r="IA142" t="e">
        <f>AND(tecantrop!S361,"AAAAAFd3f+o=")</f>
        <v>#VALUE!</v>
      </c>
      <c r="IB142" t="e">
        <f>AND(tecantrop!T361,"AAAAAFd3f+s=")</f>
        <v>#VALUE!</v>
      </c>
      <c r="IC142" t="e">
        <f>AND(tecantrop!U361,"AAAAAFd3f+w=")</f>
        <v>#VALUE!</v>
      </c>
      <c r="ID142" t="e">
        <f>AND(tecantrop!V361,"AAAAAFd3f+0=")</f>
        <v>#VALUE!</v>
      </c>
      <c r="IE142" t="e">
        <f>AND(tecantrop!W361,"AAAAAFd3f+4=")</f>
        <v>#VALUE!</v>
      </c>
      <c r="IF142" t="e">
        <f>AND(tecantrop!X361,"AAAAAFd3f+8=")</f>
        <v>#VALUE!</v>
      </c>
      <c r="IG142">
        <f>IF(tecantrop!362:362,"AAAAAFd3f/A=",0)</f>
        <v>0</v>
      </c>
      <c r="IH142" t="e">
        <f>AND(tecantrop!A362,"AAAAAFd3f/E=")</f>
        <v>#VALUE!</v>
      </c>
      <c r="II142" t="e">
        <f>AND(tecantrop!B362,"AAAAAFd3f/I=")</f>
        <v>#VALUE!</v>
      </c>
      <c r="IJ142" t="e">
        <f>AND(tecantrop!C362,"AAAAAFd3f/M=")</f>
        <v>#VALUE!</v>
      </c>
      <c r="IK142" t="e">
        <f>AND(tecantrop!D362,"AAAAAFd3f/Q=")</f>
        <v>#VALUE!</v>
      </c>
      <c r="IL142" t="e">
        <f>AND(tecantrop!E362,"AAAAAFd3f/U=")</f>
        <v>#VALUE!</v>
      </c>
      <c r="IM142" t="e">
        <f>AND(tecantrop!F362,"AAAAAFd3f/Y=")</f>
        <v>#VALUE!</v>
      </c>
      <c r="IN142" t="e">
        <f>AND(tecantrop!G362,"AAAAAFd3f/c=")</f>
        <v>#VALUE!</v>
      </c>
      <c r="IO142" t="e">
        <f>AND(tecantrop!H362,"AAAAAFd3f/g=")</f>
        <v>#VALUE!</v>
      </c>
      <c r="IP142" t="e">
        <f>AND(tecantrop!I362,"AAAAAFd3f/k=")</f>
        <v>#VALUE!</v>
      </c>
      <c r="IQ142" t="e">
        <f>AND(tecantrop!J362,"AAAAAFd3f/o=")</f>
        <v>#VALUE!</v>
      </c>
      <c r="IR142" t="e">
        <f>AND(tecantrop!K362,"AAAAAFd3f/s=")</f>
        <v>#VALUE!</v>
      </c>
      <c r="IS142" t="e">
        <f>AND(tecantrop!L362,"AAAAAFd3f/w=")</f>
        <v>#VALUE!</v>
      </c>
      <c r="IT142" t="e">
        <f>AND(tecantrop!M362,"AAAAAFd3f/0=")</f>
        <v>#VALUE!</v>
      </c>
      <c r="IU142" t="e">
        <f>AND(tecantrop!N362,"AAAAAFd3f/4=")</f>
        <v>#VALUE!</v>
      </c>
      <c r="IV142" t="e">
        <f>AND(tecantrop!O362,"AAAAAFd3f/8=")</f>
        <v>#VALUE!</v>
      </c>
    </row>
    <row r="143" spans="1:256" x14ac:dyDescent="0.2">
      <c r="A143" t="e">
        <f>AND(tecantrop!P362,"AAAAAG9e6wA=")</f>
        <v>#VALUE!</v>
      </c>
      <c r="B143" t="e">
        <f>AND(tecantrop!Q362,"AAAAAG9e6wE=")</f>
        <v>#VALUE!</v>
      </c>
      <c r="C143" t="e">
        <f>AND(tecantrop!R362,"AAAAAG9e6wI=")</f>
        <v>#VALUE!</v>
      </c>
      <c r="D143" t="e">
        <f>AND(tecantrop!S362,"AAAAAG9e6wM=")</f>
        <v>#VALUE!</v>
      </c>
      <c r="E143" t="e">
        <f>AND(tecantrop!T362,"AAAAAG9e6wQ=")</f>
        <v>#VALUE!</v>
      </c>
      <c r="F143" t="e">
        <f>AND(tecantrop!U362,"AAAAAG9e6wU=")</f>
        <v>#VALUE!</v>
      </c>
      <c r="G143" t="e">
        <f>AND(tecantrop!V362,"AAAAAG9e6wY=")</f>
        <v>#VALUE!</v>
      </c>
      <c r="H143" t="e">
        <f>AND(tecantrop!W362,"AAAAAG9e6wc=")</f>
        <v>#VALUE!</v>
      </c>
      <c r="I143" t="e">
        <f>AND(tecantrop!X362,"AAAAAG9e6wg=")</f>
        <v>#VALUE!</v>
      </c>
      <c r="J143">
        <f>IF(tecantrop!363:363,"AAAAAG9e6wk=",0)</f>
        <v>0</v>
      </c>
      <c r="K143" t="e">
        <f>AND(tecantrop!A363,"AAAAAG9e6wo=")</f>
        <v>#VALUE!</v>
      </c>
      <c r="L143" t="e">
        <f>AND(tecantrop!B363,"AAAAAG9e6ws=")</f>
        <v>#VALUE!</v>
      </c>
      <c r="M143" t="e">
        <f>AND(tecantrop!C363,"AAAAAG9e6ww=")</f>
        <v>#VALUE!</v>
      </c>
      <c r="N143" t="e">
        <f>AND(tecantrop!D363,"AAAAAG9e6w0=")</f>
        <v>#VALUE!</v>
      </c>
      <c r="O143" t="e">
        <f>AND(tecantrop!E363,"AAAAAG9e6w4=")</f>
        <v>#VALUE!</v>
      </c>
      <c r="P143" t="e">
        <f>AND(tecantrop!F363,"AAAAAG9e6w8=")</f>
        <v>#VALUE!</v>
      </c>
      <c r="Q143" t="e">
        <f>AND(tecantrop!G363,"AAAAAG9e6xA=")</f>
        <v>#VALUE!</v>
      </c>
      <c r="R143" t="e">
        <f>AND(tecantrop!H363,"AAAAAG9e6xE=")</f>
        <v>#VALUE!</v>
      </c>
      <c r="S143" t="e">
        <f>AND(tecantrop!I363,"AAAAAG9e6xI=")</f>
        <v>#VALUE!</v>
      </c>
      <c r="T143" t="e">
        <f>AND(tecantrop!J363,"AAAAAG9e6xM=")</f>
        <v>#VALUE!</v>
      </c>
      <c r="U143" t="e">
        <f>AND(tecantrop!K363,"AAAAAG9e6xQ=")</f>
        <v>#VALUE!</v>
      </c>
      <c r="V143" t="e">
        <f>AND(tecantrop!L363,"AAAAAG9e6xU=")</f>
        <v>#VALUE!</v>
      </c>
      <c r="W143" t="e">
        <f>AND(tecantrop!M363,"AAAAAG9e6xY=")</f>
        <v>#VALUE!</v>
      </c>
      <c r="X143" t="e">
        <f>AND(tecantrop!N363,"AAAAAG9e6xc=")</f>
        <v>#VALUE!</v>
      </c>
      <c r="Y143" t="e">
        <f>AND(tecantrop!O363,"AAAAAG9e6xg=")</f>
        <v>#VALUE!</v>
      </c>
      <c r="Z143" t="e">
        <f>AND(tecantrop!P363,"AAAAAG9e6xk=")</f>
        <v>#VALUE!</v>
      </c>
      <c r="AA143" t="e">
        <f>AND(tecantrop!Q363,"AAAAAG9e6xo=")</f>
        <v>#VALUE!</v>
      </c>
      <c r="AB143" t="e">
        <f>AND(tecantrop!R363,"AAAAAG9e6xs=")</f>
        <v>#VALUE!</v>
      </c>
      <c r="AC143" t="e">
        <f>AND(tecantrop!S363,"AAAAAG9e6xw=")</f>
        <v>#VALUE!</v>
      </c>
      <c r="AD143" t="e">
        <f>AND(tecantrop!T363,"AAAAAG9e6x0=")</f>
        <v>#VALUE!</v>
      </c>
      <c r="AE143" t="e">
        <f>AND(tecantrop!U363,"AAAAAG9e6x4=")</f>
        <v>#VALUE!</v>
      </c>
      <c r="AF143" t="e">
        <f>AND(tecantrop!V363,"AAAAAG9e6x8=")</f>
        <v>#VALUE!</v>
      </c>
      <c r="AG143" t="e">
        <f>AND(tecantrop!W363,"AAAAAG9e6yA=")</f>
        <v>#VALUE!</v>
      </c>
      <c r="AH143" t="e">
        <f>AND(tecantrop!X363,"AAAAAG9e6yE=")</f>
        <v>#VALUE!</v>
      </c>
      <c r="AI143">
        <f>IF(tecantrop!364:364,"AAAAAG9e6yI=",0)</f>
        <v>0</v>
      </c>
      <c r="AJ143" t="e">
        <f>AND(tecantrop!A364,"AAAAAG9e6yM=")</f>
        <v>#VALUE!</v>
      </c>
      <c r="AK143" t="e">
        <f>AND(tecantrop!B364,"AAAAAG9e6yQ=")</f>
        <v>#VALUE!</v>
      </c>
      <c r="AL143" t="e">
        <f>AND(tecantrop!C364,"AAAAAG9e6yU=")</f>
        <v>#VALUE!</v>
      </c>
      <c r="AM143" t="e">
        <f>AND(tecantrop!D364,"AAAAAG9e6yY=")</f>
        <v>#VALUE!</v>
      </c>
      <c r="AN143" t="e">
        <f>AND(tecantrop!E364,"AAAAAG9e6yc=")</f>
        <v>#VALUE!</v>
      </c>
      <c r="AO143" t="e">
        <f>AND(tecantrop!F364,"AAAAAG9e6yg=")</f>
        <v>#VALUE!</v>
      </c>
      <c r="AP143" t="e">
        <f>AND(tecantrop!G364,"AAAAAG9e6yk=")</f>
        <v>#VALUE!</v>
      </c>
      <c r="AQ143" t="e">
        <f>AND(tecantrop!H364,"AAAAAG9e6yo=")</f>
        <v>#VALUE!</v>
      </c>
      <c r="AR143" t="e">
        <f>AND(tecantrop!I364,"AAAAAG9e6ys=")</f>
        <v>#VALUE!</v>
      </c>
      <c r="AS143" t="e">
        <f>AND(tecantrop!J364,"AAAAAG9e6yw=")</f>
        <v>#VALUE!</v>
      </c>
      <c r="AT143" t="e">
        <f>AND(tecantrop!K364,"AAAAAG9e6y0=")</f>
        <v>#VALUE!</v>
      </c>
      <c r="AU143" t="e">
        <f>AND(tecantrop!L364,"AAAAAG9e6y4=")</f>
        <v>#VALUE!</v>
      </c>
      <c r="AV143" t="e">
        <f>AND(tecantrop!M364,"AAAAAG9e6y8=")</f>
        <v>#VALUE!</v>
      </c>
      <c r="AW143" t="e">
        <f>AND(tecantrop!N364,"AAAAAG9e6zA=")</f>
        <v>#VALUE!</v>
      </c>
      <c r="AX143" t="e">
        <f>AND(tecantrop!O364,"AAAAAG9e6zE=")</f>
        <v>#VALUE!</v>
      </c>
      <c r="AY143" t="e">
        <f>AND(tecantrop!P364,"AAAAAG9e6zI=")</f>
        <v>#VALUE!</v>
      </c>
      <c r="AZ143" t="e">
        <f>AND(tecantrop!Q364,"AAAAAG9e6zM=")</f>
        <v>#VALUE!</v>
      </c>
      <c r="BA143" t="e">
        <f>AND(tecantrop!R364,"AAAAAG9e6zQ=")</f>
        <v>#VALUE!</v>
      </c>
      <c r="BB143" t="e">
        <f>AND(tecantrop!S364,"AAAAAG9e6zU=")</f>
        <v>#VALUE!</v>
      </c>
      <c r="BC143" t="e">
        <f>AND(tecantrop!T364,"AAAAAG9e6zY=")</f>
        <v>#VALUE!</v>
      </c>
      <c r="BD143" t="e">
        <f>AND(tecantrop!U364,"AAAAAG9e6zc=")</f>
        <v>#VALUE!</v>
      </c>
      <c r="BE143" t="e">
        <f>AND(tecantrop!V364,"AAAAAG9e6zg=")</f>
        <v>#VALUE!</v>
      </c>
      <c r="BF143" t="e">
        <f>AND(tecantrop!W364,"AAAAAG9e6zk=")</f>
        <v>#VALUE!</v>
      </c>
      <c r="BG143" t="e">
        <f>AND(tecantrop!X364,"AAAAAG9e6zo=")</f>
        <v>#VALUE!</v>
      </c>
      <c r="BH143">
        <f>IF(tecantrop!365:365,"AAAAAG9e6zs=",0)</f>
        <v>0</v>
      </c>
      <c r="BI143" t="e">
        <f>AND(tecantrop!A365,"AAAAAG9e6zw=")</f>
        <v>#VALUE!</v>
      </c>
      <c r="BJ143" t="e">
        <f>AND(tecantrop!B365,"AAAAAG9e6z0=")</f>
        <v>#VALUE!</v>
      </c>
      <c r="BK143" t="e">
        <f>AND(tecantrop!C365,"AAAAAG9e6z4=")</f>
        <v>#VALUE!</v>
      </c>
      <c r="BL143" t="e">
        <f>AND(tecantrop!D365,"AAAAAG9e6z8=")</f>
        <v>#VALUE!</v>
      </c>
      <c r="BM143" t="e">
        <f>AND(tecantrop!E365,"AAAAAG9e60A=")</f>
        <v>#VALUE!</v>
      </c>
      <c r="BN143" t="e">
        <f>AND(tecantrop!F365,"AAAAAG9e60E=")</f>
        <v>#VALUE!</v>
      </c>
      <c r="BO143" t="e">
        <f>AND(tecantrop!G365,"AAAAAG9e60I=")</f>
        <v>#VALUE!</v>
      </c>
      <c r="BP143" t="e">
        <f>AND(tecantrop!H365,"AAAAAG9e60M=")</f>
        <v>#VALUE!</v>
      </c>
      <c r="BQ143" t="e">
        <f>AND(tecantrop!I365,"AAAAAG9e60Q=")</f>
        <v>#VALUE!</v>
      </c>
      <c r="BR143" t="e">
        <f>AND(tecantrop!J365,"AAAAAG9e60U=")</f>
        <v>#VALUE!</v>
      </c>
      <c r="BS143" t="e">
        <f>AND(tecantrop!K365,"AAAAAG9e60Y=")</f>
        <v>#VALUE!</v>
      </c>
      <c r="BT143" t="e">
        <f>AND(tecantrop!L365,"AAAAAG9e60c=")</f>
        <v>#VALUE!</v>
      </c>
      <c r="BU143" t="e">
        <f>AND(tecantrop!M365,"AAAAAG9e60g=")</f>
        <v>#VALUE!</v>
      </c>
      <c r="BV143" t="e">
        <f>AND(tecantrop!N365,"AAAAAG9e60k=")</f>
        <v>#VALUE!</v>
      </c>
      <c r="BW143" t="e">
        <f>AND(tecantrop!O365,"AAAAAG9e60o=")</f>
        <v>#VALUE!</v>
      </c>
      <c r="BX143" t="e">
        <f>AND(tecantrop!P365,"AAAAAG9e60s=")</f>
        <v>#VALUE!</v>
      </c>
      <c r="BY143" t="e">
        <f>AND(tecantrop!Q365,"AAAAAG9e60w=")</f>
        <v>#VALUE!</v>
      </c>
      <c r="BZ143" t="e">
        <f>AND(tecantrop!R365,"AAAAAG9e600=")</f>
        <v>#VALUE!</v>
      </c>
      <c r="CA143" t="e">
        <f>AND(tecantrop!S365,"AAAAAG9e604=")</f>
        <v>#VALUE!</v>
      </c>
      <c r="CB143" t="e">
        <f>AND(tecantrop!T365,"AAAAAG9e608=")</f>
        <v>#VALUE!</v>
      </c>
      <c r="CC143" t="e">
        <f>AND(tecantrop!U365,"AAAAAG9e61A=")</f>
        <v>#VALUE!</v>
      </c>
      <c r="CD143" t="e">
        <f>AND(tecantrop!V365,"AAAAAG9e61E=")</f>
        <v>#VALUE!</v>
      </c>
      <c r="CE143" t="e">
        <f>AND(tecantrop!W365,"AAAAAG9e61I=")</f>
        <v>#VALUE!</v>
      </c>
      <c r="CF143" t="e">
        <f>AND(tecantrop!X365,"AAAAAG9e61M=")</f>
        <v>#VALUE!</v>
      </c>
      <c r="CG143">
        <f>IF(tecantrop!366:366,"AAAAAG9e61Q=",0)</f>
        <v>0</v>
      </c>
      <c r="CH143" t="e">
        <f>AND(tecantrop!A366,"AAAAAG9e61U=")</f>
        <v>#VALUE!</v>
      </c>
      <c r="CI143" t="e">
        <f>AND(tecantrop!B366,"AAAAAG9e61Y=")</f>
        <v>#VALUE!</v>
      </c>
      <c r="CJ143" t="e">
        <f>AND(tecantrop!C366,"AAAAAG9e61c=")</f>
        <v>#VALUE!</v>
      </c>
      <c r="CK143" t="e">
        <f>AND(tecantrop!D366,"AAAAAG9e61g=")</f>
        <v>#VALUE!</v>
      </c>
      <c r="CL143" t="e">
        <f>AND(tecantrop!E366,"AAAAAG9e61k=")</f>
        <v>#VALUE!</v>
      </c>
      <c r="CM143" t="e">
        <f>AND(tecantrop!F366,"AAAAAG9e61o=")</f>
        <v>#VALUE!</v>
      </c>
      <c r="CN143" t="e">
        <f>AND(tecantrop!G366,"AAAAAG9e61s=")</f>
        <v>#VALUE!</v>
      </c>
      <c r="CO143" t="e">
        <f>AND(tecantrop!H366,"AAAAAG9e61w=")</f>
        <v>#VALUE!</v>
      </c>
      <c r="CP143" t="e">
        <f>AND(tecantrop!I366,"AAAAAG9e610=")</f>
        <v>#VALUE!</v>
      </c>
      <c r="CQ143" t="e">
        <f>AND(tecantrop!J366,"AAAAAG9e614=")</f>
        <v>#VALUE!</v>
      </c>
      <c r="CR143" t="e">
        <f>AND(tecantrop!K366,"AAAAAG9e618=")</f>
        <v>#VALUE!</v>
      </c>
      <c r="CS143" t="e">
        <f>AND(tecantrop!L366,"AAAAAG9e62A=")</f>
        <v>#VALUE!</v>
      </c>
      <c r="CT143" t="e">
        <f>AND(tecantrop!M366,"AAAAAG9e62E=")</f>
        <v>#VALUE!</v>
      </c>
      <c r="CU143" t="e">
        <f>AND(tecantrop!N366,"AAAAAG9e62I=")</f>
        <v>#VALUE!</v>
      </c>
      <c r="CV143" t="e">
        <f>AND(tecantrop!O366,"AAAAAG9e62M=")</f>
        <v>#VALUE!</v>
      </c>
      <c r="CW143" t="e">
        <f>AND(tecantrop!P366,"AAAAAG9e62Q=")</f>
        <v>#VALUE!</v>
      </c>
      <c r="CX143" t="e">
        <f>AND(tecantrop!Q366,"AAAAAG9e62U=")</f>
        <v>#VALUE!</v>
      </c>
      <c r="CY143" t="e">
        <f>AND(tecantrop!R366,"AAAAAG9e62Y=")</f>
        <v>#VALUE!</v>
      </c>
      <c r="CZ143" t="e">
        <f>AND(tecantrop!S366,"AAAAAG9e62c=")</f>
        <v>#VALUE!</v>
      </c>
      <c r="DA143" t="e">
        <f>AND(tecantrop!T366,"AAAAAG9e62g=")</f>
        <v>#VALUE!</v>
      </c>
      <c r="DB143" t="e">
        <f>AND(tecantrop!U366,"AAAAAG9e62k=")</f>
        <v>#VALUE!</v>
      </c>
      <c r="DC143" t="e">
        <f>AND(tecantrop!V366,"AAAAAG9e62o=")</f>
        <v>#VALUE!</v>
      </c>
      <c r="DD143" t="e">
        <f>AND(tecantrop!W366,"AAAAAG9e62s=")</f>
        <v>#VALUE!</v>
      </c>
      <c r="DE143" t="e">
        <f>AND(tecantrop!X366,"AAAAAG9e62w=")</f>
        <v>#VALUE!</v>
      </c>
      <c r="DF143">
        <f>IF(tecantrop!367:367,"AAAAAG9e620=",0)</f>
        <v>0</v>
      </c>
      <c r="DG143" t="e">
        <f>AND(tecantrop!A367,"AAAAAG9e624=")</f>
        <v>#VALUE!</v>
      </c>
      <c r="DH143" t="e">
        <f>AND(tecantrop!B367,"AAAAAG9e628=")</f>
        <v>#VALUE!</v>
      </c>
      <c r="DI143" t="e">
        <f>AND(tecantrop!C367,"AAAAAG9e63A=")</f>
        <v>#VALUE!</v>
      </c>
      <c r="DJ143" t="e">
        <f>AND(tecantrop!D367,"AAAAAG9e63E=")</f>
        <v>#VALUE!</v>
      </c>
      <c r="DK143" t="e">
        <f>AND(tecantrop!E367,"AAAAAG9e63I=")</f>
        <v>#VALUE!</v>
      </c>
      <c r="DL143" t="e">
        <f>AND(tecantrop!F367,"AAAAAG9e63M=")</f>
        <v>#VALUE!</v>
      </c>
      <c r="DM143" t="e">
        <f>AND(tecantrop!G367,"AAAAAG9e63Q=")</f>
        <v>#VALUE!</v>
      </c>
      <c r="DN143" t="e">
        <f>AND(tecantrop!H367,"AAAAAG9e63U=")</f>
        <v>#VALUE!</v>
      </c>
      <c r="DO143" t="e">
        <f>AND(tecantrop!I367,"AAAAAG9e63Y=")</f>
        <v>#VALUE!</v>
      </c>
      <c r="DP143" t="e">
        <f>AND(tecantrop!J367,"AAAAAG9e63c=")</f>
        <v>#VALUE!</v>
      </c>
      <c r="DQ143" t="e">
        <f>AND(tecantrop!K367,"AAAAAG9e63g=")</f>
        <v>#VALUE!</v>
      </c>
      <c r="DR143" t="e">
        <f>AND(tecantrop!L367,"AAAAAG9e63k=")</f>
        <v>#VALUE!</v>
      </c>
      <c r="DS143" t="e">
        <f>AND(tecantrop!M367,"AAAAAG9e63o=")</f>
        <v>#VALUE!</v>
      </c>
      <c r="DT143" t="e">
        <f>AND(tecantrop!N367,"AAAAAG9e63s=")</f>
        <v>#VALUE!</v>
      </c>
      <c r="DU143" t="e">
        <f>AND(tecantrop!O367,"AAAAAG9e63w=")</f>
        <v>#VALUE!</v>
      </c>
      <c r="DV143" t="e">
        <f>AND(tecantrop!P367,"AAAAAG9e630=")</f>
        <v>#VALUE!</v>
      </c>
      <c r="DW143" t="e">
        <f>AND(tecantrop!Q367,"AAAAAG9e634=")</f>
        <v>#VALUE!</v>
      </c>
      <c r="DX143" t="e">
        <f>AND(tecantrop!R367,"AAAAAG9e638=")</f>
        <v>#VALUE!</v>
      </c>
      <c r="DY143" t="e">
        <f>AND(tecantrop!S367,"AAAAAG9e64A=")</f>
        <v>#VALUE!</v>
      </c>
      <c r="DZ143" t="e">
        <f>AND(tecantrop!T367,"AAAAAG9e64E=")</f>
        <v>#VALUE!</v>
      </c>
      <c r="EA143" t="e">
        <f>AND(tecantrop!U367,"AAAAAG9e64I=")</f>
        <v>#VALUE!</v>
      </c>
      <c r="EB143" t="e">
        <f>AND(tecantrop!V367,"AAAAAG9e64M=")</f>
        <v>#VALUE!</v>
      </c>
      <c r="EC143" t="e">
        <f>AND(tecantrop!W367,"AAAAAG9e64Q=")</f>
        <v>#VALUE!</v>
      </c>
      <c r="ED143" t="e">
        <f>AND(tecantrop!X367,"AAAAAG9e64U=")</f>
        <v>#VALUE!</v>
      </c>
      <c r="EE143">
        <f>IF(tecantrop!368:368,"AAAAAG9e64Y=",0)</f>
        <v>0</v>
      </c>
      <c r="EF143" t="e">
        <f>AND(tecantrop!A368,"AAAAAG9e64c=")</f>
        <v>#VALUE!</v>
      </c>
      <c r="EG143" t="e">
        <f>AND(tecantrop!B368,"AAAAAG9e64g=")</f>
        <v>#VALUE!</v>
      </c>
      <c r="EH143" t="e">
        <f>AND(tecantrop!C368,"AAAAAG9e64k=")</f>
        <v>#VALUE!</v>
      </c>
      <c r="EI143" t="e">
        <f>AND(tecantrop!D368,"AAAAAG9e64o=")</f>
        <v>#VALUE!</v>
      </c>
      <c r="EJ143" t="e">
        <f>AND(tecantrop!E368,"AAAAAG9e64s=")</f>
        <v>#VALUE!</v>
      </c>
      <c r="EK143" t="e">
        <f>AND(tecantrop!F368,"AAAAAG9e64w=")</f>
        <v>#VALUE!</v>
      </c>
      <c r="EL143" t="e">
        <f>AND(tecantrop!G368,"AAAAAG9e640=")</f>
        <v>#VALUE!</v>
      </c>
      <c r="EM143" t="e">
        <f>AND(tecantrop!H368,"AAAAAG9e644=")</f>
        <v>#VALUE!</v>
      </c>
      <c r="EN143" t="e">
        <f>AND(tecantrop!I368,"AAAAAG9e648=")</f>
        <v>#VALUE!</v>
      </c>
      <c r="EO143" t="e">
        <f>AND(tecantrop!J368,"AAAAAG9e65A=")</f>
        <v>#VALUE!</v>
      </c>
      <c r="EP143" t="e">
        <f>AND(tecantrop!K368,"AAAAAG9e65E=")</f>
        <v>#VALUE!</v>
      </c>
      <c r="EQ143" t="e">
        <f>AND(tecantrop!L368,"AAAAAG9e65I=")</f>
        <v>#VALUE!</v>
      </c>
      <c r="ER143" t="e">
        <f>AND(tecantrop!M368,"AAAAAG9e65M=")</f>
        <v>#VALUE!</v>
      </c>
      <c r="ES143" t="e">
        <f>AND(tecantrop!N368,"AAAAAG9e65Q=")</f>
        <v>#VALUE!</v>
      </c>
      <c r="ET143" t="e">
        <f>AND(tecantrop!O368,"AAAAAG9e65U=")</f>
        <v>#VALUE!</v>
      </c>
      <c r="EU143" t="e">
        <f>AND(tecantrop!P368,"AAAAAG9e65Y=")</f>
        <v>#VALUE!</v>
      </c>
      <c r="EV143" t="e">
        <f>AND(tecantrop!Q368,"AAAAAG9e65c=")</f>
        <v>#VALUE!</v>
      </c>
      <c r="EW143" t="e">
        <f>AND(tecantrop!R368,"AAAAAG9e65g=")</f>
        <v>#VALUE!</v>
      </c>
      <c r="EX143" t="e">
        <f>AND(tecantrop!S368,"AAAAAG9e65k=")</f>
        <v>#VALUE!</v>
      </c>
      <c r="EY143" t="e">
        <f>AND(tecantrop!T368,"AAAAAG9e65o=")</f>
        <v>#VALUE!</v>
      </c>
      <c r="EZ143" t="e">
        <f>AND(tecantrop!U368,"AAAAAG9e65s=")</f>
        <v>#VALUE!</v>
      </c>
      <c r="FA143" t="e">
        <f>AND(tecantrop!V368,"AAAAAG9e65w=")</f>
        <v>#VALUE!</v>
      </c>
      <c r="FB143" t="e">
        <f>AND(tecantrop!W368,"AAAAAG9e650=")</f>
        <v>#VALUE!</v>
      </c>
      <c r="FC143" t="e">
        <f>AND(tecantrop!X368,"AAAAAG9e654=")</f>
        <v>#VALUE!</v>
      </c>
      <c r="FD143">
        <f>IF(tecantrop!369:369,"AAAAAG9e658=",0)</f>
        <v>0</v>
      </c>
      <c r="FE143" t="e">
        <f>AND(tecantrop!A369,"AAAAAG9e66A=")</f>
        <v>#VALUE!</v>
      </c>
      <c r="FF143" t="e">
        <f>AND(tecantrop!B369,"AAAAAG9e66E=")</f>
        <v>#VALUE!</v>
      </c>
      <c r="FG143" t="e">
        <f>AND(tecantrop!C369,"AAAAAG9e66I=")</f>
        <v>#VALUE!</v>
      </c>
      <c r="FH143" t="e">
        <f>AND(tecantrop!D369,"AAAAAG9e66M=")</f>
        <v>#VALUE!</v>
      </c>
      <c r="FI143" t="e">
        <f>AND(tecantrop!E369,"AAAAAG9e66Q=")</f>
        <v>#VALUE!</v>
      </c>
      <c r="FJ143" t="e">
        <f>AND(tecantrop!F369,"AAAAAG9e66U=")</f>
        <v>#VALUE!</v>
      </c>
      <c r="FK143" t="e">
        <f>AND(tecantrop!G369,"AAAAAG9e66Y=")</f>
        <v>#VALUE!</v>
      </c>
      <c r="FL143" t="e">
        <f>AND(tecantrop!H369,"AAAAAG9e66c=")</f>
        <v>#VALUE!</v>
      </c>
      <c r="FM143" t="e">
        <f>AND(tecantrop!I369,"AAAAAG9e66g=")</f>
        <v>#VALUE!</v>
      </c>
      <c r="FN143" t="e">
        <f>AND(tecantrop!J369,"AAAAAG9e66k=")</f>
        <v>#VALUE!</v>
      </c>
      <c r="FO143" t="e">
        <f>AND(tecantrop!K369,"AAAAAG9e66o=")</f>
        <v>#VALUE!</v>
      </c>
      <c r="FP143" t="e">
        <f>AND(tecantrop!L369,"AAAAAG9e66s=")</f>
        <v>#VALUE!</v>
      </c>
      <c r="FQ143" t="e">
        <f>AND(tecantrop!M369,"AAAAAG9e66w=")</f>
        <v>#VALUE!</v>
      </c>
      <c r="FR143" t="e">
        <f>AND(tecantrop!N369,"AAAAAG9e660=")</f>
        <v>#VALUE!</v>
      </c>
      <c r="FS143" t="e">
        <f>AND(tecantrop!O369,"AAAAAG9e664=")</f>
        <v>#VALUE!</v>
      </c>
      <c r="FT143" t="e">
        <f>AND(tecantrop!P369,"AAAAAG9e668=")</f>
        <v>#VALUE!</v>
      </c>
      <c r="FU143" t="e">
        <f>AND(tecantrop!Q369,"AAAAAG9e67A=")</f>
        <v>#VALUE!</v>
      </c>
      <c r="FV143" t="e">
        <f>AND(tecantrop!R369,"AAAAAG9e67E=")</f>
        <v>#VALUE!</v>
      </c>
      <c r="FW143" t="e">
        <f>AND(tecantrop!S369,"AAAAAG9e67I=")</f>
        <v>#VALUE!</v>
      </c>
      <c r="FX143" t="e">
        <f>AND(tecantrop!T369,"AAAAAG9e67M=")</f>
        <v>#VALUE!</v>
      </c>
      <c r="FY143" t="e">
        <f>AND(tecantrop!U369,"AAAAAG9e67Q=")</f>
        <v>#VALUE!</v>
      </c>
      <c r="FZ143" t="e">
        <f>AND(tecantrop!V369,"AAAAAG9e67U=")</f>
        <v>#VALUE!</v>
      </c>
      <c r="GA143" t="e">
        <f>AND(tecantrop!W369,"AAAAAG9e67Y=")</f>
        <v>#VALUE!</v>
      </c>
      <c r="GB143" t="e">
        <f>AND(tecantrop!X369,"AAAAAG9e67c=")</f>
        <v>#VALUE!</v>
      </c>
      <c r="GC143">
        <f>IF(tecantrop!370:370,"AAAAAG9e67g=",0)</f>
        <v>0</v>
      </c>
      <c r="GD143" t="e">
        <f>AND(tecantrop!A370,"AAAAAG9e67k=")</f>
        <v>#VALUE!</v>
      </c>
      <c r="GE143" t="e">
        <f>AND(tecantrop!B370,"AAAAAG9e67o=")</f>
        <v>#VALUE!</v>
      </c>
      <c r="GF143" t="e">
        <f>AND(tecantrop!C370,"AAAAAG9e67s=")</f>
        <v>#VALUE!</v>
      </c>
      <c r="GG143" t="e">
        <f>AND(tecantrop!D370,"AAAAAG9e67w=")</f>
        <v>#VALUE!</v>
      </c>
      <c r="GH143" t="e">
        <f>AND(tecantrop!E370,"AAAAAG9e670=")</f>
        <v>#VALUE!</v>
      </c>
      <c r="GI143" t="e">
        <f>AND(tecantrop!F370,"AAAAAG9e674=")</f>
        <v>#VALUE!</v>
      </c>
      <c r="GJ143" t="e">
        <f>AND(tecantrop!G370,"AAAAAG9e678=")</f>
        <v>#VALUE!</v>
      </c>
      <c r="GK143" t="e">
        <f>AND(tecantrop!H370,"AAAAAG9e68A=")</f>
        <v>#VALUE!</v>
      </c>
      <c r="GL143" t="e">
        <f>AND(tecantrop!I370,"AAAAAG9e68E=")</f>
        <v>#VALUE!</v>
      </c>
      <c r="GM143" t="e">
        <f>AND(tecantrop!J370,"AAAAAG9e68I=")</f>
        <v>#VALUE!</v>
      </c>
      <c r="GN143" t="e">
        <f>AND(tecantrop!K370,"AAAAAG9e68M=")</f>
        <v>#VALUE!</v>
      </c>
      <c r="GO143" t="e">
        <f>AND(tecantrop!L370,"AAAAAG9e68Q=")</f>
        <v>#VALUE!</v>
      </c>
      <c r="GP143" t="e">
        <f>AND(tecantrop!M370,"AAAAAG9e68U=")</f>
        <v>#VALUE!</v>
      </c>
      <c r="GQ143" t="e">
        <f>AND(tecantrop!N370,"AAAAAG9e68Y=")</f>
        <v>#VALUE!</v>
      </c>
      <c r="GR143" t="e">
        <f>AND(tecantrop!O370,"AAAAAG9e68c=")</f>
        <v>#VALUE!</v>
      </c>
      <c r="GS143" t="e">
        <f>AND(tecantrop!P370,"AAAAAG9e68g=")</f>
        <v>#VALUE!</v>
      </c>
      <c r="GT143" t="e">
        <f>AND(tecantrop!Q370,"AAAAAG9e68k=")</f>
        <v>#VALUE!</v>
      </c>
      <c r="GU143" t="e">
        <f>AND(tecantrop!R370,"AAAAAG9e68o=")</f>
        <v>#VALUE!</v>
      </c>
      <c r="GV143" t="e">
        <f>AND(tecantrop!S370,"AAAAAG9e68s=")</f>
        <v>#VALUE!</v>
      </c>
      <c r="GW143" t="e">
        <f>AND(tecantrop!T370,"AAAAAG9e68w=")</f>
        <v>#VALUE!</v>
      </c>
      <c r="GX143" t="e">
        <f>AND(tecantrop!U370,"AAAAAG9e680=")</f>
        <v>#VALUE!</v>
      </c>
      <c r="GY143" t="e">
        <f>AND(tecantrop!V370,"AAAAAG9e684=")</f>
        <v>#VALUE!</v>
      </c>
      <c r="GZ143" t="e">
        <f>AND(tecantrop!W370,"AAAAAG9e688=")</f>
        <v>#VALUE!</v>
      </c>
      <c r="HA143" t="e">
        <f>AND(tecantrop!X370,"AAAAAG9e69A=")</f>
        <v>#VALUE!</v>
      </c>
      <c r="HB143">
        <f>IF(tecantrop!371:371,"AAAAAG9e69E=",0)</f>
        <v>0</v>
      </c>
      <c r="HC143" t="e">
        <f>AND(tecantrop!A371,"AAAAAG9e69I=")</f>
        <v>#VALUE!</v>
      </c>
      <c r="HD143" t="e">
        <f>AND(tecantrop!B371,"AAAAAG9e69M=")</f>
        <v>#VALUE!</v>
      </c>
      <c r="HE143" t="e">
        <f>AND(tecantrop!C371,"AAAAAG9e69Q=")</f>
        <v>#VALUE!</v>
      </c>
      <c r="HF143" t="e">
        <f>AND(tecantrop!D371,"AAAAAG9e69U=")</f>
        <v>#VALUE!</v>
      </c>
      <c r="HG143" t="e">
        <f>AND(tecantrop!E371,"AAAAAG9e69Y=")</f>
        <v>#VALUE!</v>
      </c>
      <c r="HH143" t="e">
        <f>AND(tecantrop!F371,"AAAAAG9e69c=")</f>
        <v>#VALUE!</v>
      </c>
      <c r="HI143" t="e">
        <f>AND(tecantrop!G371,"AAAAAG9e69g=")</f>
        <v>#VALUE!</v>
      </c>
      <c r="HJ143" t="e">
        <f>AND(tecantrop!H371,"AAAAAG9e69k=")</f>
        <v>#VALUE!</v>
      </c>
      <c r="HK143" t="e">
        <f>AND(tecantrop!I371,"AAAAAG9e69o=")</f>
        <v>#VALUE!</v>
      </c>
      <c r="HL143" t="e">
        <f>AND(tecantrop!J371,"AAAAAG9e69s=")</f>
        <v>#VALUE!</v>
      </c>
      <c r="HM143" t="e">
        <f>AND(tecantrop!K371,"AAAAAG9e69w=")</f>
        <v>#VALUE!</v>
      </c>
      <c r="HN143" t="e">
        <f>AND(tecantrop!L371,"AAAAAG9e690=")</f>
        <v>#VALUE!</v>
      </c>
      <c r="HO143" t="e">
        <f>AND(tecantrop!M371,"AAAAAG9e694=")</f>
        <v>#VALUE!</v>
      </c>
      <c r="HP143" t="e">
        <f>AND(tecantrop!N371,"AAAAAG9e698=")</f>
        <v>#VALUE!</v>
      </c>
      <c r="HQ143" t="e">
        <f>AND(tecantrop!O371,"AAAAAG9e6+A=")</f>
        <v>#VALUE!</v>
      </c>
      <c r="HR143" t="e">
        <f>AND(tecantrop!P371,"AAAAAG9e6+E=")</f>
        <v>#VALUE!</v>
      </c>
      <c r="HS143" t="e">
        <f>AND(tecantrop!Q371,"AAAAAG9e6+I=")</f>
        <v>#VALUE!</v>
      </c>
      <c r="HT143" t="e">
        <f>AND(tecantrop!R371,"AAAAAG9e6+M=")</f>
        <v>#VALUE!</v>
      </c>
      <c r="HU143" t="e">
        <f>AND(tecantrop!S371,"AAAAAG9e6+Q=")</f>
        <v>#VALUE!</v>
      </c>
      <c r="HV143" t="e">
        <f>AND(tecantrop!T371,"AAAAAG9e6+U=")</f>
        <v>#VALUE!</v>
      </c>
      <c r="HW143" t="e">
        <f>AND(tecantrop!U371,"AAAAAG9e6+Y=")</f>
        <v>#VALUE!</v>
      </c>
      <c r="HX143" t="e">
        <f>AND(tecantrop!V371,"AAAAAG9e6+c=")</f>
        <v>#VALUE!</v>
      </c>
      <c r="HY143" t="e">
        <f>AND(tecantrop!W371,"AAAAAG9e6+g=")</f>
        <v>#VALUE!</v>
      </c>
      <c r="HZ143" t="e">
        <f>AND(tecantrop!X371,"AAAAAG9e6+k=")</f>
        <v>#VALUE!</v>
      </c>
      <c r="IA143">
        <f>IF(tecantrop!372:372,"AAAAAG9e6+o=",0)</f>
        <v>0</v>
      </c>
      <c r="IB143" t="e">
        <f>AND(tecantrop!A372,"AAAAAG9e6+s=")</f>
        <v>#VALUE!</v>
      </c>
      <c r="IC143" t="e">
        <f>AND(tecantrop!B372,"AAAAAG9e6+w=")</f>
        <v>#VALUE!</v>
      </c>
      <c r="ID143" t="e">
        <f>AND(tecantrop!C372,"AAAAAG9e6+0=")</f>
        <v>#VALUE!</v>
      </c>
      <c r="IE143" t="e">
        <f>AND(tecantrop!D372,"AAAAAG9e6+4=")</f>
        <v>#VALUE!</v>
      </c>
      <c r="IF143" t="e">
        <f>AND(tecantrop!E372,"AAAAAG9e6+8=")</f>
        <v>#VALUE!</v>
      </c>
      <c r="IG143" t="e">
        <f>AND(tecantrop!F372,"AAAAAG9e6/A=")</f>
        <v>#VALUE!</v>
      </c>
      <c r="IH143" t="e">
        <f>AND(tecantrop!G372,"AAAAAG9e6/E=")</f>
        <v>#VALUE!</v>
      </c>
      <c r="II143" t="e">
        <f>AND(tecantrop!H372,"AAAAAG9e6/I=")</f>
        <v>#VALUE!</v>
      </c>
      <c r="IJ143" t="e">
        <f>AND(tecantrop!I372,"AAAAAG9e6/M=")</f>
        <v>#VALUE!</v>
      </c>
      <c r="IK143" t="e">
        <f>AND(tecantrop!J372,"AAAAAG9e6/Q=")</f>
        <v>#VALUE!</v>
      </c>
      <c r="IL143" t="e">
        <f>AND(tecantrop!K372,"AAAAAG9e6/U=")</f>
        <v>#VALUE!</v>
      </c>
      <c r="IM143" t="e">
        <f>AND(tecantrop!L372,"AAAAAG9e6/Y=")</f>
        <v>#VALUE!</v>
      </c>
      <c r="IN143" t="e">
        <f>AND(tecantrop!M372,"AAAAAG9e6/c=")</f>
        <v>#VALUE!</v>
      </c>
      <c r="IO143" t="e">
        <f>AND(tecantrop!N372,"AAAAAG9e6/g=")</f>
        <v>#VALUE!</v>
      </c>
      <c r="IP143" t="e">
        <f>AND(tecantrop!O372,"AAAAAG9e6/k=")</f>
        <v>#VALUE!</v>
      </c>
      <c r="IQ143" t="e">
        <f>AND(tecantrop!P372,"AAAAAG9e6/o=")</f>
        <v>#VALUE!</v>
      </c>
      <c r="IR143" t="e">
        <f>AND(tecantrop!Q372,"AAAAAG9e6/s=")</f>
        <v>#VALUE!</v>
      </c>
      <c r="IS143" t="e">
        <f>AND(tecantrop!R372,"AAAAAG9e6/w=")</f>
        <v>#VALUE!</v>
      </c>
      <c r="IT143" t="e">
        <f>AND(tecantrop!S372,"AAAAAG9e6/0=")</f>
        <v>#VALUE!</v>
      </c>
      <c r="IU143" t="e">
        <f>AND(tecantrop!T372,"AAAAAG9e6/4=")</f>
        <v>#VALUE!</v>
      </c>
      <c r="IV143" t="e">
        <f>AND(tecantrop!U372,"AAAAAG9e6/8=")</f>
        <v>#VALUE!</v>
      </c>
    </row>
    <row r="144" spans="1:256" x14ac:dyDescent="0.2">
      <c r="A144" t="e">
        <f>AND(tecantrop!V372,"AAAAAH812wA=")</f>
        <v>#VALUE!</v>
      </c>
      <c r="B144" t="e">
        <f>AND(tecantrop!W372,"AAAAAH812wE=")</f>
        <v>#VALUE!</v>
      </c>
      <c r="C144" t="e">
        <f>AND(tecantrop!X372,"AAAAAH812wI=")</f>
        <v>#VALUE!</v>
      </c>
      <c r="D144">
        <f>IF(tecantrop!373:373,"AAAAAH812wM=",0)</f>
        <v>0</v>
      </c>
      <c r="E144" t="e">
        <f>AND(tecantrop!A373,"AAAAAH812wQ=")</f>
        <v>#VALUE!</v>
      </c>
      <c r="F144" t="e">
        <f>AND(tecantrop!B373,"AAAAAH812wU=")</f>
        <v>#VALUE!</v>
      </c>
      <c r="G144" t="e">
        <f>AND(tecantrop!C373,"AAAAAH812wY=")</f>
        <v>#VALUE!</v>
      </c>
      <c r="H144" t="e">
        <f>AND(tecantrop!D373,"AAAAAH812wc=")</f>
        <v>#VALUE!</v>
      </c>
      <c r="I144" t="e">
        <f>AND(tecantrop!E373,"AAAAAH812wg=")</f>
        <v>#VALUE!</v>
      </c>
      <c r="J144" t="e">
        <f>AND(tecantrop!F373,"AAAAAH812wk=")</f>
        <v>#VALUE!</v>
      </c>
      <c r="K144" t="e">
        <f>AND(tecantrop!G373,"AAAAAH812wo=")</f>
        <v>#VALUE!</v>
      </c>
      <c r="L144" t="e">
        <f>AND(tecantrop!H373,"AAAAAH812ws=")</f>
        <v>#VALUE!</v>
      </c>
      <c r="M144" t="e">
        <f>AND(tecantrop!I373,"AAAAAH812ww=")</f>
        <v>#VALUE!</v>
      </c>
      <c r="N144" t="e">
        <f>AND(tecantrop!J373,"AAAAAH812w0=")</f>
        <v>#VALUE!</v>
      </c>
      <c r="O144" t="e">
        <f>AND(tecantrop!K373,"AAAAAH812w4=")</f>
        <v>#VALUE!</v>
      </c>
      <c r="P144" t="e">
        <f>AND(tecantrop!L373,"AAAAAH812w8=")</f>
        <v>#VALUE!</v>
      </c>
      <c r="Q144" t="e">
        <f>AND(tecantrop!M373,"AAAAAH812xA=")</f>
        <v>#VALUE!</v>
      </c>
      <c r="R144" t="e">
        <f>AND(tecantrop!N373,"AAAAAH812xE=")</f>
        <v>#VALUE!</v>
      </c>
      <c r="S144" t="e">
        <f>AND(tecantrop!O373,"AAAAAH812xI=")</f>
        <v>#VALUE!</v>
      </c>
      <c r="T144" t="e">
        <f>AND(tecantrop!P373,"AAAAAH812xM=")</f>
        <v>#VALUE!</v>
      </c>
      <c r="U144" t="e">
        <f>AND(tecantrop!Q373,"AAAAAH812xQ=")</f>
        <v>#VALUE!</v>
      </c>
      <c r="V144" t="e">
        <f>AND(tecantrop!R373,"AAAAAH812xU=")</f>
        <v>#VALUE!</v>
      </c>
      <c r="W144" t="e">
        <f>AND(tecantrop!S373,"AAAAAH812xY=")</f>
        <v>#VALUE!</v>
      </c>
      <c r="X144" t="e">
        <f>AND(tecantrop!T373,"AAAAAH812xc=")</f>
        <v>#VALUE!</v>
      </c>
      <c r="Y144" t="e">
        <f>AND(tecantrop!U373,"AAAAAH812xg=")</f>
        <v>#VALUE!</v>
      </c>
      <c r="Z144" t="e">
        <f>AND(tecantrop!V373,"AAAAAH812xk=")</f>
        <v>#VALUE!</v>
      </c>
      <c r="AA144" t="e">
        <f>AND(tecantrop!W373,"AAAAAH812xo=")</f>
        <v>#VALUE!</v>
      </c>
      <c r="AB144" t="e">
        <f>AND(tecantrop!X373,"AAAAAH812xs=")</f>
        <v>#VALUE!</v>
      </c>
      <c r="AC144">
        <f>IF(tecantrop!374:374,"AAAAAH812xw=",0)</f>
        <v>0</v>
      </c>
      <c r="AD144" t="e">
        <f>AND(tecantrop!A374,"AAAAAH812x0=")</f>
        <v>#VALUE!</v>
      </c>
      <c r="AE144" t="e">
        <f>AND(tecantrop!B374,"AAAAAH812x4=")</f>
        <v>#VALUE!</v>
      </c>
      <c r="AF144" t="e">
        <f>AND(tecantrop!C374,"AAAAAH812x8=")</f>
        <v>#VALUE!</v>
      </c>
      <c r="AG144" t="e">
        <f>AND(tecantrop!D374,"AAAAAH812yA=")</f>
        <v>#VALUE!</v>
      </c>
      <c r="AH144" t="e">
        <f>AND(tecantrop!E374,"AAAAAH812yE=")</f>
        <v>#VALUE!</v>
      </c>
      <c r="AI144" t="e">
        <f>AND(tecantrop!F374,"AAAAAH812yI=")</f>
        <v>#VALUE!</v>
      </c>
      <c r="AJ144" t="e">
        <f>AND(tecantrop!G374,"AAAAAH812yM=")</f>
        <v>#VALUE!</v>
      </c>
      <c r="AK144" t="e">
        <f>AND(tecantrop!H374,"AAAAAH812yQ=")</f>
        <v>#VALUE!</v>
      </c>
      <c r="AL144" t="e">
        <f>AND(tecantrop!I374,"AAAAAH812yU=")</f>
        <v>#VALUE!</v>
      </c>
      <c r="AM144" t="e">
        <f>AND(tecantrop!J374,"AAAAAH812yY=")</f>
        <v>#VALUE!</v>
      </c>
      <c r="AN144" t="e">
        <f>AND(tecantrop!K374,"AAAAAH812yc=")</f>
        <v>#VALUE!</v>
      </c>
      <c r="AO144" t="e">
        <f>AND(tecantrop!L374,"AAAAAH812yg=")</f>
        <v>#VALUE!</v>
      </c>
      <c r="AP144" t="e">
        <f>AND(tecantrop!M374,"AAAAAH812yk=")</f>
        <v>#VALUE!</v>
      </c>
      <c r="AQ144" t="e">
        <f>AND(tecantrop!N374,"AAAAAH812yo=")</f>
        <v>#VALUE!</v>
      </c>
      <c r="AR144" t="e">
        <f>AND(tecantrop!O374,"AAAAAH812ys=")</f>
        <v>#VALUE!</v>
      </c>
      <c r="AS144" t="e">
        <f>AND(tecantrop!P374,"AAAAAH812yw=")</f>
        <v>#VALUE!</v>
      </c>
      <c r="AT144" t="e">
        <f>AND(tecantrop!Q374,"AAAAAH812y0=")</f>
        <v>#VALUE!</v>
      </c>
      <c r="AU144" t="e">
        <f>AND(tecantrop!R374,"AAAAAH812y4=")</f>
        <v>#VALUE!</v>
      </c>
      <c r="AV144" t="e">
        <f>AND(tecantrop!S374,"AAAAAH812y8=")</f>
        <v>#VALUE!</v>
      </c>
      <c r="AW144" t="e">
        <f>AND(tecantrop!T374,"AAAAAH812zA=")</f>
        <v>#VALUE!</v>
      </c>
      <c r="AX144" t="e">
        <f>AND(tecantrop!U374,"AAAAAH812zE=")</f>
        <v>#VALUE!</v>
      </c>
      <c r="AY144" t="e">
        <f>AND(tecantrop!V374,"AAAAAH812zI=")</f>
        <v>#VALUE!</v>
      </c>
      <c r="AZ144" t="e">
        <f>AND(tecantrop!W374,"AAAAAH812zM=")</f>
        <v>#VALUE!</v>
      </c>
      <c r="BA144" t="e">
        <f>AND(tecantrop!X374,"AAAAAH812zQ=")</f>
        <v>#VALUE!</v>
      </c>
      <c r="BB144">
        <f>IF(tecantrop!375:375,"AAAAAH812zU=",0)</f>
        <v>0</v>
      </c>
      <c r="BC144" t="e">
        <f>AND(tecantrop!A375,"AAAAAH812zY=")</f>
        <v>#VALUE!</v>
      </c>
      <c r="BD144" t="e">
        <f>AND(tecantrop!B375,"AAAAAH812zc=")</f>
        <v>#VALUE!</v>
      </c>
      <c r="BE144" t="e">
        <f>AND(tecantrop!C375,"AAAAAH812zg=")</f>
        <v>#VALUE!</v>
      </c>
      <c r="BF144" t="e">
        <f>AND(tecantrop!D375,"AAAAAH812zk=")</f>
        <v>#VALUE!</v>
      </c>
      <c r="BG144" t="e">
        <f>AND(tecantrop!E375,"AAAAAH812zo=")</f>
        <v>#VALUE!</v>
      </c>
      <c r="BH144" t="e">
        <f>AND(tecantrop!F375,"AAAAAH812zs=")</f>
        <v>#VALUE!</v>
      </c>
      <c r="BI144" t="e">
        <f>AND(tecantrop!G375,"AAAAAH812zw=")</f>
        <v>#VALUE!</v>
      </c>
      <c r="BJ144" t="e">
        <f>AND(tecantrop!H375,"AAAAAH812z0=")</f>
        <v>#VALUE!</v>
      </c>
      <c r="BK144" t="e">
        <f>AND(tecantrop!I375,"AAAAAH812z4=")</f>
        <v>#VALUE!</v>
      </c>
      <c r="BL144" t="e">
        <f>AND(tecantrop!J375,"AAAAAH812z8=")</f>
        <v>#VALUE!</v>
      </c>
      <c r="BM144" t="e">
        <f>AND(tecantrop!K375,"AAAAAH8120A=")</f>
        <v>#VALUE!</v>
      </c>
      <c r="BN144" t="e">
        <f>AND(tecantrop!L375,"AAAAAH8120E=")</f>
        <v>#VALUE!</v>
      </c>
      <c r="BO144" t="e">
        <f>AND(tecantrop!M375,"AAAAAH8120I=")</f>
        <v>#VALUE!</v>
      </c>
      <c r="BP144" t="e">
        <f>AND(tecantrop!N375,"AAAAAH8120M=")</f>
        <v>#VALUE!</v>
      </c>
      <c r="BQ144" t="e">
        <f>AND(tecantrop!O375,"AAAAAH8120Q=")</f>
        <v>#VALUE!</v>
      </c>
      <c r="BR144" t="e">
        <f>AND(tecantrop!P375,"AAAAAH8120U=")</f>
        <v>#VALUE!</v>
      </c>
      <c r="BS144" t="e">
        <f>AND(tecantrop!Q375,"AAAAAH8120Y=")</f>
        <v>#VALUE!</v>
      </c>
      <c r="BT144" t="e">
        <f>AND(tecantrop!R375,"AAAAAH8120c=")</f>
        <v>#VALUE!</v>
      </c>
      <c r="BU144" t="e">
        <f>AND(tecantrop!S375,"AAAAAH8120g=")</f>
        <v>#VALUE!</v>
      </c>
      <c r="BV144" t="e">
        <f>AND(tecantrop!T375,"AAAAAH8120k=")</f>
        <v>#VALUE!</v>
      </c>
      <c r="BW144" t="e">
        <f>AND(tecantrop!U375,"AAAAAH8120o=")</f>
        <v>#VALUE!</v>
      </c>
      <c r="BX144" t="e">
        <f>AND(tecantrop!V375,"AAAAAH8120s=")</f>
        <v>#VALUE!</v>
      </c>
      <c r="BY144" t="e">
        <f>AND(tecantrop!W375,"AAAAAH8120w=")</f>
        <v>#VALUE!</v>
      </c>
      <c r="BZ144" t="e">
        <f>AND(tecantrop!X375,"AAAAAH81200=")</f>
        <v>#VALUE!</v>
      </c>
      <c r="CA144">
        <f>IF(tecantrop!376:376,"AAAAAH81204=",0)</f>
        <v>0</v>
      </c>
      <c r="CB144" t="e">
        <f>AND(tecantrop!A376,"AAAAAH81208=")</f>
        <v>#VALUE!</v>
      </c>
      <c r="CC144" t="e">
        <f>AND(tecantrop!B376,"AAAAAH8121A=")</f>
        <v>#VALUE!</v>
      </c>
      <c r="CD144" t="e">
        <f>AND(tecantrop!C376,"AAAAAH8121E=")</f>
        <v>#VALUE!</v>
      </c>
      <c r="CE144" t="e">
        <f>AND(tecantrop!D376,"AAAAAH8121I=")</f>
        <v>#VALUE!</v>
      </c>
      <c r="CF144" t="e">
        <f>AND(tecantrop!E376,"AAAAAH8121M=")</f>
        <v>#VALUE!</v>
      </c>
      <c r="CG144" t="e">
        <f>AND(tecantrop!F376,"AAAAAH8121Q=")</f>
        <v>#VALUE!</v>
      </c>
      <c r="CH144" t="e">
        <f>AND(tecantrop!G376,"AAAAAH8121U=")</f>
        <v>#VALUE!</v>
      </c>
      <c r="CI144" t="e">
        <f>AND(tecantrop!H376,"AAAAAH8121Y=")</f>
        <v>#VALUE!</v>
      </c>
      <c r="CJ144" t="e">
        <f>AND(tecantrop!I376,"AAAAAH8121c=")</f>
        <v>#VALUE!</v>
      </c>
      <c r="CK144" t="e">
        <f>AND(tecantrop!J376,"AAAAAH8121g=")</f>
        <v>#VALUE!</v>
      </c>
      <c r="CL144" t="e">
        <f>AND(tecantrop!K376,"AAAAAH8121k=")</f>
        <v>#VALUE!</v>
      </c>
      <c r="CM144" t="e">
        <f>AND(tecantrop!L376,"AAAAAH8121o=")</f>
        <v>#VALUE!</v>
      </c>
      <c r="CN144" t="e">
        <f>AND(tecantrop!M376,"AAAAAH8121s=")</f>
        <v>#VALUE!</v>
      </c>
      <c r="CO144" t="e">
        <f>AND(tecantrop!N376,"AAAAAH8121w=")</f>
        <v>#VALUE!</v>
      </c>
      <c r="CP144" t="e">
        <f>AND(tecantrop!O376,"AAAAAH81210=")</f>
        <v>#VALUE!</v>
      </c>
      <c r="CQ144" t="e">
        <f>AND(tecantrop!P376,"AAAAAH81214=")</f>
        <v>#VALUE!</v>
      </c>
      <c r="CR144" t="e">
        <f>AND(tecantrop!Q376,"AAAAAH81218=")</f>
        <v>#VALUE!</v>
      </c>
      <c r="CS144" t="e">
        <f>AND(tecantrop!R376,"AAAAAH8122A=")</f>
        <v>#VALUE!</v>
      </c>
      <c r="CT144" t="e">
        <f>AND(tecantrop!S376,"AAAAAH8122E=")</f>
        <v>#VALUE!</v>
      </c>
      <c r="CU144" t="e">
        <f>AND(tecantrop!T376,"AAAAAH8122I=")</f>
        <v>#VALUE!</v>
      </c>
      <c r="CV144" t="e">
        <f>AND(tecantrop!U376,"AAAAAH8122M=")</f>
        <v>#VALUE!</v>
      </c>
      <c r="CW144" t="e">
        <f>AND(tecantrop!V376,"AAAAAH8122Q=")</f>
        <v>#VALUE!</v>
      </c>
      <c r="CX144" t="e">
        <f>AND(tecantrop!W376,"AAAAAH8122U=")</f>
        <v>#VALUE!</v>
      </c>
      <c r="CY144" t="e">
        <f>AND(tecantrop!X376,"AAAAAH8122Y=")</f>
        <v>#VALUE!</v>
      </c>
      <c r="CZ144">
        <f>IF(tecantrop!377:377,"AAAAAH8122c=",0)</f>
        <v>0</v>
      </c>
      <c r="DA144" t="e">
        <f>AND(tecantrop!A377,"AAAAAH8122g=")</f>
        <v>#VALUE!</v>
      </c>
      <c r="DB144" t="e">
        <f>AND(tecantrop!B377,"AAAAAH8122k=")</f>
        <v>#VALUE!</v>
      </c>
      <c r="DC144" t="e">
        <f>AND(tecantrop!C377,"AAAAAH8122o=")</f>
        <v>#VALUE!</v>
      </c>
      <c r="DD144" t="e">
        <f>AND(tecantrop!D377,"AAAAAH8122s=")</f>
        <v>#VALUE!</v>
      </c>
      <c r="DE144" t="e">
        <f>AND(tecantrop!E377,"AAAAAH8122w=")</f>
        <v>#VALUE!</v>
      </c>
      <c r="DF144" t="e">
        <f>AND(tecantrop!F377,"AAAAAH81220=")</f>
        <v>#VALUE!</v>
      </c>
      <c r="DG144" t="e">
        <f>AND(tecantrop!G377,"AAAAAH81224=")</f>
        <v>#VALUE!</v>
      </c>
      <c r="DH144" t="e">
        <f>AND(tecantrop!H377,"AAAAAH81228=")</f>
        <v>#VALUE!</v>
      </c>
      <c r="DI144" t="e">
        <f>AND(tecantrop!I377,"AAAAAH8123A=")</f>
        <v>#VALUE!</v>
      </c>
      <c r="DJ144" t="e">
        <f>AND(tecantrop!J377,"AAAAAH8123E=")</f>
        <v>#VALUE!</v>
      </c>
      <c r="DK144" t="e">
        <f>AND(tecantrop!K377,"AAAAAH8123I=")</f>
        <v>#VALUE!</v>
      </c>
      <c r="DL144" t="e">
        <f>AND(tecantrop!L377,"AAAAAH8123M=")</f>
        <v>#VALUE!</v>
      </c>
      <c r="DM144" t="e">
        <f>AND(tecantrop!M377,"AAAAAH8123Q=")</f>
        <v>#VALUE!</v>
      </c>
      <c r="DN144" t="e">
        <f>AND(tecantrop!N377,"AAAAAH8123U=")</f>
        <v>#VALUE!</v>
      </c>
      <c r="DO144" t="e">
        <f>AND(tecantrop!O377,"AAAAAH8123Y=")</f>
        <v>#VALUE!</v>
      </c>
      <c r="DP144" t="e">
        <f>AND(tecantrop!P377,"AAAAAH8123c=")</f>
        <v>#VALUE!</v>
      </c>
      <c r="DQ144" t="e">
        <f>AND(tecantrop!Q377,"AAAAAH8123g=")</f>
        <v>#VALUE!</v>
      </c>
      <c r="DR144" t="e">
        <f>AND(tecantrop!R377,"AAAAAH8123k=")</f>
        <v>#VALUE!</v>
      </c>
      <c r="DS144" t="e">
        <f>AND(tecantrop!S377,"AAAAAH8123o=")</f>
        <v>#VALUE!</v>
      </c>
      <c r="DT144" t="e">
        <f>AND(tecantrop!T377,"AAAAAH8123s=")</f>
        <v>#VALUE!</v>
      </c>
      <c r="DU144" t="e">
        <f>AND(tecantrop!U377,"AAAAAH8123w=")</f>
        <v>#VALUE!</v>
      </c>
      <c r="DV144" t="e">
        <f>AND(tecantrop!V377,"AAAAAH81230=")</f>
        <v>#VALUE!</v>
      </c>
      <c r="DW144" t="e">
        <f>AND(tecantrop!W377,"AAAAAH81234=")</f>
        <v>#VALUE!</v>
      </c>
      <c r="DX144" t="e">
        <f>AND(tecantrop!X377,"AAAAAH81238=")</f>
        <v>#VALUE!</v>
      </c>
      <c r="DY144">
        <f>IF(tecantrop!378:378,"AAAAAH8124A=",0)</f>
        <v>0</v>
      </c>
      <c r="DZ144" t="e">
        <f>AND(tecantrop!A378,"AAAAAH8124E=")</f>
        <v>#VALUE!</v>
      </c>
      <c r="EA144" t="e">
        <f>AND(tecantrop!B378,"AAAAAH8124I=")</f>
        <v>#VALUE!</v>
      </c>
      <c r="EB144" t="e">
        <f>AND(tecantrop!C378,"AAAAAH8124M=")</f>
        <v>#VALUE!</v>
      </c>
      <c r="EC144" t="e">
        <f>AND(tecantrop!D378,"AAAAAH8124Q=")</f>
        <v>#VALUE!</v>
      </c>
      <c r="ED144" t="e">
        <f>AND(tecantrop!E378,"AAAAAH8124U=")</f>
        <v>#VALUE!</v>
      </c>
      <c r="EE144" t="e">
        <f>AND(tecantrop!F378,"AAAAAH8124Y=")</f>
        <v>#VALUE!</v>
      </c>
      <c r="EF144" t="e">
        <f>AND(tecantrop!G378,"AAAAAH8124c=")</f>
        <v>#VALUE!</v>
      </c>
      <c r="EG144" t="e">
        <f>AND(tecantrop!H378,"AAAAAH8124g=")</f>
        <v>#VALUE!</v>
      </c>
      <c r="EH144" t="e">
        <f>AND(tecantrop!I378,"AAAAAH8124k=")</f>
        <v>#VALUE!</v>
      </c>
      <c r="EI144" t="e">
        <f>AND(tecantrop!J378,"AAAAAH8124o=")</f>
        <v>#VALUE!</v>
      </c>
      <c r="EJ144" t="e">
        <f>AND(tecantrop!K378,"AAAAAH8124s=")</f>
        <v>#VALUE!</v>
      </c>
      <c r="EK144" t="e">
        <f>AND(tecantrop!L378,"AAAAAH8124w=")</f>
        <v>#VALUE!</v>
      </c>
      <c r="EL144" t="e">
        <f>AND(tecantrop!M378,"AAAAAH81240=")</f>
        <v>#VALUE!</v>
      </c>
      <c r="EM144" t="e">
        <f>AND(tecantrop!N378,"AAAAAH81244=")</f>
        <v>#VALUE!</v>
      </c>
      <c r="EN144" t="e">
        <f>AND(tecantrop!O378,"AAAAAH81248=")</f>
        <v>#VALUE!</v>
      </c>
      <c r="EO144" t="e">
        <f>AND(tecantrop!P378,"AAAAAH8125A=")</f>
        <v>#VALUE!</v>
      </c>
      <c r="EP144" t="e">
        <f>AND(tecantrop!Q378,"AAAAAH8125E=")</f>
        <v>#VALUE!</v>
      </c>
      <c r="EQ144" t="e">
        <f>AND(tecantrop!R378,"AAAAAH8125I=")</f>
        <v>#VALUE!</v>
      </c>
      <c r="ER144" t="e">
        <f>AND(tecantrop!S378,"AAAAAH8125M=")</f>
        <v>#VALUE!</v>
      </c>
      <c r="ES144" t="e">
        <f>AND(tecantrop!T378,"AAAAAH8125Q=")</f>
        <v>#VALUE!</v>
      </c>
      <c r="ET144" t="e">
        <f>AND(tecantrop!U378,"AAAAAH8125U=")</f>
        <v>#VALUE!</v>
      </c>
      <c r="EU144" t="e">
        <f>AND(tecantrop!V378,"AAAAAH8125Y=")</f>
        <v>#VALUE!</v>
      </c>
      <c r="EV144" t="e">
        <f>AND(tecantrop!W378,"AAAAAH8125c=")</f>
        <v>#VALUE!</v>
      </c>
      <c r="EW144" t="e">
        <f>AND(tecantrop!X378,"AAAAAH8125g=")</f>
        <v>#VALUE!</v>
      </c>
      <c r="EX144">
        <f>IF(tecantrop!379:379,"AAAAAH8125k=",0)</f>
        <v>0</v>
      </c>
      <c r="EY144" t="e">
        <f>AND(tecantrop!A379,"AAAAAH8125o=")</f>
        <v>#VALUE!</v>
      </c>
      <c r="EZ144" t="e">
        <f>AND(tecantrop!B379,"AAAAAH8125s=")</f>
        <v>#VALUE!</v>
      </c>
      <c r="FA144" t="e">
        <f>AND(tecantrop!C379,"AAAAAH8125w=")</f>
        <v>#VALUE!</v>
      </c>
      <c r="FB144" t="e">
        <f>AND(tecantrop!D379,"AAAAAH81250=")</f>
        <v>#VALUE!</v>
      </c>
      <c r="FC144" t="e">
        <f>AND(tecantrop!E379,"AAAAAH81254=")</f>
        <v>#VALUE!</v>
      </c>
      <c r="FD144" t="e">
        <f>AND(tecantrop!F379,"AAAAAH81258=")</f>
        <v>#VALUE!</v>
      </c>
      <c r="FE144" t="e">
        <f>AND(tecantrop!G379,"AAAAAH8126A=")</f>
        <v>#VALUE!</v>
      </c>
      <c r="FF144" t="e">
        <f>AND(tecantrop!H379,"AAAAAH8126E=")</f>
        <v>#VALUE!</v>
      </c>
      <c r="FG144" t="e">
        <f>AND(tecantrop!I379,"AAAAAH8126I=")</f>
        <v>#VALUE!</v>
      </c>
      <c r="FH144" t="e">
        <f>AND(tecantrop!J379,"AAAAAH8126M=")</f>
        <v>#VALUE!</v>
      </c>
      <c r="FI144" t="e">
        <f>AND(tecantrop!K379,"AAAAAH8126Q=")</f>
        <v>#VALUE!</v>
      </c>
      <c r="FJ144" t="e">
        <f>AND(tecantrop!L379,"AAAAAH8126U=")</f>
        <v>#VALUE!</v>
      </c>
      <c r="FK144" t="e">
        <f>AND(tecantrop!M379,"AAAAAH8126Y=")</f>
        <v>#VALUE!</v>
      </c>
      <c r="FL144" t="e">
        <f>AND(tecantrop!N379,"AAAAAH8126c=")</f>
        <v>#VALUE!</v>
      </c>
      <c r="FM144" t="e">
        <f>AND(tecantrop!O379,"AAAAAH8126g=")</f>
        <v>#VALUE!</v>
      </c>
      <c r="FN144" t="e">
        <f>AND(tecantrop!P379,"AAAAAH8126k=")</f>
        <v>#VALUE!</v>
      </c>
      <c r="FO144" t="e">
        <f>AND(tecantrop!Q379,"AAAAAH8126o=")</f>
        <v>#VALUE!</v>
      </c>
      <c r="FP144" t="e">
        <f>AND(tecantrop!R379,"AAAAAH8126s=")</f>
        <v>#VALUE!</v>
      </c>
      <c r="FQ144" t="e">
        <f>AND(tecantrop!S379,"AAAAAH8126w=")</f>
        <v>#VALUE!</v>
      </c>
      <c r="FR144" t="e">
        <f>AND(tecantrop!T379,"AAAAAH81260=")</f>
        <v>#VALUE!</v>
      </c>
      <c r="FS144" t="e">
        <f>AND(tecantrop!U379,"AAAAAH81264=")</f>
        <v>#VALUE!</v>
      </c>
      <c r="FT144" t="e">
        <f>AND(tecantrop!V379,"AAAAAH81268=")</f>
        <v>#VALUE!</v>
      </c>
      <c r="FU144" t="e">
        <f>AND(tecantrop!W379,"AAAAAH8127A=")</f>
        <v>#VALUE!</v>
      </c>
      <c r="FV144" t="e">
        <f>AND(tecantrop!X379,"AAAAAH8127E=")</f>
        <v>#VALUE!</v>
      </c>
      <c r="FW144">
        <f>IF(tecantrop!380:380,"AAAAAH8127I=",0)</f>
        <v>0</v>
      </c>
      <c r="FX144" t="e">
        <f>AND(tecantrop!A380,"AAAAAH8127M=")</f>
        <v>#VALUE!</v>
      </c>
      <c r="FY144" t="e">
        <f>AND(tecantrop!B380,"AAAAAH8127Q=")</f>
        <v>#VALUE!</v>
      </c>
      <c r="FZ144" t="e">
        <f>AND(tecantrop!C380,"AAAAAH8127U=")</f>
        <v>#VALUE!</v>
      </c>
      <c r="GA144" t="e">
        <f>AND(tecantrop!D380,"AAAAAH8127Y=")</f>
        <v>#VALUE!</v>
      </c>
      <c r="GB144" t="e">
        <f>AND(tecantrop!E380,"AAAAAH8127c=")</f>
        <v>#VALUE!</v>
      </c>
      <c r="GC144" t="e">
        <f>AND(tecantrop!F380,"AAAAAH8127g=")</f>
        <v>#VALUE!</v>
      </c>
      <c r="GD144" t="e">
        <f>AND(tecantrop!G380,"AAAAAH8127k=")</f>
        <v>#VALUE!</v>
      </c>
      <c r="GE144" t="e">
        <f>AND(tecantrop!H380,"AAAAAH8127o=")</f>
        <v>#VALUE!</v>
      </c>
      <c r="GF144" t="e">
        <f>AND(tecantrop!I380,"AAAAAH8127s=")</f>
        <v>#VALUE!</v>
      </c>
      <c r="GG144" t="e">
        <f>AND(tecantrop!J380,"AAAAAH8127w=")</f>
        <v>#VALUE!</v>
      </c>
      <c r="GH144" t="e">
        <f>AND(tecantrop!K380,"AAAAAH81270=")</f>
        <v>#VALUE!</v>
      </c>
      <c r="GI144" t="e">
        <f>AND(tecantrop!L380,"AAAAAH81274=")</f>
        <v>#VALUE!</v>
      </c>
      <c r="GJ144" t="e">
        <f>AND(tecantrop!M380,"AAAAAH81278=")</f>
        <v>#VALUE!</v>
      </c>
      <c r="GK144" t="e">
        <f>AND(tecantrop!N380,"AAAAAH8128A=")</f>
        <v>#VALUE!</v>
      </c>
      <c r="GL144" t="e">
        <f>AND(tecantrop!O380,"AAAAAH8128E=")</f>
        <v>#VALUE!</v>
      </c>
      <c r="GM144" t="e">
        <f>AND(tecantrop!P380,"AAAAAH8128I=")</f>
        <v>#VALUE!</v>
      </c>
      <c r="GN144" t="e">
        <f>AND(tecantrop!Q380,"AAAAAH8128M=")</f>
        <v>#VALUE!</v>
      </c>
      <c r="GO144" t="e">
        <f>AND(tecantrop!R380,"AAAAAH8128Q=")</f>
        <v>#VALUE!</v>
      </c>
      <c r="GP144" t="e">
        <f>AND(tecantrop!S380,"AAAAAH8128U=")</f>
        <v>#VALUE!</v>
      </c>
      <c r="GQ144" t="e">
        <f>AND(tecantrop!T380,"AAAAAH8128Y=")</f>
        <v>#VALUE!</v>
      </c>
      <c r="GR144" t="e">
        <f>AND(tecantrop!U380,"AAAAAH8128c=")</f>
        <v>#VALUE!</v>
      </c>
      <c r="GS144" t="e">
        <f>AND(tecantrop!V380,"AAAAAH8128g=")</f>
        <v>#VALUE!</v>
      </c>
      <c r="GT144" t="e">
        <f>AND(tecantrop!W380,"AAAAAH8128k=")</f>
        <v>#VALUE!</v>
      </c>
      <c r="GU144" t="e">
        <f>AND(tecantrop!X380,"AAAAAH8128o=")</f>
        <v>#VALUE!</v>
      </c>
      <c r="GV144">
        <f>IF(tecantrop!381:381,"AAAAAH8128s=",0)</f>
        <v>0</v>
      </c>
      <c r="GW144" t="e">
        <f>AND(tecantrop!A381,"AAAAAH8128w=")</f>
        <v>#VALUE!</v>
      </c>
      <c r="GX144" t="e">
        <f>AND(tecantrop!B381,"AAAAAH81280=")</f>
        <v>#VALUE!</v>
      </c>
      <c r="GY144" t="e">
        <f>AND(tecantrop!C381,"AAAAAH81284=")</f>
        <v>#VALUE!</v>
      </c>
      <c r="GZ144" t="e">
        <f>AND(tecantrop!D381,"AAAAAH81288=")</f>
        <v>#VALUE!</v>
      </c>
      <c r="HA144" t="e">
        <f>AND(tecantrop!E381,"AAAAAH8129A=")</f>
        <v>#VALUE!</v>
      </c>
      <c r="HB144" t="e">
        <f>AND(tecantrop!F381,"AAAAAH8129E=")</f>
        <v>#VALUE!</v>
      </c>
      <c r="HC144" t="e">
        <f>AND(tecantrop!G381,"AAAAAH8129I=")</f>
        <v>#VALUE!</v>
      </c>
      <c r="HD144" t="e">
        <f>AND(tecantrop!H381,"AAAAAH8129M=")</f>
        <v>#VALUE!</v>
      </c>
      <c r="HE144" t="e">
        <f>AND(tecantrop!I381,"AAAAAH8129Q=")</f>
        <v>#VALUE!</v>
      </c>
      <c r="HF144" t="e">
        <f>AND(tecantrop!J381,"AAAAAH8129U=")</f>
        <v>#VALUE!</v>
      </c>
      <c r="HG144" t="e">
        <f>AND(tecantrop!K381,"AAAAAH8129Y=")</f>
        <v>#VALUE!</v>
      </c>
      <c r="HH144" t="e">
        <f>AND(tecantrop!L381,"AAAAAH8129c=")</f>
        <v>#VALUE!</v>
      </c>
      <c r="HI144" t="e">
        <f>AND(tecantrop!M381,"AAAAAH8129g=")</f>
        <v>#VALUE!</v>
      </c>
      <c r="HJ144" t="e">
        <f>AND(tecantrop!N381,"AAAAAH8129k=")</f>
        <v>#VALUE!</v>
      </c>
      <c r="HK144" t="e">
        <f>AND(tecantrop!O381,"AAAAAH8129o=")</f>
        <v>#VALUE!</v>
      </c>
      <c r="HL144" t="e">
        <f>AND(tecantrop!P381,"AAAAAH8129s=")</f>
        <v>#VALUE!</v>
      </c>
      <c r="HM144" t="e">
        <f>AND(tecantrop!Q381,"AAAAAH8129w=")</f>
        <v>#VALUE!</v>
      </c>
      <c r="HN144" t="e">
        <f>AND(tecantrop!R381,"AAAAAH81290=")</f>
        <v>#VALUE!</v>
      </c>
      <c r="HO144" t="e">
        <f>AND(tecantrop!S381,"AAAAAH81294=")</f>
        <v>#VALUE!</v>
      </c>
      <c r="HP144" t="e">
        <f>AND(tecantrop!T381,"AAAAAH81298=")</f>
        <v>#VALUE!</v>
      </c>
      <c r="HQ144" t="e">
        <f>AND(tecantrop!U381,"AAAAAH812+A=")</f>
        <v>#VALUE!</v>
      </c>
      <c r="HR144" t="e">
        <f>AND(tecantrop!V381,"AAAAAH812+E=")</f>
        <v>#VALUE!</v>
      </c>
      <c r="HS144" t="e">
        <f>AND(tecantrop!W381,"AAAAAH812+I=")</f>
        <v>#VALUE!</v>
      </c>
      <c r="HT144" t="e">
        <f>AND(tecantrop!X381,"AAAAAH812+M=")</f>
        <v>#VALUE!</v>
      </c>
      <c r="HU144">
        <f>IF(tecantrop!382:382,"AAAAAH812+Q=",0)</f>
        <v>0</v>
      </c>
      <c r="HV144" t="e">
        <f>AND(tecantrop!A382,"AAAAAH812+U=")</f>
        <v>#VALUE!</v>
      </c>
      <c r="HW144" t="e">
        <f>AND(tecantrop!B382,"AAAAAH812+Y=")</f>
        <v>#VALUE!</v>
      </c>
      <c r="HX144" t="e">
        <f>AND(tecantrop!C382,"AAAAAH812+c=")</f>
        <v>#VALUE!</v>
      </c>
      <c r="HY144" t="e">
        <f>AND(tecantrop!D382,"AAAAAH812+g=")</f>
        <v>#VALUE!</v>
      </c>
      <c r="HZ144" t="e">
        <f>AND(tecantrop!E382,"AAAAAH812+k=")</f>
        <v>#VALUE!</v>
      </c>
      <c r="IA144" t="e">
        <f>AND(tecantrop!F382,"AAAAAH812+o=")</f>
        <v>#VALUE!</v>
      </c>
      <c r="IB144" t="e">
        <f>AND(tecantrop!G382,"AAAAAH812+s=")</f>
        <v>#VALUE!</v>
      </c>
      <c r="IC144" t="e">
        <f>AND(tecantrop!H382,"AAAAAH812+w=")</f>
        <v>#VALUE!</v>
      </c>
      <c r="ID144" t="e">
        <f>AND(tecantrop!I382,"AAAAAH812+0=")</f>
        <v>#VALUE!</v>
      </c>
      <c r="IE144" t="e">
        <f>AND(tecantrop!J382,"AAAAAH812+4=")</f>
        <v>#VALUE!</v>
      </c>
      <c r="IF144" t="e">
        <f>AND(tecantrop!K382,"AAAAAH812+8=")</f>
        <v>#VALUE!</v>
      </c>
      <c r="IG144" t="e">
        <f>AND(tecantrop!L382,"AAAAAH812/A=")</f>
        <v>#VALUE!</v>
      </c>
      <c r="IH144" t="e">
        <f>AND(tecantrop!M382,"AAAAAH812/E=")</f>
        <v>#VALUE!</v>
      </c>
      <c r="II144" t="e">
        <f>AND(tecantrop!N382,"AAAAAH812/I=")</f>
        <v>#VALUE!</v>
      </c>
      <c r="IJ144" t="e">
        <f>AND(tecantrop!O382,"AAAAAH812/M=")</f>
        <v>#VALUE!</v>
      </c>
      <c r="IK144" t="e">
        <f>AND(tecantrop!P382,"AAAAAH812/Q=")</f>
        <v>#VALUE!</v>
      </c>
      <c r="IL144" t="e">
        <f>AND(tecantrop!Q382,"AAAAAH812/U=")</f>
        <v>#VALUE!</v>
      </c>
      <c r="IM144" t="e">
        <f>AND(tecantrop!R382,"AAAAAH812/Y=")</f>
        <v>#VALUE!</v>
      </c>
      <c r="IN144" t="e">
        <f>AND(tecantrop!S382,"AAAAAH812/c=")</f>
        <v>#VALUE!</v>
      </c>
      <c r="IO144" t="e">
        <f>AND(tecantrop!T382,"AAAAAH812/g=")</f>
        <v>#VALUE!</v>
      </c>
      <c r="IP144" t="e">
        <f>AND(tecantrop!U382,"AAAAAH812/k=")</f>
        <v>#VALUE!</v>
      </c>
      <c r="IQ144" t="e">
        <f>AND(tecantrop!V382,"AAAAAH812/o=")</f>
        <v>#VALUE!</v>
      </c>
      <c r="IR144" t="e">
        <f>AND(tecantrop!W382,"AAAAAH812/s=")</f>
        <v>#VALUE!</v>
      </c>
      <c r="IS144" t="e">
        <f>AND(tecantrop!X382,"AAAAAH812/w=")</f>
        <v>#VALUE!</v>
      </c>
      <c r="IT144">
        <f>IF(tecantrop!383:383,"AAAAAH812/0=",0)</f>
        <v>0</v>
      </c>
      <c r="IU144" t="e">
        <f>AND(tecantrop!A383,"AAAAAH812/4=")</f>
        <v>#VALUE!</v>
      </c>
      <c r="IV144" t="e">
        <f>AND(tecantrop!B383,"AAAAAH812/8=")</f>
        <v>#VALUE!</v>
      </c>
    </row>
    <row r="145" spans="1:256" x14ac:dyDescent="0.2">
      <c r="A145" t="e">
        <f>AND(tecantrop!C383,"AAAAAFtl3wA=")</f>
        <v>#VALUE!</v>
      </c>
      <c r="B145" t="e">
        <f>AND(tecantrop!D383,"AAAAAFtl3wE=")</f>
        <v>#VALUE!</v>
      </c>
      <c r="C145" t="e">
        <f>AND(tecantrop!E383,"AAAAAFtl3wI=")</f>
        <v>#VALUE!</v>
      </c>
      <c r="D145" t="e">
        <f>AND(tecantrop!F383,"AAAAAFtl3wM=")</f>
        <v>#VALUE!</v>
      </c>
      <c r="E145" t="e">
        <f>AND(tecantrop!G383,"AAAAAFtl3wQ=")</f>
        <v>#VALUE!</v>
      </c>
      <c r="F145" t="e">
        <f>AND(tecantrop!H383,"AAAAAFtl3wU=")</f>
        <v>#VALUE!</v>
      </c>
      <c r="G145" t="e">
        <f>AND(tecantrop!I383,"AAAAAFtl3wY=")</f>
        <v>#VALUE!</v>
      </c>
      <c r="H145" t="e">
        <f>AND(tecantrop!J383,"AAAAAFtl3wc=")</f>
        <v>#VALUE!</v>
      </c>
      <c r="I145" t="e">
        <f>AND(tecantrop!K383,"AAAAAFtl3wg=")</f>
        <v>#VALUE!</v>
      </c>
      <c r="J145" t="e">
        <f>AND(tecantrop!L383,"AAAAAFtl3wk=")</f>
        <v>#VALUE!</v>
      </c>
      <c r="K145" t="e">
        <f>AND(tecantrop!M383,"AAAAAFtl3wo=")</f>
        <v>#VALUE!</v>
      </c>
      <c r="L145" t="e">
        <f>AND(tecantrop!N383,"AAAAAFtl3ws=")</f>
        <v>#VALUE!</v>
      </c>
      <c r="M145" t="e">
        <f>AND(tecantrop!O383,"AAAAAFtl3ww=")</f>
        <v>#VALUE!</v>
      </c>
      <c r="N145" t="e">
        <f>AND(tecantrop!P383,"AAAAAFtl3w0=")</f>
        <v>#VALUE!</v>
      </c>
      <c r="O145" t="e">
        <f>AND(tecantrop!Q383,"AAAAAFtl3w4=")</f>
        <v>#VALUE!</v>
      </c>
      <c r="P145" t="e">
        <f>AND(tecantrop!R383,"AAAAAFtl3w8=")</f>
        <v>#VALUE!</v>
      </c>
      <c r="Q145" t="e">
        <f>AND(tecantrop!S383,"AAAAAFtl3xA=")</f>
        <v>#VALUE!</v>
      </c>
      <c r="R145" t="e">
        <f>AND(tecantrop!T383,"AAAAAFtl3xE=")</f>
        <v>#VALUE!</v>
      </c>
      <c r="S145" t="e">
        <f>AND(tecantrop!U383,"AAAAAFtl3xI=")</f>
        <v>#VALUE!</v>
      </c>
      <c r="T145" t="e">
        <f>AND(tecantrop!V383,"AAAAAFtl3xM=")</f>
        <v>#VALUE!</v>
      </c>
      <c r="U145" t="e">
        <f>AND(tecantrop!W383,"AAAAAFtl3xQ=")</f>
        <v>#VALUE!</v>
      </c>
      <c r="V145" t="e">
        <f>AND(tecantrop!X383,"AAAAAFtl3xU=")</f>
        <v>#VALUE!</v>
      </c>
      <c r="W145">
        <f>IF(tecantrop!384:384,"AAAAAFtl3xY=",0)</f>
        <v>0</v>
      </c>
      <c r="X145" t="e">
        <f>AND(tecantrop!A384,"AAAAAFtl3xc=")</f>
        <v>#VALUE!</v>
      </c>
      <c r="Y145" t="e">
        <f>AND(tecantrop!B384,"AAAAAFtl3xg=")</f>
        <v>#VALUE!</v>
      </c>
      <c r="Z145" t="e">
        <f>AND(tecantrop!C384,"AAAAAFtl3xk=")</f>
        <v>#VALUE!</v>
      </c>
      <c r="AA145" t="e">
        <f>AND(tecantrop!D384,"AAAAAFtl3xo=")</f>
        <v>#VALUE!</v>
      </c>
      <c r="AB145" t="e">
        <f>AND(tecantrop!E384,"AAAAAFtl3xs=")</f>
        <v>#VALUE!</v>
      </c>
      <c r="AC145" t="e">
        <f>AND(tecantrop!F384,"AAAAAFtl3xw=")</f>
        <v>#VALUE!</v>
      </c>
      <c r="AD145" t="e">
        <f>AND(tecantrop!G384,"AAAAAFtl3x0=")</f>
        <v>#VALUE!</v>
      </c>
      <c r="AE145" t="e">
        <f>AND(tecantrop!H384,"AAAAAFtl3x4=")</f>
        <v>#VALUE!</v>
      </c>
      <c r="AF145" t="e">
        <f>AND(tecantrop!I384,"AAAAAFtl3x8=")</f>
        <v>#VALUE!</v>
      </c>
      <c r="AG145" t="e">
        <f>AND(tecantrop!J384,"AAAAAFtl3yA=")</f>
        <v>#VALUE!</v>
      </c>
      <c r="AH145" t="e">
        <f>AND(tecantrop!K384,"AAAAAFtl3yE=")</f>
        <v>#VALUE!</v>
      </c>
      <c r="AI145" t="e">
        <f>AND(tecantrop!L384,"AAAAAFtl3yI=")</f>
        <v>#VALUE!</v>
      </c>
      <c r="AJ145" t="e">
        <f>AND(tecantrop!M384,"AAAAAFtl3yM=")</f>
        <v>#VALUE!</v>
      </c>
      <c r="AK145" t="e">
        <f>AND(tecantrop!N384,"AAAAAFtl3yQ=")</f>
        <v>#VALUE!</v>
      </c>
      <c r="AL145" t="e">
        <f>AND(tecantrop!O384,"AAAAAFtl3yU=")</f>
        <v>#VALUE!</v>
      </c>
      <c r="AM145" t="e">
        <f>AND(tecantrop!P384,"AAAAAFtl3yY=")</f>
        <v>#VALUE!</v>
      </c>
      <c r="AN145" t="e">
        <f>AND(tecantrop!Q384,"AAAAAFtl3yc=")</f>
        <v>#VALUE!</v>
      </c>
      <c r="AO145" t="e">
        <f>AND(tecantrop!R384,"AAAAAFtl3yg=")</f>
        <v>#VALUE!</v>
      </c>
      <c r="AP145" t="e">
        <f>AND(tecantrop!S384,"AAAAAFtl3yk=")</f>
        <v>#VALUE!</v>
      </c>
      <c r="AQ145" t="e">
        <f>AND(tecantrop!T384,"AAAAAFtl3yo=")</f>
        <v>#VALUE!</v>
      </c>
      <c r="AR145" t="e">
        <f>AND(tecantrop!U384,"AAAAAFtl3ys=")</f>
        <v>#VALUE!</v>
      </c>
      <c r="AS145" t="e">
        <f>AND(tecantrop!V384,"AAAAAFtl3yw=")</f>
        <v>#VALUE!</v>
      </c>
      <c r="AT145" t="e">
        <f>AND(tecantrop!W384,"AAAAAFtl3y0=")</f>
        <v>#VALUE!</v>
      </c>
      <c r="AU145" t="e">
        <f>AND(tecantrop!X384,"AAAAAFtl3y4=")</f>
        <v>#VALUE!</v>
      </c>
      <c r="AV145">
        <f>IF(tecantrop!385:385,"AAAAAFtl3y8=",0)</f>
        <v>0</v>
      </c>
      <c r="AW145" t="e">
        <f>AND(tecantrop!A385,"AAAAAFtl3zA=")</f>
        <v>#VALUE!</v>
      </c>
      <c r="AX145" t="e">
        <f>AND(tecantrop!B385,"AAAAAFtl3zE=")</f>
        <v>#VALUE!</v>
      </c>
      <c r="AY145" t="e">
        <f>AND(tecantrop!C385,"AAAAAFtl3zI=")</f>
        <v>#VALUE!</v>
      </c>
      <c r="AZ145" t="e">
        <f>AND(tecantrop!D385,"AAAAAFtl3zM=")</f>
        <v>#VALUE!</v>
      </c>
      <c r="BA145" t="e">
        <f>AND(tecantrop!E385,"AAAAAFtl3zQ=")</f>
        <v>#VALUE!</v>
      </c>
      <c r="BB145" t="e">
        <f>AND(tecantrop!F385,"AAAAAFtl3zU=")</f>
        <v>#VALUE!</v>
      </c>
      <c r="BC145" t="e">
        <f>AND(tecantrop!G385,"AAAAAFtl3zY=")</f>
        <v>#VALUE!</v>
      </c>
      <c r="BD145" t="e">
        <f>AND(tecantrop!H385,"AAAAAFtl3zc=")</f>
        <v>#VALUE!</v>
      </c>
      <c r="BE145" t="e">
        <f>AND(tecantrop!I385,"AAAAAFtl3zg=")</f>
        <v>#VALUE!</v>
      </c>
      <c r="BF145" t="e">
        <f>AND(tecantrop!J385,"AAAAAFtl3zk=")</f>
        <v>#VALUE!</v>
      </c>
      <c r="BG145" t="e">
        <f>AND(tecantrop!K385,"AAAAAFtl3zo=")</f>
        <v>#VALUE!</v>
      </c>
      <c r="BH145" t="e">
        <f>AND(tecantrop!L385,"AAAAAFtl3zs=")</f>
        <v>#VALUE!</v>
      </c>
      <c r="BI145" t="e">
        <f>AND(tecantrop!M385,"AAAAAFtl3zw=")</f>
        <v>#VALUE!</v>
      </c>
      <c r="BJ145" t="e">
        <f>AND(tecantrop!N385,"AAAAAFtl3z0=")</f>
        <v>#VALUE!</v>
      </c>
      <c r="BK145" t="e">
        <f>AND(tecantrop!O385,"AAAAAFtl3z4=")</f>
        <v>#VALUE!</v>
      </c>
      <c r="BL145" t="e">
        <f>AND(tecantrop!P385,"AAAAAFtl3z8=")</f>
        <v>#VALUE!</v>
      </c>
      <c r="BM145" t="e">
        <f>AND(tecantrop!Q385,"AAAAAFtl30A=")</f>
        <v>#VALUE!</v>
      </c>
      <c r="BN145" t="e">
        <f>AND(tecantrop!R385,"AAAAAFtl30E=")</f>
        <v>#VALUE!</v>
      </c>
      <c r="BO145" t="e">
        <f>AND(tecantrop!S385,"AAAAAFtl30I=")</f>
        <v>#VALUE!</v>
      </c>
      <c r="BP145" t="e">
        <f>AND(tecantrop!T385,"AAAAAFtl30M=")</f>
        <v>#VALUE!</v>
      </c>
      <c r="BQ145" t="e">
        <f>AND(tecantrop!U385,"AAAAAFtl30Q=")</f>
        <v>#VALUE!</v>
      </c>
      <c r="BR145" t="e">
        <f>AND(tecantrop!V385,"AAAAAFtl30U=")</f>
        <v>#VALUE!</v>
      </c>
      <c r="BS145" t="e">
        <f>AND(tecantrop!W385,"AAAAAFtl30Y=")</f>
        <v>#VALUE!</v>
      </c>
      <c r="BT145" t="e">
        <f>AND(tecantrop!X385,"AAAAAFtl30c=")</f>
        <v>#VALUE!</v>
      </c>
      <c r="BU145">
        <f>IF(tecantrop!386:386,"AAAAAFtl30g=",0)</f>
        <v>0</v>
      </c>
      <c r="BV145" t="e">
        <f>AND(tecantrop!A386,"AAAAAFtl30k=")</f>
        <v>#VALUE!</v>
      </c>
      <c r="BW145" t="e">
        <f>AND(tecantrop!B386,"AAAAAFtl30o=")</f>
        <v>#VALUE!</v>
      </c>
      <c r="BX145" t="e">
        <f>AND(tecantrop!C386,"AAAAAFtl30s=")</f>
        <v>#VALUE!</v>
      </c>
      <c r="BY145" t="e">
        <f>AND(tecantrop!D386,"AAAAAFtl30w=")</f>
        <v>#VALUE!</v>
      </c>
      <c r="BZ145" t="e">
        <f>AND(tecantrop!E386,"AAAAAFtl300=")</f>
        <v>#VALUE!</v>
      </c>
      <c r="CA145" t="e">
        <f>AND(tecantrop!F386,"AAAAAFtl304=")</f>
        <v>#VALUE!</v>
      </c>
      <c r="CB145" t="e">
        <f>AND(tecantrop!G386,"AAAAAFtl308=")</f>
        <v>#VALUE!</v>
      </c>
      <c r="CC145" t="e">
        <f>AND(tecantrop!H386,"AAAAAFtl31A=")</f>
        <v>#VALUE!</v>
      </c>
      <c r="CD145" t="e">
        <f>AND(tecantrop!I386,"AAAAAFtl31E=")</f>
        <v>#VALUE!</v>
      </c>
      <c r="CE145" t="e">
        <f>AND(tecantrop!J386,"AAAAAFtl31I=")</f>
        <v>#VALUE!</v>
      </c>
      <c r="CF145" t="e">
        <f>AND(tecantrop!K386,"AAAAAFtl31M=")</f>
        <v>#VALUE!</v>
      </c>
      <c r="CG145" t="e">
        <f>AND(tecantrop!L386,"AAAAAFtl31Q=")</f>
        <v>#VALUE!</v>
      </c>
      <c r="CH145" t="e">
        <f>AND(tecantrop!M386,"AAAAAFtl31U=")</f>
        <v>#VALUE!</v>
      </c>
      <c r="CI145" t="e">
        <f>AND(tecantrop!N386,"AAAAAFtl31Y=")</f>
        <v>#VALUE!</v>
      </c>
      <c r="CJ145" t="e">
        <f>AND(tecantrop!O386,"AAAAAFtl31c=")</f>
        <v>#VALUE!</v>
      </c>
      <c r="CK145" t="e">
        <f>AND(tecantrop!P386,"AAAAAFtl31g=")</f>
        <v>#VALUE!</v>
      </c>
      <c r="CL145" t="e">
        <f>AND(tecantrop!Q386,"AAAAAFtl31k=")</f>
        <v>#VALUE!</v>
      </c>
      <c r="CM145" t="e">
        <f>AND(tecantrop!R386,"AAAAAFtl31o=")</f>
        <v>#VALUE!</v>
      </c>
      <c r="CN145" t="e">
        <f>AND(tecantrop!S386,"AAAAAFtl31s=")</f>
        <v>#VALUE!</v>
      </c>
      <c r="CO145" t="e">
        <f>AND(tecantrop!T386,"AAAAAFtl31w=")</f>
        <v>#VALUE!</v>
      </c>
      <c r="CP145" t="e">
        <f>AND(tecantrop!U386,"AAAAAFtl310=")</f>
        <v>#VALUE!</v>
      </c>
      <c r="CQ145" t="e">
        <f>AND(tecantrop!V386,"AAAAAFtl314=")</f>
        <v>#VALUE!</v>
      </c>
      <c r="CR145" t="e">
        <f>AND(tecantrop!W386,"AAAAAFtl318=")</f>
        <v>#VALUE!</v>
      </c>
      <c r="CS145" t="e">
        <f>AND(tecantrop!X386,"AAAAAFtl32A=")</f>
        <v>#VALUE!</v>
      </c>
      <c r="CT145">
        <f>IF(tecantrop!387:387,"AAAAAFtl32E=",0)</f>
        <v>0</v>
      </c>
      <c r="CU145" t="e">
        <f>AND(tecantrop!A387,"AAAAAFtl32I=")</f>
        <v>#VALUE!</v>
      </c>
      <c r="CV145" t="e">
        <f>AND(tecantrop!B387,"AAAAAFtl32M=")</f>
        <v>#VALUE!</v>
      </c>
      <c r="CW145" t="e">
        <f>AND(tecantrop!C387,"AAAAAFtl32Q=")</f>
        <v>#VALUE!</v>
      </c>
      <c r="CX145" t="e">
        <f>AND(tecantrop!D387,"AAAAAFtl32U=")</f>
        <v>#VALUE!</v>
      </c>
      <c r="CY145" t="e">
        <f>AND(tecantrop!E387,"AAAAAFtl32Y=")</f>
        <v>#VALUE!</v>
      </c>
      <c r="CZ145" t="e">
        <f>AND(tecantrop!F387,"AAAAAFtl32c=")</f>
        <v>#VALUE!</v>
      </c>
      <c r="DA145" t="e">
        <f>AND(tecantrop!G387,"AAAAAFtl32g=")</f>
        <v>#VALUE!</v>
      </c>
      <c r="DB145" t="e">
        <f>AND(tecantrop!H387,"AAAAAFtl32k=")</f>
        <v>#VALUE!</v>
      </c>
      <c r="DC145" t="e">
        <f>AND(tecantrop!I387,"AAAAAFtl32o=")</f>
        <v>#VALUE!</v>
      </c>
      <c r="DD145" t="e">
        <f>AND(tecantrop!J387,"AAAAAFtl32s=")</f>
        <v>#VALUE!</v>
      </c>
      <c r="DE145" t="e">
        <f>AND(tecantrop!K387,"AAAAAFtl32w=")</f>
        <v>#VALUE!</v>
      </c>
      <c r="DF145" t="e">
        <f>AND(tecantrop!L387,"AAAAAFtl320=")</f>
        <v>#VALUE!</v>
      </c>
      <c r="DG145" t="e">
        <f>AND(tecantrop!M387,"AAAAAFtl324=")</f>
        <v>#VALUE!</v>
      </c>
      <c r="DH145" t="e">
        <f>AND(tecantrop!N387,"AAAAAFtl328=")</f>
        <v>#VALUE!</v>
      </c>
      <c r="DI145" t="e">
        <f>AND(tecantrop!O387,"AAAAAFtl33A=")</f>
        <v>#VALUE!</v>
      </c>
      <c r="DJ145" t="e">
        <f>AND(tecantrop!P387,"AAAAAFtl33E=")</f>
        <v>#VALUE!</v>
      </c>
      <c r="DK145" t="e">
        <f>AND(tecantrop!Q387,"AAAAAFtl33I=")</f>
        <v>#VALUE!</v>
      </c>
      <c r="DL145" t="e">
        <f>AND(tecantrop!R387,"AAAAAFtl33M=")</f>
        <v>#VALUE!</v>
      </c>
      <c r="DM145" t="e">
        <f>AND(tecantrop!S387,"AAAAAFtl33Q=")</f>
        <v>#VALUE!</v>
      </c>
      <c r="DN145" t="e">
        <f>AND(tecantrop!T387,"AAAAAFtl33U=")</f>
        <v>#VALUE!</v>
      </c>
      <c r="DO145" t="e">
        <f>AND(tecantrop!U387,"AAAAAFtl33Y=")</f>
        <v>#VALUE!</v>
      </c>
      <c r="DP145" t="e">
        <f>AND(tecantrop!V387,"AAAAAFtl33c=")</f>
        <v>#VALUE!</v>
      </c>
      <c r="DQ145" t="e">
        <f>AND(tecantrop!W387,"AAAAAFtl33g=")</f>
        <v>#VALUE!</v>
      </c>
      <c r="DR145" t="e">
        <f>AND(tecantrop!X387,"AAAAAFtl33k=")</f>
        <v>#VALUE!</v>
      </c>
      <c r="DS145">
        <f>IF(tecantrop!388:388,"AAAAAFtl33o=",0)</f>
        <v>0</v>
      </c>
      <c r="DT145" t="e">
        <f>AND(tecantrop!A388,"AAAAAFtl33s=")</f>
        <v>#VALUE!</v>
      </c>
      <c r="DU145" t="e">
        <f>AND(tecantrop!B388,"AAAAAFtl33w=")</f>
        <v>#VALUE!</v>
      </c>
      <c r="DV145" t="e">
        <f>AND(tecantrop!C388,"AAAAAFtl330=")</f>
        <v>#VALUE!</v>
      </c>
      <c r="DW145" t="e">
        <f>AND(tecantrop!D388,"AAAAAFtl334=")</f>
        <v>#VALUE!</v>
      </c>
      <c r="DX145" t="e">
        <f>AND(tecantrop!E388,"AAAAAFtl338=")</f>
        <v>#VALUE!</v>
      </c>
      <c r="DY145" t="e">
        <f>AND(tecantrop!F388,"AAAAAFtl34A=")</f>
        <v>#VALUE!</v>
      </c>
      <c r="DZ145" t="e">
        <f>AND(tecantrop!G388,"AAAAAFtl34E=")</f>
        <v>#VALUE!</v>
      </c>
      <c r="EA145" t="e">
        <f>AND(tecantrop!H388,"AAAAAFtl34I=")</f>
        <v>#VALUE!</v>
      </c>
      <c r="EB145" t="e">
        <f>AND(tecantrop!I388,"AAAAAFtl34M=")</f>
        <v>#VALUE!</v>
      </c>
      <c r="EC145" t="e">
        <f>AND(tecantrop!J388,"AAAAAFtl34Q=")</f>
        <v>#VALUE!</v>
      </c>
      <c r="ED145" t="e">
        <f>AND(tecantrop!K388,"AAAAAFtl34U=")</f>
        <v>#VALUE!</v>
      </c>
      <c r="EE145" t="e">
        <f>AND(tecantrop!L388,"AAAAAFtl34Y=")</f>
        <v>#VALUE!</v>
      </c>
      <c r="EF145" t="e">
        <f>AND(tecantrop!M388,"AAAAAFtl34c=")</f>
        <v>#VALUE!</v>
      </c>
      <c r="EG145" t="e">
        <f>AND(tecantrop!N388,"AAAAAFtl34g=")</f>
        <v>#VALUE!</v>
      </c>
      <c r="EH145" t="e">
        <f>AND(tecantrop!O388,"AAAAAFtl34k=")</f>
        <v>#VALUE!</v>
      </c>
      <c r="EI145" t="e">
        <f>AND(tecantrop!P388,"AAAAAFtl34o=")</f>
        <v>#VALUE!</v>
      </c>
      <c r="EJ145" t="e">
        <f>AND(tecantrop!Q388,"AAAAAFtl34s=")</f>
        <v>#VALUE!</v>
      </c>
      <c r="EK145" t="e">
        <f>AND(tecantrop!R388,"AAAAAFtl34w=")</f>
        <v>#VALUE!</v>
      </c>
      <c r="EL145" t="e">
        <f>AND(tecantrop!S388,"AAAAAFtl340=")</f>
        <v>#VALUE!</v>
      </c>
      <c r="EM145" t="e">
        <f>AND(tecantrop!T388,"AAAAAFtl344=")</f>
        <v>#VALUE!</v>
      </c>
      <c r="EN145" t="e">
        <f>AND(tecantrop!U388,"AAAAAFtl348=")</f>
        <v>#VALUE!</v>
      </c>
      <c r="EO145" t="e">
        <f>AND(tecantrop!V388,"AAAAAFtl35A=")</f>
        <v>#VALUE!</v>
      </c>
      <c r="EP145" t="e">
        <f>AND(tecantrop!W388,"AAAAAFtl35E=")</f>
        <v>#VALUE!</v>
      </c>
      <c r="EQ145" t="e">
        <f>AND(tecantrop!X388,"AAAAAFtl35I=")</f>
        <v>#VALUE!</v>
      </c>
      <c r="ER145">
        <f>IF(tecantrop!389:389,"AAAAAFtl35M=",0)</f>
        <v>0</v>
      </c>
      <c r="ES145" t="e">
        <f>AND(tecantrop!A389,"AAAAAFtl35Q=")</f>
        <v>#VALUE!</v>
      </c>
      <c r="ET145" t="e">
        <f>AND(tecantrop!B389,"AAAAAFtl35U=")</f>
        <v>#VALUE!</v>
      </c>
      <c r="EU145" t="e">
        <f>AND(tecantrop!C389,"AAAAAFtl35Y=")</f>
        <v>#VALUE!</v>
      </c>
      <c r="EV145" t="e">
        <f>AND(tecantrop!D389,"AAAAAFtl35c=")</f>
        <v>#VALUE!</v>
      </c>
      <c r="EW145" t="e">
        <f>AND(tecantrop!E389,"AAAAAFtl35g=")</f>
        <v>#VALUE!</v>
      </c>
      <c r="EX145" t="e">
        <f>AND(tecantrop!F389,"AAAAAFtl35k=")</f>
        <v>#VALUE!</v>
      </c>
      <c r="EY145" t="e">
        <f>AND(tecantrop!G389,"AAAAAFtl35o=")</f>
        <v>#VALUE!</v>
      </c>
      <c r="EZ145" t="e">
        <f>AND(tecantrop!H389,"AAAAAFtl35s=")</f>
        <v>#VALUE!</v>
      </c>
      <c r="FA145" t="e">
        <f>AND(tecantrop!I389,"AAAAAFtl35w=")</f>
        <v>#VALUE!</v>
      </c>
      <c r="FB145" t="e">
        <f>AND(tecantrop!J389,"AAAAAFtl350=")</f>
        <v>#VALUE!</v>
      </c>
      <c r="FC145" t="e">
        <f>AND(tecantrop!K389,"AAAAAFtl354=")</f>
        <v>#VALUE!</v>
      </c>
      <c r="FD145" t="e">
        <f>AND(tecantrop!L389,"AAAAAFtl358=")</f>
        <v>#VALUE!</v>
      </c>
      <c r="FE145" t="e">
        <f>AND(tecantrop!M389,"AAAAAFtl36A=")</f>
        <v>#VALUE!</v>
      </c>
      <c r="FF145" t="e">
        <f>AND(tecantrop!N389,"AAAAAFtl36E=")</f>
        <v>#VALUE!</v>
      </c>
      <c r="FG145" t="e">
        <f>AND(tecantrop!O389,"AAAAAFtl36I=")</f>
        <v>#VALUE!</v>
      </c>
      <c r="FH145" t="e">
        <f>AND(tecantrop!P389,"AAAAAFtl36M=")</f>
        <v>#VALUE!</v>
      </c>
      <c r="FI145" t="e">
        <f>AND(tecantrop!Q389,"AAAAAFtl36Q=")</f>
        <v>#VALUE!</v>
      </c>
      <c r="FJ145" t="e">
        <f>AND(tecantrop!R389,"AAAAAFtl36U=")</f>
        <v>#VALUE!</v>
      </c>
      <c r="FK145" t="e">
        <f>AND(tecantrop!S389,"AAAAAFtl36Y=")</f>
        <v>#VALUE!</v>
      </c>
      <c r="FL145" t="e">
        <f>AND(tecantrop!T389,"AAAAAFtl36c=")</f>
        <v>#VALUE!</v>
      </c>
      <c r="FM145" t="e">
        <f>AND(tecantrop!U389,"AAAAAFtl36g=")</f>
        <v>#VALUE!</v>
      </c>
      <c r="FN145" t="e">
        <f>AND(tecantrop!V389,"AAAAAFtl36k=")</f>
        <v>#VALUE!</v>
      </c>
      <c r="FO145" t="e">
        <f>AND(tecantrop!W389,"AAAAAFtl36o=")</f>
        <v>#VALUE!</v>
      </c>
      <c r="FP145" t="e">
        <f>AND(tecantrop!X389,"AAAAAFtl36s=")</f>
        <v>#VALUE!</v>
      </c>
      <c r="FQ145">
        <f>IF(tecantrop!390:390,"AAAAAFtl36w=",0)</f>
        <v>0</v>
      </c>
      <c r="FR145" t="e">
        <f>AND(tecantrop!A390,"AAAAAFtl360=")</f>
        <v>#VALUE!</v>
      </c>
      <c r="FS145" t="e">
        <f>AND(tecantrop!B390,"AAAAAFtl364=")</f>
        <v>#VALUE!</v>
      </c>
      <c r="FT145" t="e">
        <f>AND(tecantrop!C390,"AAAAAFtl368=")</f>
        <v>#VALUE!</v>
      </c>
      <c r="FU145" t="e">
        <f>AND(tecantrop!D390,"AAAAAFtl37A=")</f>
        <v>#VALUE!</v>
      </c>
      <c r="FV145" t="e">
        <f>AND(tecantrop!E390,"AAAAAFtl37E=")</f>
        <v>#VALUE!</v>
      </c>
      <c r="FW145" t="e">
        <f>AND(tecantrop!F390,"AAAAAFtl37I=")</f>
        <v>#VALUE!</v>
      </c>
      <c r="FX145" t="e">
        <f>AND(tecantrop!G390,"AAAAAFtl37M=")</f>
        <v>#VALUE!</v>
      </c>
      <c r="FY145" t="e">
        <f>AND(tecantrop!H390,"AAAAAFtl37Q=")</f>
        <v>#VALUE!</v>
      </c>
      <c r="FZ145" t="e">
        <f>AND(tecantrop!I390,"AAAAAFtl37U=")</f>
        <v>#VALUE!</v>
      </c>
      <c r="GA145" t="e">
        <f>AND(tecantrop!J390,"AAAAAFtl37Y=")</f>
        <v>#VALUE!</v>
      </c>
      <c r="GB145" t="e">
        <f>AND(tecantrop!K390,"AAAAAFtl37c=")</f>
        <v>#VALUE!</v>
      </c>
      <c r="GC145" t="e">
        <f>AND(tecantrop!L390,"AAAAAFtl37g=")</f>
        <v>#VALUE!</v>
      </c>
      <c r="GD145" t="e">
        <f>AND(tecantrop!M390,"AAAAAFtl37k=")</f>
        <v>#VALUE!</v>
      </c>
      <c r="GE145" t="e">
        <f>AND(tecantrop!N390,"AAAAAFtl37o=")</f>
        <v>#VALUE!</v>
      </c>
      <c r="GF145" t="e">
        <f>AND(tecantrop!O390,"AAAAAFtl37s=")</f>
        <v>#VALUE!</v>
      </c>
      <c r="GG145" t="e">
        <f>AND(tecantrop!P390,"AAAAAFtl37w=")</f>
        <v>#VALUE!</v>
      </c>
      <c r="GH145" t="e">
        <f>AND(tecantrop!Q390,"AAAAAFtl370=")</f>
        <v>#VALUE!</v>
      </c>
      <c r="GI145" t="e">
        <f>AND(tecantrop!R390,"AAAAAFtl374=")</f>
        <v>#VALUE!</v>
      </c>
      <c r="GJ145" t="e">
        <f>AND(tecantrop!S390,"AAAAAFtl378=")</f>
        <v>#VALUE!</v>
      </c>
      <c r="GK145" t="e">
        <f>AND(tecantrop!T390,"AAAAAFtl38A=")</f>
        <v>#VALUE!</v>
      </c>
      <c r="GL145" t="e">
        <f>AND(tecantrop!U390,"AAAAAFtl38E=")</f>
        <v>#VALUE!</v>
      </c>
      <c r="GM145" t="e">
        <f>AND(tecantrop!V390,"AAAAAFtl38I=")</f>
        <v>#VALUE!</v>
      </c>
      <c r="GN145" t="e">
        <f>AND(tecantrop!W390,"AAAAAFtl38M=")</f>
        <v>#VALUE!</v>
      </c>
      <c r="GO145" t="e">
        <f>AND(tecantrop!X390,"AAAAAFtl38Q=")</f>
        <v>#VALUE!</v>
      </c>
      <c r="GP145">
        <f>IF(tecantrop!391:391,"AAAAAFtl38U=",0)</f>
        <v>0</v>
      </c>
      <c r="GQ145" t="e">
        <f>AND(tecantrop!A391,"AAAAAFtl38Y=")</f>
        <v>#VALUE!</v>
      </c>
      <c r="GR145" t="e">
        <f>AND(tecantrop!B391,"AAAAAFtl38c=")</f>
        <v>#VALUE!</v>
      </c>
      <c r="GS145" t="e">
        <f>AND(tecantrop!C391,"AAAAAFtl38g=")</f>
        <v>#VALUE!</v>
      </c>
      <c r="GT145" t="e">
        <f>AND(tecantrop!D391,"AAAAAFtl38k=")</f>
        <v>#VALUE!</v>
      </c>
      <c r="GU145" t="e">
        <f>AND(tecantrop!E391,"AAAAAFtl38o=")</f>
        <v>#VALUE!</v>
      </c>
      <c r="GV145" t="e">
        <f>AND(tecantrop!F391,"AAAAAFtl38s=")</f>
        <v>#VALUE!</v>
      </c>
      <c r="GW145" t="e">
        <f>AND(tecantrop!G391,"AAAAAFtl38w=")</f>
        <v>#VALUE!</v>
      </c>
      <c r="GX145" t="e">
        <f>AND(tecantrop!H391,"AAAAAFtl380=")</f>
        <v>#VALUE!</v>
      </c>
      <c r="GY145" t="e">
        <f>AND(tecantrop!I391,"AAAAAFtl384=")</f>
        <v>#VALUE!</v>
      </c>
      <c r="GZ145" t="e">
        <f>AND(tecantrop!J391,"AAAAAFtl388=")</f>
        <v>#VALUE!</v>
      </c>
      <c r="HA145" t="e">
        <f>AND(tecantrop!K391,"AAAAAFtl39A=")</f>
        <v>#VALUE!</v>
      </c>
      <c r="HB145" t="e">
        <f>AND(tecantrop!L391,"AAAAAFtl39E=")</f>
        <v>#VALUE!</v>
      </c>
      <c r="HC145" t="e">
        <f>AND(tecantrop!M391,"AAAAAFtl39I=")</f>
        <v>#VALUE!</v>
      </c>
      <c r="HD145" t="e">
        <f>AND(tecantrop!N391,"AAAAAFtl39M=")</f>
        <v>#VALUE!</v>
      </c>
      <c r="HE145" t="e">
        <f>AND(tecantrop!O391,"AAAAAFtl39Q=")</f>
        <v>#VALUE!</v>
      </c>
      <c r="HF145" t="e">
        <f>AND(tecantrop!P391,"AAAAAFtl39U=")</f>
        <v>#VALUE!</v>
      </c>
      <c r="HG145" t="e">
        <f>AND(tecantrop!Q391,"AAAAAFtl39Y=")</f>
        <v>#VALUE!</v>
      </c>
      <c r="HH145" t="e">
        <f>AND(tecantrop!R391,"AAAAAFtl39c=")</f>
        <v>#VALUE!</v>
      </c>
      <c r="HI145" t="e">
        <f>AND(tecantrop!S391,"AAAAAFtl39g=")</f>
        <v>#VALUE!</v>
      </c>
      <c r="HJ145" t="e">
        <f>AND(tecantrop!T391,"AAAAAFtl39k=")</f>
        <v>#VALUE!</v>
      </c>
      <c r="HK145" t="e">
        <f>AND(tecantrop!U391,"AAAAAFtl39o=")</f>
        <v>#VALUE!</v>
      </c>
      <c r="HL145" t="e">
        <f>AND(tecantrop!V391,"AAAAAFtl39s=")</f>
        <v>#VALUE!</v>
      </c>
      <c r="HM145" t="e">
        <f>AND(tecantrop!W391,"AAAAAFtl39w=")</f>
        <v>#VALUE!</v>
      </c>
      <c r="HN145" t="e">
        <f>AND(tecantrop!X391,"AAAAAFtl390=")</f>
        <v>#VALUE!</v>
      </c>
      <c r="HO145">
        <f>IF(tecantrop!392:392,"AAAAAFtl394=",0)</f>
        <v>0</v>
      </c>
      <c r="HP145" t="e">
        <f>AND(tecantrop!A392,"AAAAAFtl398=")</f>
        <v>#VALUE!</v>
      </c>
      <c r="HQ145" t="e">
        <f>AND(tecantrop!B392,"AAAAAFtl3+A=")</f>
        <v>#VALUE!</v>
      </c>
      <c r="HR145" t="e">
        <f>AND(tecantrop!C392,"AAAAAFtl3+E=")</f>
        <v>#VALUE!</v>
      </c>
      <c r="HS145" t="e">
        <f>AND(tecantrop!D392,"AAAAAFtl3+I=")</f>
        <v>#VALUE!</v>
      </c>
      <c r="HT145" t="e">
        <f>AND(tecantrop!E392,"AAAAAFtl3+M=")</f>
        <v>#VALUE!</v>
      </c>
      <c r="HU145" t="e">
        <f>AND(tecantrop!F392,"AAAAAFtl3+Q=")</f>
        <v>#VALUE!</v>
      </c>
      <c r="HV145" t="e">
        <f>AND(tecantrop!G392,"AAAAAFtl3+U=")</f>
        <v>#VALUE!</v>
      </c>
      <c r="HW145" t="e">
        <f>AND(tecantrop!H392,"AAAAAFtl3+Y=")</f>
        <v>#VALUE!</v>
      </c>
      <c r="HX145" t="e">
        <f>AND(tecantrop!I392,"AAAAAFtl3+c=")</f>
        <v>#VALUE!</v>
      </c>
      <c r="HY145" t="e">
        <f>AND(tecantrop!J392,"AAAAAFtl3+g=")</f>
        <v>#VALUE!</v>
      </c>
      <c r="HZ145" t="e">
        <f>AND(tecantrop!K392,"AAAAAFtl3+k=")</f>
        <v>#VALUE!</v>
      </c>
      <c r="IA145" t="e">
        <f>AND(tecantrop!L392,"AAAAAFtl3+o=")</f>
        <v>#VALUE!</v>
      </c>
      <c r="IB145" t="e">
        <f>AND(tecantrop!M392,"AAAAAFtl3+s=")</f>
        <v>#VALUE!</v>
      </c>
      <c r="IC145" t="e">
        <f>AND(tecantrop!N392,"AAAAAFtl3+w=")</f>
        <v>#VALUE!</v>
      </c>
      <c r="ID145" t="e">
        <f>AND(tecantrop!O392,"AAAAAFtl3+0=")</f>
        <v>#VALUE!</v>
      </c>
      <c r="IE145" t="e">
        <f>AND(tecantrop!P392,"AAAAAFtl3+4=")</f>
        <v>#VALUE!</v>
      </c>
      <c r="IF145" t="e">
        <f>AND(tecantrop!Q392,"AAAAAFtl3+8=")</f>
        <v>#VALUE!</v>
      </c>
      <c r="IG145" t="e">
        <f>AND(tecantrop!R392,"AAAAAFtl3/A=")</f>
        <v>#VALUE!</v>
      </c>
      <c r="IH145" t="e">
        <f>AND(tecantrop!S392,"AAAAAFtl3/E=")</f>
        <v>#VALUE!</v>
      </c>
      <c r="II145" t="e">
        <f>AND(tecantrop!T392,"AAAAAFtl3/I=")</f>
        <v>#VALUE!</v>
      </c>
      <c r="IJ145" t="e">
        <f>AND(tecantrop!U392,"AAAAAFtl3/M=")</f>
        <v>#VALUE!</v>
      </c>
      <c r="IK145" t="e">
        <f>AND(tecantrop!V392,"AAAAAFtl3/Q=")</f>
        <v>#VALUE!</v>
      </c>
      <c r="IL145" t="e">
        <f>AND(tecantrop!W392,"AAAAAFtl3/U=")</f>
        <v>#VALUE!</v>
      </c>
      <c r="IM145" t="e">
        <f>AND(tecantrop!X392,"AAAAAFtl3/Y=")</f>
        <v>#VALUE!</v>
      </c>
      <c r="IN145">
        <f>IF(tecantrop!393:393,"AAAAAFtl3/c=",0)</f>
        <v>0</v>
      </c>
      <c r="IO145" t="e">
        <f>AND(tecantrop!A393,"AAAAAFtl3/g=")</f>
        <v>#VALUE!</v>
      </c>
      <c r="IP145" t="e">
        <f>AND(tecantrop!B393,"AAAAAFtl3/k=")</f>
        <v>#VALUE!</v>
      </c>
      <c r="IQ145" t="e">
        <f>AND(tecantrop!C393,"AAAAAFtl3/o=")</f>
        <v>#VALUE!</v>
      </c>
      <c r="IR145" t="e">
        <f>AND(tecantrop!D393,"AAAAAFtl3/s=")</f>
        <v>#VALUE!</v>
      </c>
      <c r="IS145" t="e">
        <f>AND(tecantrop!E393,"AAAAAFtl3/w=")</f>
        <v>#VALUE!</v>
      </c>
      <c r="IT145" t="e">
        <f>AND(tecantrop!F393,"AAAAAFtl3/0=")</f>
        <v>#VALUE!</v>
      </c>
      <c r="IU145" t="e">
        <f>AND(tecantrop!G393,"AAAAAFtl3/4=")</f>
        <v>#VALUE!</v>
      </c>
      <c r="IV145" t="e">
        <f>AND(tecantrop!H393,"AAAAAFtl3/8=")</f>
        <v>#VALUE!</v>
      </c>
    </row>
    <row r="146" spans="1:256" x14ac:dyDescent="0.2">
      <c r="A146" t="e">
        <f>AND(tecantrop!I393,"AAAAAFV3/QA=")</f>
        <v>#VALUE!</v>
      </c>
      <c r="B146" t="e">
        <f>AND(tecantrop!J393,"AAAAAFV3/QE=")</f>
        <v>#VALUE!</v>
      </c>
      <c r="C146" t="e">
        <f>AND(tecantrop!K393,"AAAAAFV3/QI=")</f>
        <v>#VALUE!</v>
      </c>
      <c r="D146" t="e">
        <f>AND(tecantrop!L393,"AAAAAFV3/QM=")</f>
        <v>#VALUE!</v>
      </c>
      <c r="E146" t="e">
        <f>AND(tecantrop!M393,"AAAAAFV3/QQ=")</f>
        <v>#VALUE!</v>
      </c>
      <c r="F146" t="e">
        <f>AND(tecantrop!N393,"AAAAAFV3/QU=")</f>
        <v>#VALUE!</v>
      </c>
      <c r="G146" t="e">
        <f>AND(tecantrop!O393,"AAAAAFV3/QY=")</f>
        <v>#VALUE!</v>
      </c>
      <c r="H146" t="e">
        <f>AND(tecantrop!P393,"AAAAAFV3/Qc=")</f>
        <v>#VALUE!</v>
      </c>
      <c r="I146" t="e">
        <f>AND(tecantrop!Q393,"AAAAAFV3/Qg=")</f>
        <v>#VALUE!</v>
      </c>
      <c r="J146" t="e">
        <f>AND(tecantrop!R393,"AAAAAFV3/Qk=")</f>
        <v>#VALUE!</v>
      </c>
      <c r="K146" t="e">
        <f>AND(tecantrop!S393,"AAAAAFV3/Qo=")</f>
        <v>#VALUE!</v>
      </c>
      <c r="L146" t="e">
        <f>AND(tecantrop!T393,"AAAAAFV3/Qs=")</f>
        <v>#VALUE!</v>
      </c>
      <c r="M146" t="e">
        <f>AND(tecantrop!U393,"AAAAAFV3/Qw=")</f>
        <v>#VALUE!</v>
      </c>
      <c r="N146" t="e">
        <f>AND(tecantrop!V393,"AAAAAFV3/Q0=")</f>
        <v>#VALUE!</v>
      </c>
      <c r="O146" t="e">
        <f>AND(tecantrop!W393,"AAAAAFV3/Q4=")</f>
        <v>#VALUE!</v>
      </c>
      <c r="P146" t="e">
        <f>AND(tecantrop!X393,"AAAAAFV3/Q8=")</f>
        <v>#VALUE!</v>
      </c>
      <c r="Q146">
        <f>IF(tecantrop!394:394,"AAAAAFV3/RA=",0)</f>
        <v>0</v>
      </c>
      <c r="R146" t="e">
        <f>AND(tecantrop!A394,"AAAAAFV3/RE=")</f>
        <v>#VALUE!</v>
      </c>
      <c r="S146" t="e">
        <f>AND(tecantrop!B394,"AAAAAFV3/RI=")</f>
        <v>#VALUE!</v>
      </c>
      <c r="T146" t="e">
        <f>AND(tecantrop!C394,"AAAAAFV3/RM=")</f>
        <v>#VALUE!</v>
      </c>
      <c r="U146" t="e">
        <f>AND(tecantrop!D394,"AAAAAFV3/RQ=")</f>
        <v>#VALUE!</v>
      </c>
      <c r="V146" t="e">
        <f>AND(tecantrop!E394,"AAAAAFV3/RU=")</f>
        <v>#VALUE!</v>
      </c>
      <c r="W146" t="e">
        <f>AND(tecantrop!F394,"AAAAAFV3/RY=")</f>
        <v>#VALUE!</v>
      </c>
      <c r="X146" t="e">
        <f>AND(tecantrop!G394,"AAAAAFV3/Rc=")</f>
        <v>#VALUE!</v>
      </c>
      <c r="Y146" t="e">
        <f>AND(tecantrop!H394,"AAAAAFV3/Rg=")</f>
        <v>#VALUE!</v>
      </c>
      <c r="Z146" t="e">
        <f>AND(tecantrop!I394,"AAAAAFV3/Rk=")</f>
        <v>#VALUE!</v>
      </c>
      <c r="AA146" t="e">
        <f>AND(tecantrop!J394,"AAAAAFV3/Ro=")</f>
        <v>#VALUE!</v>
      </c>
      <c r="AB146" t="e">
        <f>AND(tecantrop!K394,"AAAAAFV3/Rs=")</f>
        <v>#VALUE!</v>
      </c>
      <c r="AC146" t="e">
        <f>AND(tecantrop!L394,"AAAAAFV3/Rw=")</f>
        <v>#VALUE!</v>
      </c>
      <c r="AD146" t="e">
        <f>AND(tecantrop!M394,"AAAAAFV3/R0=")</f>
        <v>#VALUE!</v>
      </c>
      <c r="AE146" t="e">
        <f>AND(tecantrop!N394,"AAAAAFV3/R4=")</f>
        <v>#VALUE!</v>
      </c>
      <c r="AF146" t="e">
        <f>AND(tecantrop!O394,"AAAAAFV3/R8=")</f>
        <v>#VALUE!</v>
      </c>
      <c r="AG146" t="e">
        <f>AND(tecantrop!P394,"AAAAAFV3/SA=")</f>
        <v>#VALUE!</v>
      </c>
      <c r="AH146" t="e">
        <f>AND(tecantrop!Q394,"AAAAAFV3/SE=")</f>
        <v>#VALUE!</v>
      </c>
      <c r="AI146" t="e">
        <f>AND(tecantrop!R394,"AAAAAFV3/SI=")</f>
        <v>#VALUE!</v>
      </c>
      <c r="AJ146" t="e">
        <f>AND(tecantrop!S394,"AAAAAFV3/SM=")</f>
        <v>#VALUE!</v>
      </c>
      <c r="AK146" t="e">
        <f>AND(tecantrop!T394,"AAAAAFV3/SQ=")</f>
        <v>#VALUE!</v>
      </c>
      <c r="AL146" t="e">
        <f>AND(tecantrop!U394,"AAAAAFV3/SU=")</f>
        <v>#VALUE!</v>
      </c>
      <c r="AM146" t="e">
        <f>AND(tecantrop!V394,"AAAAAFV3/SY=")</f>
        <v>#VALUE!</v>
      </c>
      <c r="AN146" t="e">
        <f>AND(tecantrop!W394,"AAAAAFV3/Sc=")</f>
        <v>#VALUE!</v>
      </c>
      <c r="AO146" t="e">
        <f>AND(tecantrop!X394,"AAAAAFV3/Sg=")</f>
        <v>#VALUE!</v>
      </c>
      <c r="AP146">
        <f>IF(tecantrop!395:395,"AAAAAFV3/Sk=",0)</f>
        <v>0</v>
      </c>
      <c r="AQ146" t="e">
        <f>AND(tecantrop!A395,"AAAAAFV3/So=")</f>
        <v>#VALUE!</v>
      </c>
      <c r="AR146" t="e">
        <f>AND(tecantrop!B395,"AAAAAFV3/Ss=")</f>
        <v>#VALUE!</v>
      </c>
      <c r="AS146" t="e">
        <f>AND(tecantrop!C395,"AAAAAFV3/Sw=")</f>
        <v>#VALUE!</v>
      </c>
      <c r="AT146" t="e">
        <f>AND(tecantrop!D395,"AAAAAFV3/S0=")</f>
        <v>#VALUE!</v>
      </c>
      <c r="AU146" t="e">
        <f>AND(tecantrop!E395,"AAAAAFV3/S4=")</f>
        <v>#VALUE!</v>
      </c>
      <c r="AV146" t="e">
        <f>AND(tecantrop!F395,"AAAAAFV3/S8=")</f>
        <v>#VALUE!</v>
      </c>
      <c r="AW146" t="e">
        <f>AND(tecantrop!G395,"AAAAAFV3/TA=")</f>
        <v>#VALUE!</v>
      </c>
      <c r="AX146" t="e">
        <f>AND(tecantrop!H395,"AAAAAFV3/TE=")</f>
        <v>#VALUE!</v>
      </c>
      <c r="AY146" t="e">
        <f>AND(tecantrop!I395,"AAAAAFV3/TI=")</f>
        <v>#VALUE!</v>
      </c>
      <c r="AZ146" t="e">
        <f>AND(tecantrop!J395,"AAAAAFV3/TM=")</f>
        <v>#VALUE!</v>
      </c>
      <c r="BA146" t="e">
        <f>AND(tecantrop!K395,"AAAAAFV3/TQ=")</f>
        <v>#VALUE!</v>
      </c>
      <c r="BB146" t="e">
        <f>AND(tecantrop!L395,"AAAAAFV3/TU=")</f>
        <v>#VALUE!</v>
      </c>
      <c r="BC146" t="e">
        <f>AND(tecantrop!M395,"AAAAAFV3/TY=")</f>
        <v>#VALUE!</v>
      </c>
      <c r="BD146" t="e">
        <f>AND(tecantrop!N395,"AAAAAFV3/Tc=")</f>
        <v>#VALUE!</v>
      </c>
      <c r="BE146" t="e">
        <f>AND(tecantrop!O395,"AAAAAFV3/Tg=")</f>
        <v>#VALUE!</v>
      </c>
      <c r="BF146" t="e">
        <f>AND(tecantrop!P395,"AAAAAFV3/Tk=")</f>
        <v>#VALUE!</v>
      </c>
      <c r="BG146" t="e">
        <f>AND(tecantrop!Q395,"AAAAAFV3/To=")</f>
        <v>#VALUE!</v>
      </c>
      <c r="BH146" t="e">
        <f>AND(tecantrop!R395,"AAAAAFV3/Ts=")</f>
        <v>#VALUE!</v>
      </c>
      <c r="BI146" t="e">
        <f>AND(tecantrop!S395,"AAAAAFV3/Tw=")</f>
        <v>#VALUE!</v>
      </c>
      <c r="BJ146" t="e">
        <f>AND(tecantrop!T395,"AAAAAFV3/T0=")</f>
        <v>#VALUE!</v>
      </c>
      <c r="BK146" t="e">
        <f>AND(tecantrop!U395,"AAAAAFV3/T4=")</f>
        <v>#VALUE!</v>
      </c>
      <c r="BL146" t="e">
        <f>AND(tecantrop!V395,"AAAAAFV3/T8=")</f>
        <v>#VALUE!</v>
      </c>
      <c r="BM146" t="e">
        <f>AND(tecantrop!W395,"AAAAAFV3/UA=")</f>
        <v>#VALUE!</v>
      </c>
      <c r="BN146" t="e">
        <f>AND(tecantrop!X395,"AAAAAFV3/UE=")</f>
        <v>#VALUE!</v>
      </c>
      <c r="BO146">
        <f>IF(tecantrop!396:396,"AAAAAFV3/UI=",0)</f>
        <v>0</v>
      </c>
      <c r="BP146" t="e">
        <f>AND(tecantrop!A396,"AAAAAFV3/UM=")</f>
        <v>#VALUE!</v>
      </c>
      <c r="BQ146" t="e">
        <f>AND(tecantrop!B396,"AAAAAFV3/UQ=")</f>
        <v>#VALUE!</v>
      </c>
      <c r="BR146" t="e">
        <f>AND(tecantrop!C396,"AAAAAFV3/UU=")</f>
        <v>#VALUE!</v>
      </c>
      <c r="BS146" t="e">
        <f>AND(tecantrop!D396,"AAAAAFV3/UY=")</f>
        <v>#VALUE!</v>
      </c>
      <c r="BT146" t="e">
        <f>AND(tecantrop!E396,"AAAAAFV3/Uc=")</f>
        <v>#VALUE!</v>
      </c>
      <c r="BU146" t="e">
        <f>AND(tecantrop!F396,"AAAAAFV3/Ug=")</f>
        <v>#VALUE!</v>
      </c>
      <c r="BV146" t="e">
        <f>AND(tecantrop!G396,"AAAAAFV3/Uk=")</f>
        <v>#VALUE!</v>
      </c>
      <c r="BW146" t="e">
        <f>AND(tecantrop!H396,"AAAAAFV3/Uo=")</f>
        <v>#VALUE!</v>
      </c>
      <c r="BX146" t="e">
        <f>AND(tecantrop!I396,"AAAAAFV3/Us=")</f>
        <v>#VALUE!</v>
      </c>
      <c r="BY146" t="e">
        <f>AND(tecantrop!J396,"AAAAAFV3/Uw=")</f>
        <v>#VALUE!</v>
      </c>
      <c r="BZ146" t="e">
        <f>AND(tecantrop!K396,"AAAAAFV3/U0=")</f>
        <v>#VALUE!</v>
      </c>
      <c r="CA146" t="e">
        <f>AND(tecantrop!L396,"AAAAAFV3/U4=")</f>
        <v>#VALUE!</v>
      </c>
      <c r="CB146" t="e">
        <f>AND(tecantrop!M396,"AAAAAFV3/U8=")</f>
        <v>#VALUE!</v>
      </c>
      <c r="CC146" t="e">
        <f>AND(tecantrop!N396,"AAAAAFV3/VA=")</f>
        <v>#VALUE!</v>
      </c>
      <c r="CD146" t="e">
        <f>AND(tecantrop!O396,"AAAAAFV3/VE=")</f>
        <v>#VALUE!</v>
      </c>
      <c r="CE146" t="e">
        <f>AND(tecantrop!P396,"AAAAAFV3/VI=")</f>
        <v>#VALUE!</v>
      </c>
      <c r="CF146" t="e">
        <f>AND(tecantrop!Q396,"AAAAAFV3/VM=")</f>
        <v>#VALUE!</v>
      </c>
      <c r="CG146" t="e">
        <f>AND(tecantrop!R396,"AAAAAFV3/VQ=")</f>
        <v>#VALUE!</v>
      </c>
      <c r="CH146" t="e">
        <f>AND(tecantrop!S396,"AAAAAFV3/VU=")</f>
        <v>#VALUE!</v>
      </c>
      <c r="CI146" t="e">
        <f>AND(tecantrop!T396,"AAAAAFV3/VY=")</f>
        <v>#VALUE!</v>
      </c>
      <c r="CJ146" t="e">
        <f>AND(tecantrop!U396,"AAAAAFV3/Vc=")</f>
        <v>#VALUE!</v>
      </c>
      <c r="CK146" t="e">
        <f>AND(tecantrop!V396,"AAAAAFV3/Vg=")</f>
        <v>#VALUE!</v>
      </c>
      <c r="CL146" t="e">
        <f>AND(tecantrop!W396,"AAAAAFV3/Vk=")</f>
        <v>#VALUE!</v>
      </c>
      <c r="CM146" t="e">
        <f>AND(tecantrop!X396,"AAAAAFV3/Vo=")</f>
        <v>#VALUE!</v>
      </c>
      <c r="CN146">
        <f>IF(tecantrop!397:397,"AAAAAFV3/Vs=",0)</f>
        <v>0</v>
      </c>
      <c r="CO146" t="e">
        <f>AND(tecantrop!A397,"AAAAAFV3/Vw=")</f>
        <v>#VALUE!</v>
      </c>
      <c r="CP146" t="e">
        <f>AND(tecantrop!B397,"AAAAAFV3/V0=")</f>
        <v>#VALUE!</v>
      </c>
      <c r="CQ146" t="e">
        <f>AND(tecantrop!C397,"AAAAAFV3/V4=")</f>
        <v>#VALUE!</v>
      </c>
      <c r="CR146" t="e">
        <f>AND(tecantrop!D397,"AAAAAFV3/V8=")</f>
        <v>#VALUE!</v>
      </c>
      <c r="CS146" t="e">
        <f>AND(tecantrop!E397,"AAAAAFV3/WA=")</f>
        <v>#VALUE!</v>
      </c>
      <c r="CT146" t="e">
        <f>AND(tecantrop!F397,"AAAAAFV3/WE=")</f>
        <v>#VALUE!</v>
      </c>
      <c r="CU146" t="e">
        <f>AND(tecantrop!G397,"AAAAAFV3/WI=")</f>
        <v>#VALUE!</v>
      </c>
      <c r="CV146" t="e">
        <f>AND(tecantrop!H397,"AAAAAFV3/WM=")</f>
        <v>#VALUE!</v>
      </c>
      <c r="CW146" t="e">
        <f>AND(tecantrop!I397,"AAAAAFV3/WQ=")</f>
        <v>#VALUE!</v>
      </c>
      <c r="CX146" t="e">
        <f>AND(tecantrop!J397,"AAAAAFV3/WU=")</f>
        <v>#VALUE!</v>
      </c>
      <c r="CY146" t="e">
        <f>AND(tecantrop!K397,"AAAAAFV3/WY=")</f>
        <v>#VALUE!</v>
      </c>
      <c r="CZ146" t="e">
        <f>AND(tecantrop!L397,"AAAAAFV3/Wc=")</f>
        <v>#VALUE!</v>
      </c>
      <c r="DA146" t="e">
        <f>AND(tecantrop!M397,"AAAAAFV3/Wg=")</f>
        <v>#VALUE!</v>
      </c>
      <c r="DB146" t="e">
        <f>AND(tecantrop!N397,"AAAAAFV3/Wk=")</f>
        <v>#VALUE!</v>
      </c>
      <c r="DC146" t="e">
        <f>AND(tecantrop!O397,"AAAAAFV3/Wo=")</f>
        <v>#VALUE!</v>
      </c>
      <c r="DD146" t="e">
        <f>AND(tecantrop!P397,"AAAAAFV3/Ws=")</f>
        <v>#VALUE!</v>
      </c>
      <c r="DE146" t="e">
        <f>AND(tecantrop!Q397,"AAAAAFV3/Ww=")</f>
        <v>#VALUE!</v>
      </c>
      <c r="DF146" t="e">
        <f>AND(tecantrop!R397,"AAAAAFV3/W0=")</f>
        <v>#VALUE!</v>
      </c>
      <c r="DG146" t="e">
        <f>AND(tecantrop!S397,"AAAAAFV3/W4=")</f>
        <v>#VALUE!</v>
      </c>
      <c r="DH146" t="e">
        <f>AND(tecantrop!T397,"AAAAAFV3/W8=")</f>
        <v>#VALUE!</v>
      </c>
      <c r="DI146" t="e">
        <f>AND(tecantrop!U397,"AAAAAFV3/XA=")</f>
        <v>#VALUE!</v>
      </c>
      <c r="DJ146" t="e">
        <f>AND(tecantrop!V397,"AAAAAFV3/XE=")</f>
        <v>#VALUE!</v>
      </c>
      <c r="DK146" t="e">
        <f>AND(tecantrop!W397,"AAAAAFV3/XI=")</f>
        <v>#VALUE!</v>
      </c>
      <c r="DL146" t="e">
        <f>AND(tecantrop!X397,"AAAAAFV3/XM=")</f>
        <v>#VALUE!</v>
      </c>
      <c r="DM146">
        <f>IF(tecantrop!398:398,"AAAAAFV3/XQ=",0)</f>
        <v>0</v>
      </c>
      <c r="DN146" t="e">
        <f>AND(tecantrop!A398,"AAAAAFV3/XU=")</f>
        <v>#VALUE!</v>
      </c>
      <c r="DO146" t="e">
        <f>AND(tecantrop!B398,"AAAAAFV3/XY=")</f>
        <v>#VALUE!</v>
      </c>
      <c r="DP146" t="e">
        <f>AND(tecantrop!C398,"AAAAAFV3/Xc=")</f>
        <v>#VALUE!</v>
      </c>
      <c r="DQ146" t="e">
        <f>AND(tecantrop!D398,"AAAAAFV3/Xg=")</f>
        <v>#VALUE!</v>
      </c>
      <c r="DR146" t="e">
        <f>AND(tecantrop!E398,"AAAAAFV3/Xk=")</f>
        <v>#VALUE!</v>
      </c>
      <c r="DS146" t="e">
        <f>AND(tecantrop!F398,"AAAAAFV3/Xo=")</f>
        <v>#VALUE!</v>
      </c>
      <c r="DT146" t="e">
        <f>AND(tecantrop!G398,"AAAAAFV3/Xs=")</f>
        <v>#VALUE!</v>
      </c>
      <c r="DU146" t="e">
        <f>AND(tecantrop!H398,"AAAAAFV3/Xw=")</f>
        <v>#VALUE!</v>
      </c>
      <c r="DV146" t="e">
        <f>AND(tecantrop!I398,"AAAAAFV3/X0=")</f>
        <v>#VALUE!</v>
      </c>
      <c r="DW146" t="e">
        <f>AND(tecantrop!J398,"AAAAAFV3/X4=")</f>
        <v>#VALUE!</v>
      </c>
      <c r="DX146" t="e">
        <f>AND(tecantrop!K398,"AAAAAFV3/X8=")</f>
        <v>#VALUE!</v>
      </c>
      <c r="DY146" t="e">
        <f>AND(tecantrop!L398,"AAAAAFV3/YA=")</f>
        <v>#VALUE!</v>
      </c>
      <c r="DZ146" t="e">
        <f>AND(tecantrop!M398,"AAAAAFV3/YE=")</f>
        <v>#VALUE!</v>
      </c>
      <c r="EA146" t="e">
        <f>AND(tecantrop!N398,"AAAAAFV3/YI=")</f>
        <v>#VALUE!</v>
      </c>
      <c r="EB146" t="e">
        <f>AND(tecantrop!O398,"AAAAAFV3/YM=")</f>
        <v>#VALUE!</v>
      </c>
      <c r="EC146" t="e">
        <f>AND(tecantrop!P398,"AAAAAFV3/YQ=")</f>
        <v>#VALUE!</v>
      </c>
      <c r="ED146" t="e">
        <f>AND(tecantrop!Q398,"AAAAAFV3/YU=")</f>
        <v>#VALUE!</v>
      </c>
      <c r="EE146" t="e">
        <f>AND(tecantrop!R398,"AAAAAFV3/YY=")</f>
        <v>#VALUE!</v>
      </c>
      <c r="EF146" t="e">
        <f>AND(tecantrop!S398,"AAAAAFV3/Yc=")</f>
        <v>#VALUE!</v>
      </c>
      <c r="EG146" t="e">
        <f>AND(tecantrop!T398,"AAAAAFV3/Yg=")</f>
        <v>#VALUE!</v>
      </c>
      <c r="EH146" t="e">
        <f>AND(tecantrop!U398,"AAAAAFV3/Yk=")</f>
        <v>#VALUE!</v>
      </c>
      <c r="EI146" t="e">
        <f>AND(tecantrop!V398,"AAAAAFV3/Yo=")</f>
        <v>#VALUE!</v>
      </c>
      <c r="EJ146" t="e">
        <f>AND(tecantrop!W398,"AAAAAFV3/Ys=")</f>
        <v>#VALUE!</v>
      </c>
      <c r="EK146" t="e">
        <f>AND(tecantrop!X398,"AAAAAFV3/Yw=")</f>
        <v>#VALUE!</v>
      </c>
      <c r="EL146">
        <f>IF(tecantrop!399:399,"AAAAAFV3/Y0=",0)</f>
        <v>0</v>
      </c>
      <c r="EM146" t="e">
        <f>AND(tecantrop!A399,"AAAAAFV3/Y4=")</f>
        <v>#VALUE!</v>
      </c>
      <c r="EN146" t="e">
        <f>AND(tecantrop!B399,"AAAAAFV3/Y8=")</f>
        <v>#VALUE!</v>
      </c>
      <c r="EO146" t="e">
        <f>AND(tecantrop!C399,"AAAAAFV3/ZA=")</f>
        <v>#VALUE!</v>
      </c>
      <c r="EP146" t="e">
        <f>AND(tecantrop!D399,"AAAAAFV3/ZE=")</f>
        <v>#VALUE!</v>
      </c>
      <c r="EQ146" t="e">
        <f>AND(tecantrop!E399,"AAAAAFV3/ZI=")</f>
        <v>#VALUE!</v>
      </c>
      <c r="ER146" t="e">
        <f>AND(tecantrop!F399,"AAAAAFV3/ZM=")</f>
        <v>#VALUE!</v>
      </c>
      <c r="ES146" t="e">
        <f>AND(tecantrop!G399,"AAAAAFV3/ZQ=")</f>
        <v>#VALUE!</v>
      </c>
      <c r="ET146" t="e">
        <f>AND(tecantrop!H399,"AAAAAFV3/ZU=")</f>
        <v>#VALUE!</v>
      </c>
      <c r="EU146" t="e">
        <f>AND(tecantrop!I399,"AAAAAFV3/ZY=")</f>
        <v>#VALUE!</v>
      </c>
      <c r="EV146" t="e">
        <f>AND(tecantrop!J399,"AAAAAFV3/Zc=")</f>
        <v>#VALUE!</v>
      </c>
      <c r="EW146" t="e">
        <f>AND(tecantrop!K399,"AAAAAFV3/Zg=")</f>
        <v>#VALUE!</v>
      </c>
      <c r="EX146" t="e">
        <f>AND(tecantrop!L399,"AAAAAFV3/Zk=")</f>
        <v>#VALUE!</v>
      </c>
      <c r="EY146" t="e">
        <f>AND(tecantrop!M399,"AAAAAFV3/Zo=")</f>
        <v>#VALUE!</v>
      </c>
      <c r="EZ146" t="e">
        <f>AND(tecantrop!N399,"AAAAAFV3/Zs=")</f>
        <v>#VALUE!</v>
      </c>
      <c r="FA146" t="e">
        <f>AND(tecantrop!O399,"AAAAAFV3/Zw=")</f>
        <v>#VALUE!</v>
      </c>
      <c r="FB146" t="e">
        <f>AND(tecantrop!P399,"AAAAAFV3/Z0=")</f>
        <v>#VALUE!</v>
      </c>
      <c r="FC146" t="e">
        <f>AND(tecantrop!Q399,"AAAAAFV3/Z4=")</f>
        <v>#VALUE!</v>
      </c>
      <c r="FD146" t="e">
        <f>AND(tecantrop!R399,"AAAAAFV3/Z8=")</f>
        <v>#VALUE!</v>
      </c>
      <c r="FE146" t="e">
        <f>AND(tecantrop!S399,"AAAAAFV3/aA=")</f>
        <v>#VALUE!</v>
      </c>
      <c r="FF146" t="e">
        <f>AND(tecantrop!T399,"AAAAAFV3/aE=")</f>
        <v>#VALUE!</v>
      </c>
      <c r="FG146" t="e">
        <f>AND(tecantrop!U399,"AAAAAFV3/aI=")</f>
        <v>#VALUE!</v>
      </c>
      <c r="FH146" t="e">
        <f>AND(tecantrop!V399,"AAAAAFV3/aM=")</f>
        <v>#VALUE!</v>
      </c>
      <c r="FI146" t="e">
        <f>AND(tecantrop!W399,"AAAAAFV3/aQ=")</f>
        <v>#VALUE!</v>
      </c>
      <c r="FJ146" t="e">
        <f>AND(tecantrop!X399,"AAAAAFV3/aU=")</f>
        <v>#VALUE!</v>
      </c>
      <c r="FK146">
        <f>IF(tecantrop!400:400,"AAAAAFV3/aY=",0)</f>
        <v>0</v>
      </c>
      <c r="FL146" t="e">
        <f>AND(tecantrop!A400,"AAAAAFV3/ac=")</f>
        <v>#VALUE!</v>
      </c>
      <c r="FM146" t="e">
        <f>AND(tecantrop!B400,"AAAAAFV3/ag=")</f>
        <v>#VALUE!</v>
      </c>
      <c r="FN146" t="e">
        <f>AND(tecantrop!C400,"AAAAAFV3/ak=")</f>
        <v>#VALUE!</v>
      </c>
      <c r="FO146" t="e">
        <f>AND(tecantrop!D400,"AAAAAFV3/ao=")</f>
        <v>#VALUE!</v>
      </c>
      <c r="FP146" t="e">
        <f>AND(tecantrop!E400,"AAAAAFV3/as=")</f>
        <v>#VALUE!</v>
      </c>
      <c r="FQ146" t="e">
        <f>AND(tecantrop!F400,"AAAAAFV3/aw=")</f>
        <v>#VALUE!</v>
      </c>
      <c r="FR146" t="e">
        <f>AND(tecantrop!G400,"AAAAAFV3/a0=")</f>
        <v>#VALUE!</v>
      </c>
      <c r="FS146" t="e">
        <f>AND(tecantrop!H400,"AAAAAFV3/a4=")</f>
        <v>#VALUE!</v>
      </c>
      <c r="FT146" t="e">
        <f>AND(tecantrop!I400,"AAAAAFV3/a8=")</f>
        <v>#VALUE!</v>
      </c>
      <c r="FU146" t="e">
        <f>AND(tecantrop!J400,"AAAAAFV3/bA=")</f>
        <v>#VALUE!</v>
      </c>
      <c r="FV146" t="e">
        <f>AND(tecantrop!K400,"AAAAAFV3/bE=")</f>
        <v>#VALUE!</v>
      </c>
      <c r="FW146" t="e">
        <f>AND(tecantrop!L400,"AAAAAFV3/bI=")</f>
        <v>#VALUE!</v>
      </c>
      <c r="FX146" t="e">
        <f>AND(tecantrop!M400,"AAAAAFV3/bM=")</f>
        <v>#VALUE!</v>
      </c>
      <c r="FY146" t="e">
        <f>AND(tecantrop!N400,"AAAAAFV3/bQ=")</f>
        <v>#VALUE!</v>
      </c>
      <c r="FZ146" t="e">
        <f>AND(tecantrop!O400,"AAAAAFV3/bU=")</f>
        <v>#VALUE!</v>
      </c>
      <c r="GA146" t="e">
        <f>AND(tecantrop!P400,"AAAAAFV3/bY=")</f>
        <v>#VALUE!</v>
      </c>
      <c r="GB146" t="e">
        <f>AND(tecantrop!Q400,"AAAAAFV3/bc=")</f>
        <v>#VALUE!</v>
      </c>
      <c r="GC146" t="e">
        <f>AND(tecantrop!R400,"AAAAAFV3/bg=")</f>
        <v>#VALUE!</v>
      </c>
      <c r="GD146" t="e">
        <f>AND(tecantrop!S400,"AAAAAFV3/bk=")</f>
        <v>#VALUE!</v>
      </c>
      <c r="GE146" t="e">
        <f>AND(tecantrop!T400,"AAAAAFV3/bo=")</f>
        <v>#VALUE!</v>
      </c>
      <c r="GF146" t="e">
        <f>AND(tecantrop!U400,"AAAAAFV3/bs=")</f>
        <v>#VALUE!</v>
      </c>
      <c r="GG146" t="e">
        <f>AND(tecantrop!V400,"AAAAAFV3/bw=")</f>
        <v>#VALUE!</v>
      </c>
      <c r="GH146" t="e">
        <f>AND(tecantrop!W400,"AAAAAFV3/b0=")</f>
        <v>#VALUE!</v>
      </c>
      <c r="GI146" t="e">
        <f>AND(tecantrop!X400,"AAAAAFV3/b4=")</f>
        <v>#VALUE!</v>
      </c>
      <c r="GJ146">
        <f>IF(tecantrop!401:401,"AAAAAFV3/b8=",0)</f>
        <v>0</v>
      </c>
      <c r="GK146" t="e">
        <f>AND(tecantrop!A401,"AAAAAFV3/cA=")</f>
        <v>#VALUE!</v>
      </c>
      <c r="GL146" t="e">
        <f>AND(tecantrop!B401,"AAAAAFV3/cE=")</f>
        <v>#VALUE!</v>
      </c>
      <c r="GM146" t="e">
        <f>AND(tecantrop!C401,"AAAAAFV3/cI=")</f>
        <v>#VALUE!</v>
      </c>
      <c r="GN146" t="e">
        <f>AND(tecantrop!D401,"AAAAAFV3/cM=")</f>
        <v>#VALUE!</v>
      </c>
      <c r="GO146" t="e">
        <f>AND(tecantrop!E401,"AAAAAFV3/cQ=")</f>
        <v>#VALUE!</v>
      </c>
      <c r="GP146" t="e">
        <f>AND(tecantrop!F401,"AAAAAFV3/cU=")</f>
        <v>#VALUE!</v>
      </c>
      <c r="GQ146" t="e">
        <f>AND(tecantrop!G401,"AAAAAFV3/cY=")</f>
        <v>#VALUE!</v>
      </c>
      <c r="GR146" t="e">
        <f>AND(tecantrop!H401,"AAAAAFV3/cc=")</f>
        <v>#VALUE!</v>
      </c>
      <c r="GS146" t="e">
        <f>AND(tecantrop!I401,"AAAAAFV3/cg=")</f>
        <v>#VALUE!</v>
      </c>
      <c r="GT146" t="e">
        <f>AND(tecantrop!J401,"AAAAAFV3/ck=")</f>
        <v>#VALUE!</v>
      </c>
      <c r="GU146" t="e">
        <f>AND(tecantrop!K401,"AAAAAFV3/co=")</f>
        <v>#VALUE!</v>
      </c>
      <c r="GV146" t="e">
        <f>AND(tecantrop!L401,"AAAAAFV3/cs=")</f>
        <v>#VALUE!</v>
      </c>
      <c r="GW146" t="e">
        <f>AND(tecantrop!M401,"AAAAAFV3/cw=")</f>
        <v>#VALUE!</v>
      </c>
      <c r="GX146" t="e">
        <f>AND(tecantrop!N401,"AAAAAFV3/c0=")</f>
        <v>#VALUE!</v>
      </c>
      <c r="GY146" t="e">
        <f>AND(tecantrop!O401,"AAAAAFV3/c4=")</f>
        <v>#VALUE!</v>
      </c>
      <c r="GZ146" t="e">
        <f>AND(tecantrop!P401,"AAAAAFV3/c8=")</f>
        <v>#VALUE!</v>
      </c>
      <c r="HA146" t="e">
        <f>AND(tecantrop!Q401,"AAAAAFV3/dA=")</f>
        <v>#VALUE!</v>
      </c>
      <c r="HB146" t="e">
        <f>AND(tecantrop!R401,"AAAAAFV3/dE=")</f>
        <v>#VALUE!</v>
      </c>
      <c r="HC146" t="e">
        <f>AND(tecantrop!S401,"AAAAAFV3/dI=")</f>
        <v>#VALUE!</v>
      </c>
      <c r="HD146" t="e">
        <f>AND(tecantrop!T401,"AAAAAFV3/dM=")</f>
        <v>#VALUE!</v>
      </c>
      <c r="HE146" t="e">
        <f>AND(tecantrop!U401,"AAAAAFV3/dQ=")</f>
        <v>#VALUE!</v>
      </c>
      <c r="HF146" t="e">
        <f>AND(tecantrop!V401,"AAAAAFV3/dU=")</f>
        <v>#VALUE!</v>
      </c>
      <c r="HG146" t="e">
        <f>AND(tecantrop!W401,"AAAAAFV3/dY=")</f>
        <v>#VALUE!</v>
      </c>
      <c r="HH146" t="e">
        <f>AND(tecantrop!X401,"AAAAAFV3/dc=")</f>
        <v>#VALUE!</v>
      </c>
      <c r="HI146">
        <f>IF(tecantrop!402:402,"AAAAAFV3/dg=",0)</f>
        <v>0</v>
      </c>
      <c r="HJ146" t="e">
        <f>AND(tecantrop!A402,"AAAAAFV3/dk=")</f>
        <v>#VALUE!</v>
      </c>
      <c r="HK146" t="e">
        <f>AND(tecantrop!B402,"AAAAAFV3/do=")</f>
        <v>#VALUE!</v>
      </c>
      <c r="HL146" t="e">
        <f>AND(tecantrop!C402,"AAAAAFV3/ds=")</f>
        <v>#VALUE!</v>
      </c>
      <c r="HM146" t="e">
        <f>AND(tecantrop!D402,"AAAAAFV3/dw=")</f>
        <v>#VALUE!</v>
      </c>
      <c r="HN146" t="e">
        <f>AND(tecantrop!E402,"AAAAAFV3/d0=")</f>
        <v>#VALUE!</v>
      </c>
      <c r="HO146" t="e">
        <f>AND(tecantrop!F402,"AAAAAFV3/d4=")</f>
        <v>#VALUE!</v>
      </c>
      <c r="HP146" t="e">
        <f>AND(tecantrop!G402,"AAAAAFV3/d8=")</f>
        <v>#VALUE!</v>
      </c>
      <c r="HQ146" t="e">
        <f>AND(tecantrop!H402,"AAAAAFV3/eA=")</f>
        <v>#VALUE!</v>
      </c>
      <c r="HR146" t="e">
        <f>AND(tecantrop!I402,"AAAAAFV3/eE=")</f>
        <v>#VALUE!</v>
      </c>
      <c r="HS146" t="e">
        <f>AND(tecantrop!J402,"AAAAAFV3/eI=")</f>
        <v>#VALUE!</v>
      </c>
      <c r="HT146" t="e">
        <f>AND(tecantrop!K402,"AAAAAFV3/eM=")</f>
        <v>#VALUE!</v>
      </c>
      <c r="HU146" t="e">
        <f>AND(tecantrop!L402,"AAAAAFV3/eQ=")</f>
        <v>#VALUE!</v>
      </c>
      <c r="HV146" t="e">
        <f>AND(tecantrop!M402,"AAAAAFV3/eU=")</f>
        <v>#VALUE!</v>
      </c>
      <c r="HW146" t="e">
        <f>AND(tecantrop!N402,"AAAAAFV3/eY=")</f>
        <v>#VALUE!</v>
      </c>
      <c r="HX146" t="e">
        <f>AND(tecantrop!O402,"AAAAAFV3/ec=")</f>
        <v>#VALUE!</v>
      </c>
      <c r="HY146" t="e">
        <f>AND(tecantrop!P402,"AAAAAFV3/eg=")</f>
        <v>#VALUE!</v>
      </c>
      <c r="HZ146" t="e">
        <f>AND(tecantrop!Q402,"AAAAAFV3/ek=")</f>
        <v>#VALUE!</v>
      </c>
      <c r="IA146" t="e">
        <f>AND(tecantrop!R402,"AAAAAFV3/eo=")</f>
        <v>#VALUE!</v>
      </c>
      <c r="IB146" t="e">
        <f>AND(tecantrop!S402,"AAAAAFV3/es=")</f>
        <v>#VALUE!</v>
      </c>
      <c r="IC146" t="e">
        <f>AND(tecantrop!T402,"AAAAAFV3/ew=")</f>
        <v>#VALUE!</v>
      </c>
      <c r="ID146" t="e">
        <f>AND(tecantrop!U402,"AAAAAFV3/e0=")</f>
        <v>#VALUE!</v>
      </c>
      <c r="IE146" t="e">
        <f>AND(tecantrop!V402,"AAAAAFV3/e4=")</f>
        <v>#VALUE!</v>
      </c>
      <c r="IF146" t="e">
        <f>AND(tecantrop!W402,"AAAAAFV3/e8=")</f>
        <v>#VALUE!</v>
      </c>
      <c r="IG146" t="e">
        <f>AND(tecantrop!X402,"AAAAAFV3/fA=")</f>
        <v>#VALUE!</v>
      </c>
      <c r="IH146">
        <f>IF(tecantrop!403:403,"AAAAAFV3/fE=",0)</f>
        <v>0</v>
      </c>
      <c r="II146" t="e">
        <f>AND(tecantrop!A403,"AAAAAFV3/fI=")</f>
        <v>#VALUE!</v>
      </c>
      <c r="IJ146" t="e">
        <f>AND(tecantrop!B403,"AAAAAFV3/fM=")</f>
        <v>#VALUE!</v>
      </c>
      <c r="IK146" t="e">
        <f>AND(tecantrop!C403,"AAAAAFV3/fQ=")</f>
        <v>#VALUE!</v>
      </c>
      <c r="IL146" t="e">
        <f>AND(tecantrop!D403,"AAAAAFV3/fU=")</f>
        <v>#VALUE!</v>
      </c>
      <c r="IM146" t="e">
        <f>AND(tecantrop!E403,"AAAAAFV3/fY=")</f>
        <v>#VALUE!</v>
      </c>
      <c r="IN146" t="e">
        <f>AND(tecantrop!F403,"AAAAAFV3/fc=")</f>
        <v>#VALUE!</v>
      </c>
      <c r="IO146" t="e">
        <f>AND(tecantrop!G403,"AAAAAFV3/fg=")</f>
        <v>#VALUE!</v>
      </c>
      <c r="IP146" t="e">
        <f>AND(tecantrop!H403,"AAAAAFV3/fk=")</f>
        <v>#VALUE!</v>
      </c>
      <c r="IQ146" t="e">
        <f>AND(tecantrop!I403,"AAAAAFV3/fo=")</f>
        <v>#VALUE!</v>
      </c>
      <c r="IR146" t="e">
        <f>AND(tecantrop!J403,"AAAAAFV3/fs=")</f>
        <v>#VALUE!</v>
      </c>
      <c r="IS146" t="e">
        <f>AND(tecantrop!K403,"AAAAAFV3/fw=")</f>
        <v>#VALUE!</v>
      </c>
      <c r="IT146" t="e">
        <f>AND(tecantrop!L403,"AAAAAFV3/f0=")</f>
        <v>#VALUE!</v>
      </c>
      <c r="IU146" t="e">
        <f>AND(tecantrop!M403,"AAAAAFV3/f4=")</f>
        <v>#VALUE!</v>
      </c>
      <c r="IV146" t="e">
        <f>AND(tecantrop!N403,"AAAAAFV3/f8=")</f>
        <v>#VALUE!</v>
      </c>
    </row>
    <row r="147" spans="1:256" x14ac:dyDescent="0.2">
      <c r="A147" t="e">
        <f>AND(tecantrop!O403,"AAAAADyx/wA=")</f>
        <v>#VALUE!</v>
      </c>
      <c r="B147" t="e">
        <f>AND(tecantrop!P403,"AAAAADyx/wE=")</f>
        <v>#VALUE!</v>
      </c>
      <c r="C147" t="e">
        <f>AND(tecantrop!Q403,"AAAAADyx/wI=")</f>
        <v>#VALUE!</v>
      </c>
      <c r="D147" t="e">
        <f>AND(tecantrop!R403,"AAAAADyx/wM=")</f>
        <v>#VALUE!</v>
      </c>
      <c r="E147" t="e">
        <f>AND(tecantrop!S403,"AAAAADyx/wQ=")</f>
        <v>#VALUE!</v>
      </c>
      <c r="F147" t="e">
        <f>AND(tecantrop!T403,"AAAAADyx/wU=")</f>
        <v>#VALUE!</v>
      </c>
      <c r="G147" t="e">
        <f>AND(tecantrop!U403,"AAAAADyx/wY=")</f>
        <v>#VALUE!</v>
      </c>
      <c r="H147" t="e">
        <f>AND(tecantrop!V403,"AAAAADyx/wc=")</f>
        <v>#VALUE!</v>
      </c>
      <c r="I147" t="e">
        <f>AND(tecantrop!W403,"AAAAADyx/wg=")</f>
        <v>#VALUE!</v>
      </c>
      <c r="J147" t="e">
        <f>AND(tecantrop!X403,"AAAAADyx/wk=")</f>
        <v>#VALUE!</v>
      </c>
      <c r="K147">
        <f>IF(tecantrop!404:404,"AAAAADyx/wo=",0)</f>
        <v>0</v>
      </c>
      <c r="L147" t="e">
        <f>AND(tecantrop!A404,"AAAAADyx/ws=")</f>
        <v>#VALUE!</v>
      </c>
      <c r="M147" t="e">
        <f>AND(tecantrop!B404,"AAAAADyx/ww=")</f>
        <v>#VALUE!</v>
      </c>
      <c r="N147" t="e">
        <f>AND(tecantrop!C404,"AAAAADyx/w0=")</f>
        <v>#VALUE!</v>
      </c>
      <c r="O147" t="e">
        <f>AND(tecantrop!D404,"AAAAADyx/w4=")</f>
        <v>#VALUE!</v>
      </c>
      <c r="P147" t="e">
        <f>AND(tecantrop!E404,"AAAAADyx/w8=")</f>
        <v>#VALUE!</v>
      </c>
      <c r="Q147" t="e">
        <f>AND(tecantrop!F404,"AAAAADyx/xA=")</f>
        <v>#VALUE!</v>
      </c>
      <c r="R147" t="e">
        <f>AND(tecantrop!G404,"AAAAADyx/xE=")</f>
        <v>#VALUE!</v>
      </c>
      <c r="S147" t="e">
        <f>AND(tecantrop!H404,"AAAAADyx/xI=")</f>
        <v>#VALUE!</v>
      </c>
      <c r="T147" t="e">
        <f>AND(tecantrop!I404,"AAAAADyx/xM=")</f>
        <v>#VALUE!</v>
      </c>
      <c r="U147" t="e">
        <f>AND(tecantrop!J404,"AAAAADyx/xQ=")</f>
        <v>#VALUE!</v>
      </c>
      <c r="V147" t="e">
        <f>AND(tecantrop!K404,"AAAAADyx/xU=")</f>
        <v>#VALUE!</v>
      </c>
      <c r="W147" t="e">
        <f>AND(tecantrop!L404,"AAAAADyx/xY=")</f>
        <v>#VALUE!</v>
      </c>
      <c r="X147" t="e">
        <f>AND(tecantrop!M404,"AAAAADyx/xc=")</f>
        <v>#VALUE!</v>
      </c>
      <c r="Y147" t="e">
        <f>AND(tecantrop!N404,"AAAAADyx/xg=")</f>
        <v>#VALUE!</v>
      </c>
      <c r="Z147" t="e">
        <f>AND(tecantrop!O404,"AAAAADyx/xk=")</f>
        <v>#VALUE!</v>
      </c>
      <c r="AA147" t="e">
        <f>AND(tecantrop!P404,"AAAAADyx/xo=")</f>
        <v>#VALUE!</v>
      </c>
      <c r="AB147" t="e">
        <f>AND(tecantrop!Q404,"AAAAADyx/xs=")</f>
        <v>#VALUE!</v>
      </c>
      <c r="AC147" t="e">
        <f>AND(tecantrop!R404,"AAAAADyx/xw=")</f>
        <v>#VALUE!</v>
      </c>
      <c r="AD147" t="e">
        <f>AND(tecantrop!S404,"AAAAADyx/x0=")</f>
        <v>#VALUE!</v>
      </c>
      <c r="AE147" t="e">
        <f>AND(tecantrop!T404,"AAAAADyx/x4=")</f>
        <v>#VALUE!</v>
      </c>
      <c r="AF147" t="e">
        <f>AND(tecantrop!U404,"AAAAADyx/x8=")</f>
        <v>#VALUE!</v>
      </c>
      <c r="AG147" t="e">
        <f>AND(tecantrop!V404,"AAAAADyx/yA=")</f>
        <v>#VALUE!</v>
      </c>
      <c r="AH147" t="e">
        <f>AND(tecantrop!W404,"AAAAADyx/yE=")</f>
        <v>#VALUE!</v>
      </c>
      <c r="AI147" t="e">
        <f>AND(tecantrop!X404,"AAAAADyx/yI=")</f>
        <v>#VALUE!</v>
      </c>
      <c r="AJ147">
        <f>IF(tecantrop!405:405,"AAAAADyx/yM=",0)</f>
        <v>0</v>
      </c>
      <c r="AK147" t="e">
        <f>AND(tecantrop!A405,"AAAAADyx/yQ=")</f>
        <v>#VALUE!</v>
      </c>
      <c r="AL147" t="e">
        <f>AND(tecantrop!B405,"AAAAADyx/yU=")</f>
        <v>#VALUE!</v>
      </c>
      <c r="AM147" t="e">
        <f>AND(tecantrop!C405,"AAAAADyx/yY=")</f>
        <v>#VALUE!</v>
      </c>
      <c r="AN147" t="e">
        <f>AND(tecantrop!D405,"AAAAADyx/yc=")</f>
        <v>#VALUE!</v>
      </c>
      <c r="AO147" t="e">
        <f>AND(tecantrop!E405,"AAAAADyx/yg=")</f>
        <v>#VALUE!</v>
      </c>
      <c r="AP147" t="e">
        <f>AND(tecantrop!F405,"AAAAADyx/yk=")</f>
        <v>#VALUE!</v>
      </c>
      <c r="AQ147" t="e">
        <f>AND(tecantrop!G405,"AAAAADyx/yo=")</f>
        <v>#VALUE!</v>
      </c>
      <c r="AR147" t="e">
        <f>AND(tecantrop!H405,"AAAAADyx/ys=")</f>
        <v>#VALUE!</v>
      </c>
      <c r="AS147" t="e">
        <f>AND(tecantrop!I405,"AAAAADyx/yw=")</f>
        <v>#VALUE!</v>
      </c>
      <c r="AT147" t="e">
        <f>AND(tecantrop!J405,"AAAAADyx/y0=")</f>
        <v>#VALUE!</v>
      </c>
      <c r="AU147" t="e">
        <f>AND(tecantrop!K405,"AAAAADyx/y4=")</f>
        <v>#VALUE!</v>
      </c>
      <c r="AV147" t="e">
        <f>AND(tecantrop!L405,"AAAAADyx/y8=")</f>
        <v>#VALUE!</v>
      </c>
      <c r="AW147" t="e">
        <f>AND(tecantrop!M405,"AAAAADyx/zA=")</f>
        <v>#VALUE!</v>
      </c>
      <c r="AX147" t="e">
        <f>AND(tecantrop!N405,"AAAAADyx/zE=")</f>
        <v>#VALUE!</v>
      </c>
      <c r="AY147" t="e">
        <f>AND(tecantrop!O405,"AAAAADyx/zI=")</f>
        <v>#VALUE!</v>
      </c>
      <c r="AZ147" t="e">
        <f>AND(tecantrop!P405,"AAAAADyx/zM=")</f>
        <v>#VALUE!</v>
      </c>
      <c r="BA147" t="e">
        <f>AND(tecantrop!Q405,"AAAAADyx/zQ=")</f>
        <v>#VALUE!</v>
      </c>
      <c r="BB147" t="e">
        <f>AND(tecantrop!R405,"AAAAADyx/zU=")</f>
        <v>#VALUE!</v>
      </c>
      <c r="BC147" t="e">
        <f>AND(tecantrop!S405,"AAAAADyx/zY=")</f>
        <v>#VALUE!</v>
      </c>
      <c r="BD147" t="e">
        <f>AND(tecantrop!T405,"AAAAADyx/zc=")</f>
        <v>#VALUE!</v>
      </c>
      <c r="BE147" t="e">
        <f>AND(tecantrop!U405,"AAAAADyx/zg=")</f>
        <v>#VALUE!</v>
      </c>
      <c r="BF147" t="e">
        <f>AND(tecantrop!V405,"AAAAADyx/zk=")</f>
        <v>#VALUE!</v>
      </c>
      <c r="BG147" t="e">
        <f>AND(tecantrop!W405,"AAAAADyx/zo=")</f>
        <v>#VALUE!</v>
      </c>
      <c r="BH147" t="e">
        <f>AND(tecantrop!X405,"AAAAADyx/zs=")</f>
        <v>#VALUE!</v>
      </c>
      <c r="BI147">
        <f>IF(tecantrop!406:406,"AAAAADyx/zw=",0)</f>
        <v>0</v>
      </c>
      <c r="BJ147" t="e">
        <f>AND(tecantrop!A406,"AAAAADyx/z0=")</f>
        <v>#VALUE!</v>
      </c>
      <c r="BK147" t="e">
        <f>AND(tecantrop!B406,"AAAAADyx/z4=")</f>
        <v>#VALUE!</v>
      </c>
      <c r="BL147" t="e">
        <f>AND(tecantrop!C406,"AAAAADyx/z8=")</f>
        <v>#VALUE!</v>
      </c>
      <c r="BM147" t="e">
        <f>AND(tecantrop!D406,"AAAAADyx/0A=")</f>
        <v>#VALUE!</v>
      </c>
      <c r="BN147" t="e">
        <f>AND(tecantrop!E406,"AAAAADyx/0E=")</f>
        <v>#VALUE!</v>
      </c>
      <c r="BO147" t="e">
        <f>AND(tecantrop!F406,"AAAAADyx/0I=")</f>
        <v>#VALUE!</v>
      </c>
      <c r="BP147" t="e">
        <f>AND(tecantrop!G406,"AAAAADyx/0M=")</f>
        <v>#VALUE!</v>
      </c>
      <c r="BQ147" t="e">
        <f>AND(tecantrop!H406,"AAAAADyx/0Q=")</f>
        <v>#VALUE!</v>
      </c>
      <c r="BR147" t="e">
        <f>AND(tecantrop!I406,"AAAAADyx/0U=")</f>
        <v>#VALUE!</v>
      </c>
      <c r="BS147" t="e">
        <f>AND(tecantrop!J406,"AAAAADyx/0Y=")</f>
        <v>#VALUE!</v>
      </c>
      <c r="BT147" t="e">
        <f>AND(tecantrop!K406,"AAAAADyx/0c=")</f>
        <v>#VALUE!</v>
      </c>
      <c r="BU147" t="e">
        <f>AND(tecantrop!L406,"AAAAADyx/0g=")</f>
        <v>#VALUE!</v>
      </c>
      <c r="BV147" t="e">
        <f>AND(tecantrop!M406,"AAAAADyx/0k=")</f>
        <v>#VALUE!</v>
      </c>
      <c r="BW147" t="e">
        <f>AND(tecantrop!N406,"AAAAADyx/0o=")</f>
        <v>#VALUE!</v>
      </c>
      <c r="BX147" t="e">
        <f>AND(tecantrop!O406,"AAAAADyx/0s=")</f>
        <v>#VALUE!</v>
      </c>
      <c r="BY147" t="e">
        <f>AND(tecantrop!P406,"AAAAADyx/0w=")</f>
        <v>#VALUE!</v>
      </c>
      <c r="BZ147" t="e">
        <f>AND(tecantrop!Q406,"AAAAADyx/00=")</f>
        <v>#VALUE!</v>
      </c>
      <c r="CA147" t="e">
        <f>AND(tecantrop!R406,"AAAAADyx/04=")</f>
        <v>#VALUE!</v>
      </c>
      <c r="CB147" t="e">
        <f>AND(tecantrop!S406,"AAAAADyx/08=")</f>
        <v>#VALUE!</v>
      </c>
      <c r="CC147" t="e">
        <f>AND(tecantrop!T406,"AAAAADyx/1A=")</f>
        <v>#VALUE!</v>
      </c>
      <c r="CD147" t="e">
        <f>AND(tecantrop!U406,"AAAAADyx/1E=")</f>
        <v>#VALUE!</v>
      </c>
      <c r="CE147" t="e">
        <f>AND(tecantrop!V406,"AAAAADyx/1I=")</f>
        <v>#VALUE!</v>
      </c>
      <c r="CF147" t="e">
        <f>AND(tecantrop!W406,"AAAAADyx/1M=")</f>
        <v>#VALUE!</v>
      </c>
      <c r="CG147" t="e">
        <f>AND(tecantrop!X406,"AAAAADyx/1Q=")</f>
        <v>#VALUE!</v>
      </c>
      <c r="CH147">
        <f>IF(tecantrop!407:407,"AAAAADyx/1U=",0)</f>
        <v>0</v>
      </c>
      <c r="CI147" t="e">
        <f>AND(tecantrop!A407,"AAAAADyx/1Y=")</f>
        <v>#VALUE!</v>
      </c>
      <c r="CJ147" t="e">
        <f>AND(tecantrop!B407,"AAAAADyx/1c=")</f>
        <v>#VALUE!</v>
      </c>
      <c r="CK147" t="e">
        <f>AND(tecantrop!C407,"AAAAADyx/1g=")</f>
        <v>#VALUE!</v>
      </c>
      <c r="CL147" t="e">
        <f>AND(tecantrop!D407,"AAAAADyx/1k=")</f>
        <v>#VALUE!</v>
      </c>
      <c r="CM147" t="e">
        <f>AND(tecantrop!E407,"AAAAADyx/1o=")</f>
        <v>#VALUE!</v>
      </c>
      <c r="CN147" t="e">
        <f>AND(tecantrop!F407,"AAAAADyx/1s=")</f>
        <v>#VALUE!</v>
      </c>
      <c r="CO147" t="e">
        <f>AND(tecantrop!G407,"AAAAADyx/1w=")</f>
        <v>#VALUE!</v>
      </c>
      <c r="CP147" t="e">
        <f>AND(tecantrop!H407,"AAAAADyx/10=")</f>
        <v>#VALUE!</v>
      </c>
      <c r="CQ147" t="e">
        <f>AND(tecantrop!I407,"AAAAADyx/14=")</f>
        <v>#VALUE!</v>
      </c>
      <c r="CR147" t="e">
        <f>AND(tecantrop!J407,"AAAAADyx/18=")</f>
        <v>#VALUE!</v>
      </c>
      <c r="CS147" t="e">
        <f>AND(tecantrop!K407,"AAAAADyx/2A=")</f>
        <v>#VALUE!</v>
      </c>
      <c r="CT147" t="e">
        <f>AND(tecantrop!L407,"AAAAADyx/2E=")</f>
        <v>#VALUE!</v>
      </c>
      <c r="CU147" t="e">
        <f>AND(tecantrop!M407,"AAAAADyx/2I=")</f>
        <v>#VALUE!</v>
      </c>
      <c r="CV147" t="e">
        <f>AND(tecantrop!N407,"AAAAADyx/2M=")</f>
        <v>#VALUE!</v>
      </c>
      <c r="CW147" t="e">
        <f>AND(tecantrop!O407,"AAAAADyx/2Q=")</f>
        <v>#VALUE!</v>
      </c>
      <c r="CX147" t="e">
        <f>AND(tecantrop!P407,"AAAAADyx/2U=")</f>
        <v>#VALUE!</v>
      </c>
      <c r="CY147" t="e">
        <f>AND(tecantrop!Q407,"AAAAADyx/2Y=")</f>
        <v>#VALUE!</v>
      </c>
      <c r="CZ147" t="e">
        <f>AND(tecantrop!R407,"AAAAADyx/2c=")</f>
        <v>#VALUE!</v>
      </c>
      <c r="DA147" t="e">
        <f>AND(tecantrop!S407,"AAAAADyx/2g=")</f>
        <v>#VALUE!</v>
      </c>
      <c r="DB147" t="e">
        <f>AND(tecantrop!T407,"AAAAADyx/2k=")</f>
        <v>#VALUE!</v>
      </c>
      <c r="DC147" t="e">
        <f>AND(tecantrop!U407,"AAAAADyx/2o=")</f>
        <v>#VALUE!</v>
      </c>
      <c r="DD147" t="e">
        <f>AND(tecantrop!V407,"AAAAADyx/2s=")</f>
        <v>#VALUE!</v>
      </c>
      <c r="DE147" t="e">
        <f>AND(tecantrop!W407,"AAAAADyx/2w=")</f>
        <v>#VALUE!</v>
      </c>
      <c r="DF147" t="e">
        <f>AND(tecantrop!X407,"AAAAADyx/20=")</f>
        <v>#VALUE!</v>
      </c>
      <c r="DG147">
        <f>IF(tecantrop!408:408,"AAAAADyx/24=",0)</f>
        <v>0</v>
      </c>
      <c r="DH147" t="e">
        <f>AND(tecantrop!A408,"AAAAADyx/28=")</f>
        <v>#VALUE!</v>
      </c>
      <c r="DI147" t="e">
        <f>AND(tecantrop!B408,"AAAAADyx/3A=")</f>
        <v>#VALUE!</v>
      </c>
      <c r="DJ147" t="e">
        <f>AND(tecantrop!C408,"AAAAADyx/3E=")</f>
        <v>#VALUE!</v>
      </c>
      <c r="DK147" t="e">
        <f>AND(tecantrop!D408,"AAAAADyx/3I=")</f>
        <v>#VALUE!</v>
      </c>
      <c r="DL147" t="e">
        <f>AND(tecantrop!E408,"AAAAADyx/3M=")</f>
        <v>#VALUE!</v>
      </c>
      <c r="DM147" t="e">
        <f>AND(tecantrop!F408,"AAAAADyx/3Q=")</f>
        <v>#VALUE!</v>
      </c>
      <c r="DN147" t="e">
        <f>AND(tecantrop!G408,"AAAAADyx/3U=")</f>
        <v>#VALUE!</v>
      </c>
      <c r="DO147" t="e">
        <f>AND(tecantrop!H408,"AAAAADyx/3Y=")</f>
        <v>#VALUE!</v>
      </c>
      <c r="DP147" t="e">
        <f>AND(tecantrop!I408,"AAAAADyx/3c=")</f>
        <v>#VALUE!</v>
      </c>
      <c r="DQ147" t="e">
        <f>AND(tecantrop!J408,"AAAAADyx/3g=")</f>
        <v>#VALUE!</v>
      </c>
      <c r="DR147" t="e">
        <f>AND(tecantrop!K408,"AAAAADyx/3k=")</f>
        <v>#VALUE!</v>
      </c>
      <c r="DS147" t="e">
        <f>AND(tecantrop!L408,"AAAAADyx/3o=")</f>
        <v>#VALUE!</v>
      </c>
      <c r="DT147" t="e">
        <f>AND(tecantrop!M408,"AAAAADyx/3s=")</f>
        <v>#VALUE!</v>
      </c>
      <c r="DU147" t="e">
        <f>AND(tecantrop!N408,"AAAAADyx/3w=")</f>
        <v>#VALUE!</v>
      </c>
      <c r="DV147" t="e">
        <f>AND(tecantrop!O408,"AAAAADyx/30=")</f>
        <v>#VALUE!</v>
      </c>
      <c r="DW147" t="e">
        <f>AND(tecantrop!P408,"AAAAADyx/34=")</f>
        <v>#VALUE!</v>
      </c>
      <c r="DX147" t="e">
        <f>AND(tecantrop!Q408,"AAAAADyx/38=")</f>
        <v>#VALUE!</v>
      </c>
      <c r="DY147" t="e">
        <f>AND(tecantrop!R408,"AAAAADyx/4A=")</f>
        <v>#VALUE!</v>
      </c>
      <c r="DZ147" t="e">
        <f>AND(tecantrop!S408,"AAAAADyx/4E=")</f>
        <v>#VALUE!</v>
      </c>
      <c r="EA147" t="e">
        <f>AND(tecantrop!T408,"AAAAADyx/4I=")</f>
        <v>#VALUE!</v>
      </c>
      <c r="EB147" t="e">
        <f>AND(tecantrop!U408,"AAAAADyx/4M=")</f>
        <v>#VALUE!</v>
      </c>
      <c r="EC147" t="e">
        <f>AND(tecantrop!V408,"AAAAADyx/4Q=")</f>
        <v>#VALUE!</v>
      </c>
      <c r="ED147" t="e">
        <f>AND(tecantrop!W408,"AAAAADyx/4U=")</f>
        <v>#VALUE!</v>
      </c>
      <c r="EE147" t="e">
        <f>AND(tecantrop!X408,"AAAAADyx/4Y=")</f>
        <v>#VALUE!</v>
      </c>
      <c r="EF147">
        <f>IF(tecantrop!409:409,"AAAAADyx/4c=",0)</f>
        <v>0</v>
      </c>
      <c r="EG147" t="e">
        <f>AND(tecantrop!A409,"AAAAADyx/4g=")</f>
        <v>#VALUE!</v>
      </c>
      <c r="EH147" t="e">
        <f>AND(tecantrop!B409,"AAAAADyx/4k=")</f>
        <v>#VALUE!</v>
      </c>
      <c r="EI147" t="e">
        <f>AND(tecantrop!C409,"AAAAADyx/4o=")</f>
        <v>#VALUE!</v>
      </c>
      <c r="EJ147" t="e">
        <f>AND(tecantrop!D409,"AAAAADyx/4s=")</f>
        <v>#VALUE!</v>
      </c>
      <c r="EK147" t="e">
        <f>AND(tecantrop!E409,"AAAAADyx/4w=")</f>
        <v>#VALUE!</v>
      </c>
      <c r="EL147" t="e">
        <f>AND(tecantrop!F409,"AAAAADyx/40=")</f>
        <v>#VALUE!</v>
      </c>
      <c r="EM147" t="e">
        <f>AND(tecantrop!G409,"AAAAADyx/44=")</f>
        <v>#VALUE!</v>
      </c>
      <c r="EN147" t="e">
        <f>AND(tecantrop!H409,"AAAAADyx/48=")</f>
        <v>#VALUE!</v>
      </c>
      <c r="EO147" t="e">
        <f>AND(tecantrop!I409,"AAAAADyx/5A=")</f>
        <v>#VALUE!</v>
      </c>
      <c r="EP147" t="e">
        <f>AND(tecantrop!J409,"AAAAADyx/5E=")</f>
        <v>#VALUE!</v>
      </c>
      <c r="EQ147" t="e">
        <f>AND(tecantrop!K409,"AAAAADyx/5I=")</f>
        <v>#VALUE!</v>
      </c>
      <c r="ER147" t="e">
        <f>AND(tecantrop!L409,"AAAAADyx/5M=")</f>
        <v>#VALUE!</v>
      </c>
      <c r="ES147" t="e">
        <f>AND(tecantrop!M409,"AAAAADyx/5Q=")</f>
        <v>#VALUE!</v>
      </c>
      <c r="ET147" t="e">
        <f>AND(tecantrop!N409,"AAAAADyx/5U=")</f>
        <v>#VALUE!</v>
      </c>
      <c r="EU147" t="e">
        <f>AND(tecantrop!O409,"AAAAADyx/5Y=")</f>
        <v>#VALUE!</v>
      </c>
      <c r="EV147" t="e">
        <f>AND(tecantrop!P409,"AAAAADyx/5c=")</f>
        <v>#VALUE!</v>
      </c>
      <c r="EW147" t="e">
        <f>AND(tecantrop!Q409,"AAAAADyx/5g=")</f>
        <v>#VALUE!</v>
      </c>
      <c r="EX147" t="e">
        <f>AND(tecantrop!R409,"AAAAADyx/5k=")</f>
        <v>#VALUE!</v>
      </c>
      <c r="EY147" t="e">
        <f>AND(tecantrop!S409,"AAAAADyx/5o=")</f>
        <v>#VALUE!</v>
      </c>
      <c r="EZ147" t="e">
        <f>AND(tecantrop!T409,"AAAAADyx/5s=")</f>
        <v>#VALUE!</v>
      </c>
      <c r="FA147" t="e">
        <f>AND(tecantrop!U409,"AAAAADyx/5w=")</f>
        <v>#VALUE!</v>
      </c>
      <c r="FB147" t="e">
        <f>AND(tecantrop!V409,"AAAAADyx/50=")</f>
        <v>#VALUE!</v>
      </c>
      <c r="FC147" t="e">
        <f>AND(tecantrop!W409,"AAAAADyx/54=")</f>
        <v>#VALUE!</v>
      </c>
      <c r="FD147" t="e">
        <f>AND(tecantrop!X409,"AAAAADyx/58=")</f>
        <v>#VALUE!</v>
      </c>
      <c r="FE147">
        <f>IF(tecantrop!410:410,"AAAAADyx/6A=",0)</f>
        <v>0</v>
      </c>
      <c r="FF147" t="e">
        <f>AND(tecantrop!A410,"AAAAADyx/6E=")</f>
        <v>#VALUE!</v>
      </c>
      <c r="FG147" t="e">
        <f>AND(tecantrop!B410,"AAAAADyx/6I=")</f>
        <v>#VALUE!</v>
      </c>
      <c r="FH147" t="e">
        <f>AND(tecantrop!C410,"AAAAADyx/6M=")</f>
        <v>#VALUE!</v>
      </c>
      <c r="FI147" t="e">
        <f>AND(tecantrop!D410,"AAAAADyx/6Q=")</f>
        <v>#VALUE!</v>
      </c>
      <c r="FJ147" t="e">
        <f>AND(tecantrop!E410,"AAAAADyx/6U=")</f>
        <v>#VALUE!</v>
      </c>
      <c r="FK147" t="e">
        <f>AND(tecantrop!F410,"AAAAADyx/6Y=")</f>
        <v>#VALUE!</v>
      </c>
      <c r="FL147" t="e">
        <f>AND(tecantrop!G410,"AAAAADyx/6c=")</f>
        <v>#VALUE!</v>
      </c>
      <c r="FM147" t="e">
        <f>AND(tecantrop!H410,"AAAAADyx/6g=")</f>
        <v>#VALUE!</v>
      </c>
      <c r="FN147" t="e">
        <f>AND(tecantrop!I410,"AAAAADyx/6k=")</f>
        <v>#VALUE!</v>
      </c>
      <c r="FO147" t="e">
        <f>AND(tecantrop!J410,"AAAAADyx/6o=")</f>
        <v>#VALUE!</v>
      </c>
      <c r="FP147" t="e">
        <f>AND(tecantrop!K410,"AAAAADyx/6s=")</f>
        <v>#VALUE!</v>
      </c>
      <c r="FQ147" t="e">
        <f>AND(tecantrop!L410,"AAAAADyx/6w=")</f>
        <v>#VALUE!</v>
      </c>
      <c r="FR147" t="e">
        <f>AND(tecantrop!M410,"AAAAADyx/60=")</f>
        <v>#VALUE!</v>
      </c>
      <c r="FS147" t="e">
        <f>AND(tecantrop!N410,"AAAAADyx/64=")</f>
        <v>#VALUE!</v>
      </c>
      <c r="FT147" t="e">
        <f>AND(tecantrop!O410,"AAAAADyx/68=")</f>
        <v>#VALUE!</v>
      </c>
      <c r="FU147" t="e">
        <f>AND(tecantrop!P410,"AAAAADyx/7A=")</f>
        <v>#VALUE!</v>
      </c>
      <c r="FV147" t="e">
        <f>AND(tecantrop!Q410,"AAAAADyx/7E=")</f>
        <v>#VALUE!</v>
      </c>
      <c r="FW147" t="e">
        <f>AND(tecantrop!R410,"AAAAADyx/7I=")</f>
        <v>#VALUE!</v>
      </c>
      <c r="FX147" t="e">
        <f>AND(tecantrop!S410,"AAAAADyx/7M=")</f>
        <v>#VALUE!</v>
      </c>
      <c r="FY147" t="e">
        <f>AND(tecantrop!T410,"AAAAADyx/7Q=")</f>
        <v>#VALUE!</v>
      </c>
      <c r="FZ147" t="e">
        <f>AND(tecantrop!U410,"AAAAADyx/7U=")</f>
        <v>#VALUE!</v>
      </c>
      <c r="GA147" t="e">
        <f>AND(tecantrop!V410,"AAAAADyx/7Y=")</f>
        <v>#VALUE!</v>
      </c>
      <c r="GB147" t="e">
        <f>AND(tecantrop!W410,"AAAAADyx/7c=")</f>
        <v>#VALUE!</v>
      </c>
      <c r="GC147" t="e">
        <f>AND(tecantrop!X410,"AAAAADyx/7g=")</f>
        <v>#VALUE!</v>
      </c>
      <c r="GD147">
        <f>IF(tecantrop!411:411,"AAAAADyx/7k=",0)</f>
        <v>0</v>
      </c>
      <c r="GE147" t="e">
        <f>AND(tecantrop!A411,"AAAAADyx/7o=")</f>
        <v>#VALUE!</v>
      </c>
      <c r="GF147" t="e">
        <f>AND(tecantrop!B411,"AAAAADyx/7s=")</f>
        <v>#VALUE!</v>
      </c>
      <c r="GG147" t="e">
        <f>AND(tecantrop!C411,"AAAAADyx/7w=")</f>
        <v>#VALUE!</v>
      </c>
      <c r="GH147" t="e">
        <f>AND(tecantrop!D411,"AAAAADyx/70=")</f>
        <v>#VALUE!</v>
      </c>
      <c r="GI147" t="e">
        <f>AND(tecantrop!E411,"AAAAADyx/74=")</f>
        <v>#VALUE!</v>
      </c>
      <c r="GJ147" t="e">
        <f>AND(tecantrop!F411,"AAAAADyx/78=")</f>
        <v>#VALUE!</v>
      </c>
      <c r="GK147" t="e">
        <f>AND(tecantrop!G411,"AAAAADyx/8A=")</f>
        <v>#VALUE!</v>
      </c>
      <c r="GL147" t="e">
        <f>AND(tecantrop!H411,"AAAAADyx/8E=")</f>
        <v>#VALUE!</v>
      </c>
      <c r="GM147" t="e">
        <f>AND(tecantrop!I411,"AAAAADyx/8I=")</f>
        <v>#VALUE!</v>
      </c>
      <c r="GN147" t="e">
        <f>AND(tecantrop!J411,"AAAAADyx/8M=")</f>
        <v>#VALUE!</v>
      </c>
      <c r="GO147" t="e">
        <f>AND(tecantrop!K411,"AAAAADyx/8Q=")</f>
        <v>#VALUE!</v>
      </c>
      <c r="GP147" t="e">
        <f>AND(tecantrop!L411,"AAAAADyx/8U=")</f>
        <v>#VALUE!</v>
      </c>
      <c r="GQ147" t="e">
        <f>AND(tecantrop!M411,"AAAAADyx/8Y=")</f>
        <v>#VALUE!</v>
      </c>
      <c r="GR147" t="e">
        <f>AND(tecantrop!N411,"AAAAADyx/8c=")</f>
        <v>#VALUE!</v>
      </c>
      <c r="GS147" t="e">
        <f>AND(tecantrop!O411,"AAAAADyx/8g=")</f>
        <v>#VALUE!</v>
      </c>
      <c r="GT147" t="e">
        <f>AND(tecantrop!P411,"AAAAADyx/8k=")</f>
        <v>#VALUE!</v>
      </c>
      <c r="GU147" t="e">
        <f>AND(tecantrop!Q411,"AAAAADyx/8o=")</f>
        <v>#VALUE!</v>
      </c>
      <c r="GV147" t="e">
        <f>AND(tecantrop!R411,"AAAAADyx/8s=")</f>
        <v>#VALUE!</v>
      </c>
      <c r="GW147" t="e">
        <f>AND(tecantrop!S411,"AAAAADyx/8w=")</f>
        <v>#VALUE!</v>
      </c>
      <c r="GX147" t="e">
        <f>AND(tecantrop!T411,"AAAAADyx/80=")</f>
        <v>#VALUE!</v>
      </c>
      <c r="GY147" t="e">
        <f>AND(tecantrop!U411,"AAAAADyx/84=")</f>
        <v>#VALUE!</v>
      </c>
      <c r="GZ147" t="e">
        <f>AND(tecantrop!V411,"AAAAADyx/88=")</f>
        <v>#VALUE!</v>
      </c>
      <c r="HA147" t="e">
        <f>AND(tecantrop!W411,"AAAAADyx/9A=")</f>
        <v>#VALUE!</v>
      </c>
      <c r="HB147" t="e">
        <f>AND(tecantrop!X411,"AAAAADyx/9E=")</f>
        <v>#VALUE!</v>
      </c>
      <c r="HC147">
        <f>IF(tecantrop!412:412,"AAAAADyx/9I=",0)</f>
        <v>0</v>
      </c>
      <c r="HD147" t="e">
        <f>AND(tecantrop!A412,"AAAAADyx/9M=")</f>
        <v>#VALUE!</v>
      </c>
      <c r="HE147" t="e">
        <f>AND(tecantrop!B412,"AAAAADyx/9Q=")</f>
        <v>#VALUE!</v>
      </c>
      <c r="HF147" t="e">
        <f>AND(tecantrop!C412,"AAAAADyx/9U=")</f>
        <v>#VALUE!</v>
      </c>
      <c r="HG147" t="e">
        <f>AND(tecantrop!D412,"AAAAADyx/9Y=")</f>
        <v>#VALUE!</v>
      </c>
      <c r="HH147" t="e">
        <f>AND(tecantrop!E412,"AAAAADyx/9c=")</f>
        <v>#VALUE!</v>
      </c>
      <c r="HI147" t="e">
        <f>AND(tecantrop!F412,"AAAAADyx/9g=")</f>
        <v>#VALUE!</v>
      </c>
      <c r="HJ147" t="e">
        <f>AND(tecantrop!G412,"AAAAADyx/9k=")</f>
        <v>#VALUE!</v>
      </c>
      <c r="HK147" t="e">
        <f>AND(tecantrop!H412,"AAAAADyx/9o=")</f>
        <v>#VALUE!</v>
      </c>
      <c r="HL147" t="e">
        <f>AND(tecantrop!I412,"AAAAADyx/9s=")</f>
        <v>#VALUE!</v>
      </c>
      <c r="HM147" t="e">
        <f>AND(tecantrop!J412,"AAAAADyx/9w=")</f>
        <v>#VALUE!</v>
      </c>
      <c r="HN147" t="e">
        <f>AND(tecantrop!K412,"AAAAADyx/90=")</f>
        <v>#VALUE!</v>
      </c>
      <c r="HO147" t="e">
        <f>AND(tecantrop!L412,"AAAAADyx/94=")</f>
        <v>#VALUE!</v>
      </c>
      <c r="HP147" t="e">
        <f>AND(tecantrop!M412,"AAAAADyx/98=")</f>
        <v>#VALUE!</v>
      </c>
      <c r="HQ147" t="e">
        <f>AND(tecantrop!N412,"AAAAADyx/+A=")</f>
        <v>#VALUE!</v>
      </c>
      <c r="HR147" t="e">
        <f>AND(tecantrop!O412,"AAAAADyx/+E=")</f>
        <v>#VALUE!</v>
      </c>
      <c r="HS147" t="e">
        <f>AND(tecantrop!P412,"AAAAADyx/+I=")</f>
        <v>#VALUE!</v>
      </c>
      <c r="HT147" t="e">
        <f>AND(tecantrop!Q412,"AAAAADyx/+M=")</f>
        <v>#VALUE!</v>
      </c>
      <c r="HU147" t="e">
        <f>AND(tecantrop!R412,"AAAAADyx/+Q=")</f>
        <v>#VALUE!</v>
      </c>
      <c r="HV147" t="e">
        <f>AND(tecantrop!S412,"AAAAADyx/+U=")</f>
        <v>#VALUE!</v>
      </c>
      <c r="HW147" t="e">
        <f>AND(tecantrop!T412,"AAAAADyx/+Y=")</f>
        <v>#VALUE!</v>
      </c>
      <c r="HX147" t="e">
        <f>AND(tecantrop!U412,"AAAAADyx/+c=")</f>
        <v>#VALUE!</v>
      </c>
      <c r="HY147" t="e">
        <f>AND(tecantrop!V412,"AAAAADyx/+g=")</f>
        <v>#VALUE!</v>
      </c>
      <c r="HZ147" t="e">
        <f>AND(tecantrop!W412,"AAAAADyx/+k=")</f>
        <v>#VALUE!</v>
      </c>
      <c r="IA147" t="e">
        <f>AND(tecantrop!X412,"AAAAADyx/+o=")</f>
        <v>#VALUE!</v>
      </c>
      <c r="IB147">
        <f>IF(tecantrop!413:413,"AAAAADyx/+s=",0)</f>
        <v>0</v>
      </c>
      <c r="IC147" t="e">
        <f>AND(tecantrop!A413,"AAAAADyx/+w=")</f>
        <v>#VALUE!</v>
      </c>
      <c r="ID147" t="e">
        <f>AND(tecantrop!B413,"AAAAADyx/+0=")</f>
        <v>#VALUE!</v>
      </c>
      <c r="IE147" t="e">
        <f>AND(tecantrop!C413,"AAAAADyx/+4=")</f>
        <v>#VALUE!</v>
      </c>
      <c r="IF147" t="e">
        <f>AND(tecantrop!D413,"AAAAADyx/+8=")</f>
        <v>#VALUE!</v>
      </c>
      <c r="IG147" t="e">
        <f>AND(tecantrop!E413,"AAAAADyx//A=")</f>
        <v>#VALUE!</v>
      </c>
      <c r="IH147" t="e">
        <f>AND(tecantrop!F413,"AAAAADyx//E=")</f>
        <v>#VALUE!</v>
      </c>
      <c r="II147" t="e">
        <f>AND(tecantrop!G413,"AAAAADyx//I=")</f>
        <v>#VALUE!</v>
      </c>
      <c r="IJ147" t="e">
        <f>AND(tecantrop!H413,"AAAAADyx//M=")</f>
        <v>#VALUE!</v>
      </c>
      <c r="IK147" t="e">
        <f>AND(tecantrop!I413,"AAAAADyx//Q=")</f>
        <v>#VALUE!</v>
      </c>
      <c r="IL147" t="e">
        <f>AND(tecantrop!J413,"AAAAADyx//U=")</f>
        <v>#VALUE!</v>
      </c>
      <c r="IM147" t="e">
        <f>AND(tecantrop!K413,"AAAAADyx//Y=")</f>
        <v>#VALUE!</v>
      </c>
      <c r="IN147" t="e">
        <f>AND(tecantrop!L413,"AAAAADyx//c=")</f>
        <v>#VALUE!</v>
      </c>
      <c r="IO147" t="e">
        <f>AND(tecantrop!M413,"AAAAADyx//g=")</f>
        <v>#VALUE!</v>
      </c>
      <c r="IP147" t="e">
        <f>AND(tecantrop!N413,"AAAAADyx//k=")</f>
        <v>#VALUE!</v>
      </c>
      <c r="IQ147" t="e">
        <f>AND(tecantrop!O413,"AAAAADyx//o=")</f>
        <v>#VALUE!</v>
      </c>
      <c r="IR147" t="e">
        <f>AND(tecantrop!P413,"AAAAADyx//s=")</f>
        <v>#VALUE!</v>
      </c>
      <c r="IS147" t="e">
        <f>AND(tecantrop!Q413,"AAAAADyx//w=")</f>
        <v>#VALUE!</v>
      </c>
      <c r="IT147" t="e">
        <f>AND(tecantrop!R413,"AAAAADyx//0=")</f>
        <v>#VALUE!</v>
      </c>
      <c r="IU147" t="e">
        <f>AND(tecantrop!S413,"AAAAADyx//4=")</f>
        <v>#VALUE!</v>
      </c>
      <c r="IV147" t="e">
        <f>AND(tecantrop!T413,"AAAAADyx//8=")</f>
        <v>#VALUE!</v>
      </c>
    </row>
    <row r="148" spans="1:256" x14ac:dyDescent="0.2">
      <c r="A148" t="e">
        <f>AND(tecantrop!U413,"AAAAAGw+2QA=")</f>
        <v>#VALUE!</v>
      </c>
      <c r="B148" t="e">
        <f>AND(tecantrop!V413,"AAAAAGw+2QE=")</f>
        <v>#VALUE!</v>
      </c>
      <c r="C148" t="e">
        <f>AND(tecantrop!W413,"AAAAAGw+2QI=")</f>
        <v>#VALUE!</v>
      </c>
      <c r="D148" t="e">
        <f>AND(tecantrop!X413,"AAAAAGw+2QM=")</f>
        <v>#VALUE!</v>
      </c>
      <c r="E148">
        <f>IF(tecantrop!414:414,"AAAAAGw+2QQ=",0)</f>
        <v>0</v>
      </c>
      <c r="F148" t="e">
        <f>AND(tecantrop!A414,"AAAAAGw+2QU=")</f>
        <v>#VALUE!</v>
      </c>
      <c r="G148" t="e">
        <f>AND(tecantrop!B414,"AAAAAGw+2QY=")</f>
        <v>#VALUE!</v>
      </c>
      <c r="H148" t="e">
        <f>AND(tecantrop!C414,"AAAAAGw+2Qc=")</f>
        <v>#VALUE!</v>
      </c>
      <c r="I148" t="e">
        <f>AND(tecantrop!D414,"AAAAAGw+2Qg=")</f>
        <v>#VALUE!</v>
      </c>
      <c r="J148" t="e">
        <f>AND(tecantrop!E414,"AAAAAGw+2Qk=")</f>
        <v>#VALUE!</v>
      </c>
      <c r="K148" t="e">
        <f>AND(tecantrop!F414,"AAAAAGw+2Qo=")</f>
        <v>#VALUE!</v>
      </c>
      <c r="L148" t="e">
        <f>AND(tecantrop!G414,"AAAAAGw+2Qs=")</f>
        <v>#VALUE!</v>
      </c>
      <c r="M148" t="e">
        <f>AND(tecantrop!H414,"AAAAAGw+2Qw=")</f>
        <v>#VALUE!</v>
      </c>
      <c r="N148" t="e">
        <f>AND(tecantrop!I414,"AAAAAGw+2Q0=")</f>
        <v>#VALUE!</v>
      </c>
      <c r="O148" t="e">
        <f>AND(tecantrop!J414,"AAAAAGw+2Q4=")</f>
        <v>#VALUE!</v>
      </c>
      <c r="P148" t="e">
        <f>AND(tecantrop!K414,"AAAAAGw+2Q8=")</f>
        <v>#VALUE!</v>
      </c>
      <c r="Q148" t="e">
        <f>AND(tecantrop!L414,"AAAAAGw+2RA=")</f>
        <v>#VALUE!</v>
      </c>
      <c r="R148" t="e">
        <f>AND(tecantrop!M414,"AAAAAGw+2RE=")</f>
        <v>#VALUE!</v>
      </c>
      <c r="S148" t="e">
        <f>AND(tecantrop!N414,"AAAAAGw+2RI=")</f>
        <v>#VALUE!</v>
      </c>
      <c r="T148" t="e">
        <f>AND(tecantrop!O414,"AAAAAGw+2RM=")</f>
        <v>#VALUE!</v>
      </c>
      <c r="U148" t="e">
        <f>AND(tecantrop!P414,"AAAAAGw+2RQ=")</f>
        <v>#VALUE!</v>
      </c>
      <c r="V148" t="e">
        <f>AND(tecantrop!Q414,"AAAAAGw+2RU=")</f>
        <v>#VALUE!</v>
      </c>
      <c r="W148" t="e">
        <f>AND(tecantrop!R414,"AAAAAGw+2RY=")</f>
        <v>#VALUE!</v>
      </c>
      <c r="X148" t="e">
        <f>AND(tecantrop!S414,"AAAAAGw+2Rc=")</f>
        <v>#VALUE!</v>
      </c>
      <c r="Y148" t="e">
        <f>AND(tecantrop!T414,"AAAAAGw+2Rg=")</f>
        <v>#VALUE!</v>
      </c>
      <c r="Z148" t="e">
        <f>AND(tecantrop!U414,"AAAAAGw+2Rk=")</f>
        <v>#VALUE!</v>
      </c>
      <c r="AA148" t="e">
        <f>AND(tecantrop!V414,"AAAAAGw+2Ro=")</f>
        <v>#VALUE!</v>
      </c>
      <c r="AB148" t="e">
        <f>AND(tecantrop!W414,"AAAAAGw+2Rs=")</f>
        <v>#VALUE!</v>
      </c>
      <c r="AC148" t="e">
        <f>AND(tecantrop!X414,"AAAAAGw+2Rw=")</f>
        <v>#VALUE!</v>
      </c>
      <c r="AD148">
        <f>IF(tecantrop!415:415,"AAAAAGw+2R0=",0)</f>
        <v>0</v>
      </c>
      <c r="AE148" t="e">
        <f>AND(tecantrop!A415,"AAAAAGw+2R4=")</f>
        <v>#VALUE!</v>
      </c>
      <c r="AF148" t="e">
        <f>AND(tecantrop!B415,"AAAAAGw+2R8=")</f>
        <v>#VALUE!</v>
      </c>
      <c r="AG148" t="e">
        <f>AND(tecantrop!C415,"AAAAAGw+2SA=")</f>
        <v>#VALUE!</v>
      </c>
      <c r="AH148" t="e">
        <f>AND(tecantrop!D415,"AAAAAGw+2SE=")</f>
        <v>#VALUE!</v>
      </c>
      <c r="AI148" t="e">
        <f>AND(tecantrop!E415,"AAAAAGw+2SI=")</f>
        <v>#VALUE!</v>
      </c>
      <c r="AJ148" t="e">
        <f>AND(tecantrop!F415,"AAAAAGw+2SM=")</f>
        <v>#VALUE!</v>
      </c>
      <c r="AK148" t="e">
        <f>AND(tecantrop!G415,"AAAAAGw+2SQ=")</f>
        <v>#VALUE!</v>
      </c>
      <c r="AL148" t="e">
        <f>AND(tecantrop!H415,"AAAAAGw+2SU=")</f>
        <v>#VALUE!</v>
      </c>
      <c r="AM148" t="e">
        <f>AND(tecantrop!I415,"AAAAAGw+2SY=")</f>
        <v>#VALUE!</v>
      </c>
      <c r="AN148" t="e">
        <f>AND(tecantrop!J415,"AAAAAGw+2Sc=")</f>
        <v>#VALUE!</v>
      </c>
      <c r="AO148" t="e">
        <f>AND(tecantrop!K415,"AAAAAGw+2Sg=")</f>
        <v>#VALUE!</v>
      </c>
      <c r="AP148" t="e">
        <f>AND(tecantrop!L415,"AAAAAGw+2Sk=")</f>
        <v>#VALUE!</v>
      </c>
      <c r="AQ148" t="e">
        <f>AND(tecantrop!M415,"AAAAAGw+2So=")</f>
        <v>#VALUE!</v>
      </c>
      <c r="AR148" t="e">
        <f>AND(tecantrop!N415,"AAAAAGw+2Ss=")</f>
        <v>#VALUE!</v>
      </c>
      <c r="AS148" t="e">
        <f>AND(tecantrop!O415,"AAAAAGw+2Sw=")</f>
        <v>#VALUE!</v>
      </c>
      <c r="AT148" t="e">
        <f>AND(tecantrop!P415,"AAAAAGw+2S0=")</f>
        <v>#VALUE!</v>
      </c>
      <c r="AU148" t="e">
        <f>AND(tecantrop!Q415,"AAAAAGw+2S4=")</f>
        <v>#VALUE!</v>
      </c>
      <c r="AV148" t="e">
        <f>AND(tecantrop!R415,"AAAAAGw+2S8=")</f>
        <v>#VALUE!</v>
      </c>
      <c r="AW148" t="e">
        <f>AND(tecantrop!S415,"AAAAAGw+2TA=")</f>
        <v>#VALUE!</v>
      </c>
      <c r="AX148" t="e">
        <f>AND(tecantrop!T415,"AAAAAGw+2TE=")</f>
        <v>#VALUE!</v>
      </c>
      <c r="AY148" t="e">
        <f>AND(tecantrop!U415,"AAAAAGw+2TI=")</f>
        <v>#VALUE!</v>
      </c>
      <c r="AZ148" t="e">
        <f>AND(tecantrop!V415,"AAAAAGw+2TM=")</f>
        <v>#VALUE!</v>
      </c>
      <c r="BA148" t="e">
        <f>AND(tecantrop!W415,"AAAAAGw+2TQ=")</f>
        <v>#VALUE!</v>
      </c>
      <c r="BB148" t="e">
        <f>AND(tecantrop!X415,"AAAAAGw+2TU=")</f>
        <v>#VALUE!</v>
      </c>
      <c r="BC148">
        <f>IF(tecantrop!416:416,"AAAAAGw+2TY=",0)</f>
        <v>0</v>
      </c>
      <c r="BD148" t="e">
        <f>AND(tecantrop!A416,"AAAAAGw+2Tc=")</f>
        <v>#VALUE!</v>
      </c>
      <c r="BE148" t="e">
        <f>AND(tecantrop!B416,"AAAAAGw+2Tg=")</f>
        <v>#VALUE!</v>
      </c>
      <c r="BF148" t="e">
        <f>AND(tecantrop!C416,"AAAAAGw+2Tk=")</f>
        <v>#VALUE!</v>
      </c>
      <c r="BG148" t="e">
        <f>AND(tecantrop!D416,"AAAAAGw+2To=")</f>
        <v>#VALUE!</v>
      </c>
      <c r="BH148" t="e">
        <f>AND(tecantrop!E416,"AAAAAGw+2Ts=")</f>
        <v>#VALUE!</v>
      </c>
      <c r="BI148" t="e">
        <f>AND(tecantrop!F416,"AAAAAGw+2Tw=")</f>
        <v>#VALUE!</v>
      </c>
      <c r="BJ148" t="e">
        <f>AND(tecantrop!G416,"AAAAAGw+2T0=")</f>
        <v>#VALUE!</v>
      </c>
      <c r="BK148" t="e">
        <f>AND(tecantrop!H416,"AAAAAGw+2T4=")</f>
        <v>#VALUE!</v>
      </c>
      <c r="BL148" t="e">
        <f>AND(tecantrop!I416,"AAAAAGw+2T8=")</f>
        <v>#VALUE!</v>
      </c>
      <c r="BM148" t="e">
        <f>AND(tecantrop!J416,"AAAAAGw+2UA=")</f>
        <v>#VALUE!</v>
      </c>
      <c r="BN148" t="e">
        <f>AND(tecantrop!K416,"AAAAAGw+2UE=")</f>
        <v>#VALUE!</v>
      </c>
      <c r="BO148" t="e">
        <f>AND(tecantrop!L416,"AAAAAGw+2UI=")</f>
        <v>#VALUE!</v>
      </c>
      <c r="BP148" t="e">
        <f>AND(tecantrop!M416,"AAAAAGw+2UM=")</f>
        <v>#VALUE!</v>
      </c>
      <c r="BQ148" t="e">
        <f>AND(tecantrop!N416,"AAAAAGw+2UQ=")</f>
        <v>#VALUE!</v>
      </c>
      <c r="BR148" t="e">
        <f>AND(tecantrop!O416,"AAAAAGw+2UU=")</f>
        <v>#VALUE!</v>
      </c>
      <c r="BS148" t="e">
        <f>AND(tecantrop!P416,"AAAAAGw+2UY=")</f>
        <v>#VALUE!</v>
      </c>
      <c r="BT148" t="e">
        <f>AND(tecantrop!Q416,"AAAAAGw+2Uc=")</f>
        <v>#VALUE!</v>
      </c>
      <c r="BU148" t="e">
        <f>AND(tecantrop!R416,"AAAAAGw+2Ug=")</f>
        <v>#VALUE!</v>
      </c>
      <c r="BV148" t="e">
        <f>AND(tecantrop!S416,"AAAAAGw+2Uk=")</f>
        <v>#VALUE!</v>
      </c>
      <c r="BW148" t="e">
        <f>AND(tecantrop!T416,"AAAAAGw+2Uo=")</f>
        <v>#VALUE!</v>
      </c>
      <c r="BX148" t="e">
        <f>AND(tecantrop!U416,"AAAAAGw+2Us=")</f>
        <v>#VALUE!</v>
      </c>
      <c r="BY148" t="e">
        <f>AND(tecantrop!V416,"AAAAAGw+2Uw=")</f>
        <v>#VALUE!</v>
      </c>
      <c r="BZ148" t="e">
        <f>AND(tecantrop!W416,"AAAAAGw+2U0=")</f>
        <v>#VALUE!</v>
      </c>
      <c r="CA148" t="e">
        <f>AND(tecantrop!X416,"AAAAAGw+2U4=")</f>
        <v>#VALUE!</v>
      </c>
      <c r="CB148">
        <f>IF(tecantrop!417:417,"AAAAAGw+2U8=",0)</f>
        <v>0</v>
      </c>
      <c r="CC148" t="e">
        <f>AND(tecantrop!A417,"AAAAAGw+2VA=")</f>
        <v>#VALUE!</v>
      </c>
      <c r="CD148" t="e">
        <f>AND(tecantrop!B417,"AAAAAGw+2VE=")</f>
        <v>#VALUE!</v>
      </c>
      <c r="CE148" t="e">
        <f>AND(tecantrop!C417,"AAAAAGw+2VI=")</f>
        <v>#VALUE!</v>
      </c>
      <c r="CF148" t="e">
        <f>AND(tecantrop!D417,"AAAAAGw+2VM=")</f>
        <v>#VALUE!</v>
      </c>
      <c r="CG148" t="e">
        <f>AND(tecantrop!E417,"AAAAAGw+2VQ=")</f>
        <v>#VALUE!</v>
      </c>
      <c r="CH148" t="e">
        <f>AND(tecantrop!F417,"AAAAAGw+2VU=")</f>
        <v>#VALUE!</v>
      </c>
      <c r="CI148" t="e">
        <f>AND(tecantrop!G417,"AAAAAGw+2VY=")</f>
        <v>#VALUE!</v>
      </c>
      <c r="CJ148" t="e">
        <f>AND(tecantrop!H417,"AAAAAGw+2Vc=")</f>
        <v>#VALUE!</v>
      </c>
      <c r="CK148" t="e">
        <f>AND(tecantrop!I417,"AAAAAGw+2Vg=")</f>
        <v>#VALUE!</v>
      </c>
      <c r="CL148" t="e">
        <f>AND(tecantrop!J417,"AAAAAGw+2Vk=")</f>
        <v>#VALUE!</v>
      </c>
      <c r="CM148" t="e">
        <f>AND(tecantrop!K417,"AAAAAGw+2Vo=")</f>
        <v>#VALUE!</v>
      </c>
      <c r="CN148" t="e">
        <f>AND(tecantrop!L417,"AAAAAGw+2Vs=")</f>
        <v>#VALUE!</v>
      </c>
      <c r="CO148" t="e">
        <f>AND(tecantrop!M417,"AAAAAGw+2Vw=")</f>
        <v>#VALUE!</v>
      </c>
      <c r="CP148" t="e">
        <f>AND(tecantrop!N417,"AAAAAGw+2V0=")</f>
        <v>#VALUE!</v>
      </c>
      <c r="CQ148" t="e">
        <f>AND(tecantrop!O417,"AAAAAGw+2V4=")</f>
        <v>#VALUE!</v>
      </c>
      <c r="CR148" t="e">
        <f>AND(tecantrop!P417,"AAAAAGw+2V8=")</f>
        <v>#VALUE!</v>
      </c>
      <c r="CS148" t="e">
        <f>AND(tecantrop!Q417,"AAAAAGw+2WA=")</f>
        <v>#VALUE!</v>
      </c>
      <c r="CT148" t="e">
        <f>AND(tecantrop!R417,"AAAAAGw+2WE=")</f>
        <v>#VALUE!</v>
      </c>
      <c r="CU148" t="e">
        <f>AND(tecantrop!S417,"AAAAAGw+2WI=")</f>
        <v>#VALUE!</v>
      </c>
      <c r="CV148" t="e">
        <f>AND(tecantrop!T417,"AAAAAGw+2WM=")</f>
        <v>#VALUE!</v>
      </c>
      <c r="CW148" t="e">
        <f>AND(tecantrop!U417,"AAAAAGw+2WQ=")</f>
        <v>#VALUE!</v>
      </c>
      <c r="CX148" t="e">
        <f>AND(tecantrop!V417,"AAAAAGw+2WU=")</f>
        <v>#VALUE!</v>
      </c>
      <c r="CY148" t="e">
        <f>AND(tecantrop!W417,"AAAAAGw+2WY=")</f>
        <v>#VALUE!</v>
      </c>
      <c r="CZ148" t="e">
        <f>AND(tecantrop!X417,"AAAAAGw+2Wc=")</f>
        <v>#VALUE!</v>
      </c>
      <c r="DA148">
        <f>IF(tecantrop!418:418,"AAAAAGw+2Wg=",0)</f>
        <v>0</v>
      </c>
      <c r="DB148" t="e">
        <f>AND(tecantrop!A418,"AAAAAGw+2Wk=")</f>
        <v>#VALUE!</v>
      </c>
      <c r="DC148" t="e">
        <f>AND(tecantrop!B418,"AAAAAGw+2Wo=")</f>
        <v>#VALUE!</v>
      </c>
      <c r="DD148" t="e">
        <f>AND(tecantrop!C418,"AAAAAGw+2Ws=")</f>
        <v>#VALUE!</v>
      </c>
      <c r="DE148" t="e">
        <f>AND(tecantrop!D418,"AAAAAGw+2Ww=")</f>
        <v>#VALUE!</v>
      </c>
      <c r="DF148" t="e">
        <f>AND(tecantrop!E418,"AAAAAGw+2W0=")</f>
        <v>#VALUE!</v>
      </c>
      <c r="DG148" t="e">
        <f>AND(tecantrop!F418,"AAAAAGw+2W4=")</f>
        <v>#VALUE!</v>
      </c>
      <c r="DH148" t="e">
        <f>AND(tecantrop!G418,"AAAAAGw+2W8=")</f>
        <v>#VALUE!</v>
      </c>
      <c r="DI148" t="e">
        <f>AND(tecantrop!H418,"AAAAAGw+2XA=")</f>
        <v>#VALUE!</v>
      </c>
      <c r="DJ148" t="e">
        <f>AND(tecantrop!I418,"AAAAAGw+2XE=")</f>
        <v>#VALUE!</v>
      </c>
      <c r="DK148" t="e">
        <f>AND(tecantrop!J418,"AAAAAGw+2XI=")</f>
        <v>#VALUE!</v>
      </c>
      <c r="DL148" t="e">
        <f>AND(tecantrop!K418,"AAAAAGw+2XM=")</f>
        <v>#VALUE!</v>
      </c>
      <c r="DM148" t="e">
        <f>AND(tecantrop!L418,"AAAAAGw+2XQ=")</f>
        <v>#VALUE!</v>
      </c>
      <c r="DN148" t="e">
        <f>AND(tecantrop!M418,"AAAAAGw+2XU=")</f>
        <v>#VALUE!</v>
      </c>
      <c r="DO148" t="e">
        <f>AND(tecantrop!N418,"AAAAAGw+2XY=")</f>
        <v>#VALUE!</v>
      </c>
      <c r="DP148" t="e">
        <f>AND(tecantrop!O418,"AAAAAGw+2Xc=")</f>
        <v>#VALUE!</v>
      </c>
      <c r="DQ148" t="e">
        <f>AND(tecantrop!P418,"AAAAAGw+2Xg=")</f>
        <v>#VALUE!</v>
      </c>
      <c r="DR148" t="e">
        <f>AND(tecantrop!Q418,"AAAAAGw+2Xk=")</f>
        <v>#VALUE!</v>
      </c>
      <c r="DS148" t="e">
        <f>AND(tecantrop!R418,"AAAAAGw+2Xo=")</f>
        <v>#VALUE!</v>
      </c>
      <c r="DT148" t="e">
        <f>AND(tecantrop!S418,"AAAAAGw+2Xs=")</f>
        <v>#VALUE!</v>
      </c>
      <c r="DU148" t="e">
        <f>AND(tecantrop!T418,"AAAAAGw+2Xw=")</f>
        <v>#VALUE!</v>
      </c>
      <c r="DV148" t="e">
        <f>AND(tecantrop!U418,"AAAAAGw+2X0=")</f>
        <v>#VALUE!</v>
      </c>
      <c r="DW148" t="e">
        <f>AND(tecantrop!V418,"AAAAAGw+2X4=")</f>
        <v>#VALUE!</v>
      </c>
      <c r="DX148" t="e">
        <f>AND(tecantrop!W418,"AAAAAGw+2X8=")</f>
        <v>#VALUE!</v>
      </c>
      <c r="DY148" t="e">
        <f>AND(tecantrop!X418,"AAAAAGw+2YA=")</f>
        <v>#VALUE!</v>
      </c>
      <c r="DZ148">
        <f>IF(tecantrop!419:419,"AAAAAGw+2YE=",0)</f>
        <v>0</v>
      </c>
      <c r="EA148" t="e">
        <f>AND(tecantrop!A419,"AAAAAGw+2YI=")</f>
        <v>#VALUE!</v>
      </c>
      <c r="EB148" t="e">
        <f>AND(tecantrop!B419,"AAAAAGw+2YM=")</f>
        <v>#VALUE!</v>
      </c>
      <c r="EC148" t="e">
        <f>AND(tecantrop!C419,"AAAAAGw+2YQ=")</f>
        <v>#VALUE!</v>
      </c>
      <c r="ED148" t="e">
        <f>AND(tecantrop!D419,"AAAAAGw+2YU=")</f>
        <v>#VALUE!</v>
      </c>
      <c r="EE148" t="e">
        <f>AND(tecantrop!E419,"AAAAAGw+2YY=")</f>
        <v>#VALUE!</v>
      </c>
      <c r="EF148" t="e">
        <f>AND(tecantrop!F419,"AAAAAGw+2Yc=")</f>
        <v>#VALUE!</v>
      </c>
      <c r="EG148" t="e">
        <f>AND(tecantrop!G419,"AAAAAGw+2Yg=")</f>
        <v>#VALUE!</v>
      </c>
      <c r="EH148" t="e">
        <f>AND(tecantrop!H419,"AAAAAGw+2Yk=")</f>
        <v>#VALUE!</v>
      </c>
      <c r="EI148" t="e">
        <f>AND(tecantrop!I419,"AAAAAGw+2Yo=")</f>
        <v>#VALUE!</v>
      </c>
      <c r="EJ148" t="e">
        <f>AND(tecantrop!J419,"AAAAAGw+2Ys=")</f>
        <v>#VALUE!</v>
      </c>
      <c r="EK148" t="e">
        <f>AND(tecantrop!K419,"AAAAAGw+2Yw=")</f>
        <v>#VALUE!</v>
      </c>
      <c r="EL148" t="e">
        <f>AND(tecantrop!L419,"AAAAAGw+2Y0=")</f>
        <v>#VALUE!</v>
      </c>
      <c r="EM148" t="e">
        <f>AND(tecantrop!M419,"AAAAAGw+2Y4=")</f>
        <v>#VALUE!</v>
      </c>
      <c r="EN148" t="e">
        <f>AND(tecantrop!N419,"AAAAAGw+2Y8=")</f>
        <v>#VALUE!</v>
      </c>
      <c r="EO148" t="e">
        <f>AND(tecantrop!O419,"AAAAAGw+2ZA=")</f>
        <v>#VALUE!</v>
      </c>
      <c r="EP148" t="e">
        <f>AND(tecantrop!P419,"AAAAAGw+2ZE=")</f>
        <v>#VALUE!</v>
      </c>
      <c r="EQ148" t="e">
        <f>AND(tecantrop!Q419,"AAAAAGw+2ZI=")</f>
        <v>#VALUE!</v>
      </c>
      <c r="ER148" t="e">
        <f>AND(tecantrop!R419,"AAAAAGw+2ZM=")</f>
        <v>#VALUE!</v>
      </c>
      <c r="ES148" t="e">
        <f>AND(tecantrop!S419,"AAAAAGw+2ZQ=")</f>
        <v>#VALUE!</v>
      </c>
      <c r="ET148" t="e">
        <f>AND(tecantrop!T419,"AAAAAGw+2ZU=")</f>
        <v>#VALUE!</v>
      </c>
      <c r="EU148" t="e">
        <f>AND(tecantrop!U419,"AAAAAGw+2ZY=")</f>
        <v>#VALUE!</v>
      </c>
      <c r="EV148" t="e">
        <f>AND(tecantrop!V419,"AAAAAGw+2Zc=")</f>
        <v>#VALUE!</v>
      </c>
      <c r="EW148" t="e">
        <f>AND(tecantrop!W419,"AAAAAGw+2Zg=")</f>
        <v>#VALUE!</v>
      </c>
      <c r="EX148" t="e">
        <f>AND(tecantrop!X419,"AAAAAGw+2Zk=")</f>
        <v>#VALUE!</v>
      </c>
      <c r="EY148">
        <f>IF(tecantrop!420:420,"AAAAAGw+2Zo=",0)</f>
        <v>0</v>
      </c>
      <c r="EZ148" t="e">
        <f>AND(tecantrop!A420,"AAAAAGw+2Zs=")</f>
        <v>#VALUE!</v>
      </c>
      <c r="FA148" t="e">
        <f>AND(tecantrop!B420,"AAAAAGw+2Zw=")</f>
        <v>#VALUE!</v>
      </c>
      <c r="FB148" t="e">
        <f>AND(tecantrop!C420,"AAAAAGw+2Z0=")</f>
        <v>#VALUE!</v>
      </c>
      <c r="FC148" t="e">
        <f>AND(tecantrop!D420,"AAAAAGw+2Z4=")</f>
        <v>#VALUE!</v>
      </c>
      <c r="FD148" t="e">
        <f>AND(tecantrop!E420,"AAAAAGw+2Z8=")</f>
        <v>#VALUE!</v>
      </c>
      <c r="FE148" t="e">
        <f>AND(tecantrop!F420,"AAAAAGw+2aA=")</f>
        <v>#VALUE!</v>
      </c>
      <c r="FF148" t="e">
        <f>AND(tecantrop!G420,"AAAAAGw+2aE=")</f>
        <v>#VALUE!</v>
      </c>
      <c r="FG148" t="e">
        <f>AND(tecantrop!H420,"AAAAAGw+2aI=")</f>
        <v>#VALUE!</v>
      </c>
      <c r="FH148" t="e">
        <f>AND(tecantrop!I420,"AAAAAGw+2aM=")</f>
        <v>#VALUE!</v>
      </c>
      <c r="FI148" t="e">
        <f>AND(tecantrop!J420,"AAAAAGw+2aQ=")</f>
        <v>#VALUE!</v>
      </c>
      <c r="FJ148" t="e">
        <f>AND(tecantrop!K420,"AAAAAGw+2aU=")</f>
        <v>#VALUE!</v>
      </c>
      <c r="FK148" t="e">
        <f>AND(tecantrop!L420,"AAAAAGw+2aY=")</f>
        <v>#VALUE!</v>
      </c>
      <c r="FL148" t="e">
        <f>AND(tecantrop!M420,"AAAAAGw+2ac=")</f>
        <v>#VALUE!</v>
      </c>
      <c r="FM148" t="e">
        <f>AND(tecantrop!N420,"AAAAAGw+2ag=")</f>
        <v>#VALUE!</v>
      </c>
      <c r="FN148" t="e">
        <f>AND(tecantrop!O420,"AAAAAGw+2ak=")</f>
        <v>#VALUE!</v>
      </c>
      <c r="FO148" t="e">
        <f>AND(tecantrop!P420,"AAAAAGw+2ao=")</f>
        <v>#VALUE!</v>
      </c>
      <c r="FP148" t="e">
        <f>AND(tecantrop!Q420,"AAAAAGw+2as=")</f>
        <v>#VALUE!</v>
      </c>
      <c r="FQ148" t="e">
        <f>AND(tecantrop!R420,"AAAAAGw+2aw=")</f>
        <v>#VALUE!</v>
      </c>
      <c r="FR148" t="e">
        <f>AND(tecantrop!S420,"AAAAAGw+2a0=")</f>
        <v>#VALUE!</v>
      </c>
      <c r="FS148" t="e">
        <f>AND(tecantrop!T420,"AAAAAGw+2a4=")</f>
        <v>#VALUE!</v>
      </c>
      <c r="FT148" t="e">
        <f>AND(tecantrop!U420,"AAAAAGw+2a8=")</f>
        <v>#VALUE!</v>
      </c>
      <c r="FU148" t="e">
        <f>AND(tecantrop!V420,"AAAAAGw+2bA=")</f>
        <v>#VALUE!</v>
      </c>
      <c r="FV148" t="e">
        <f>AND(tecantrop!W420,"AAAAAGw+2bE=")</f>
        <v>#VALUE!</v>
      </c>
      <c r="FW148" t="e">
        <f>AND(tecantrop!X420,"AAAAAGw+2bI=")</f>
        <v>#VALUE!</v>
      </c>
      <c r="FX148">
        <f>IF(tecantrop!421:421,"AAAAAGw+2bM=",0)</f>
        <v>0</v>
      </c>
      <c r="FY148" t="e">
        <f>AND(tecantrop!A421,"AAAAAGw+2bQ=")</f>
        <v>#VALUE!</v>
      </c>
      <c r="FZ148" t="e">
        <f>AND(tecantrop!B421,"AAAAAGw+2bU=")</f>
        <v>#VALUE!</v>
      </c>
      <c r="GA148" t="e">
        <f>AND(tecantrop!C421,"AAAAAGw+2bY=")</f>
        <v>#VALUE!</v>
      </c>
      <c r="GB148" t="e">
        <f>AND(tecantrop!D421,"AAAAAGw+2bc=")</f>
        <v>#VALUE!</v>
      </c>
      <c r="GC148" t="e">
        <f>AND(tecantrop!E421,"AAAAAGw+2bg=")</f>
        <v>#VALUE!</v>
      </c>
      <c r="GD148" t="e">
        <f>AND(tecantrop!F421,"AAAAAGw+2bk=")</f>
        <v>#VALUE!</v>
      </c>
      <c r="GE148" t="e">
        <f>AND(tecantrop!G421,"AAAAAGw+2bo=")</f>
        <v>#VALUE!</v>
      </c>
      <c r="GF148" t="e">
        <f>AND(tecantrop!H421,"AAAAAGw+2bs=")</f>
        <v>#VALUE!</v>
      </c>
      <c r="GG148" t="e">
        <f>AND(tecantrop!I421,"AAAAAGw+2bw=")</f>
        <v>#VALUE!</v>
      </c>
      <c r="GH148" t="e">
        <f>AND(tecantrop!J421,"AAAAAGw+2b0=")</f>
        <v>#VALUE!</v>
      </c>
      <c r="GI148" t="e">
        <f>AND(tecantrop!K421,"AAAAAGw+2b4=")</f>
        <v>#VALUE!</v>
      </c>
      <c r="GJ148" t="e">
        <f>AND(tecantrop!L421,"AAAAAGw+2b8=")</f>
        <v>#VALUE!</v>
      </c>
      <c r="GK148" t="e">
        <f>AND(tecantrop!M421,"AAAAAGw+2cA=")</f>
        <v>#VALUE!</v>
      </c>
      <c r="GL148" t="e">
        <f>AND(tecantrop!N421,"AAAAAGw+2cE=")</f>
        <v>#VALUE!</v>
      </c>
      <c r="GM148" t="e">
        <f>AND(tecantrop!O421,"AAAAAGw+2cI=")</f>
        <v>#VALUE!</v>
      </c>
      <c r="GN148" t="e">
        <f>AND(tecantrop!P421,"AAAAAGw+2cM=")</f>
        <v>#VALUE!</v>
      </c>
      <c r="GO148" t="e">
        <f>AND(tecantrop!Q421,"AAAAAGw+2cQ=")</f>
        <v>#VALUE!</v>
      </c>
      <c r="GP148" t="e">
        <f>AND(tecantrop!R421,"AAAAAGw+2cU=")</f>
        <v>#VALUE!</v>
      </c>
      <c r="GQ148" t="e">
        <f>AND(tecantrop!S421,"AAAAAGw+2cY=")</f>
        <v>#VALUE!</v>
      </c>
      <c r="GR148" t="e">
        <f>AND(tecantrop!T421,"AAAAAGw+2cc=")</f>
        <v>#VALUE!</v>
      </c>
      <c r="GS148" t="e">
        <f>AND(tecantrop!U421,"AAAAAGw+2cg=")</f>
        <v>#VALUE!</v>
      </c>
      <c r="GT148" t="e">
        <f>AND(tecantrop!V421,"AAAAAGw+2ck=")</f>
        <v>#VALUE!</v>
      </c>
      <c r="GU148" t="e">
        <f>AND(tecantrop!W421,"AAAAAGw+2co=")</f>
        <v>#VALUE!</v>
      </c>
      <c r="GV148" t="e">
        <f>AND(tecantrop!X421,"AAAAAGw+2cs=")</f>
        <v>#VALUE!</v>
      </c>
      <c r="GW148">
        <f>IF(tecantrop!422:422,"AAAAAGw+2cw=",0)</f>
        <v>0</v>
      </c>
      <c r="GX148" t="e">
        <f>AND(tecantrop!A422,"AAAAAGw+2c0=")</f>
        <v>#VALUE!</v>
      </c>
      <c r="GY148" t="e">
        <f>AND(tecantrop!B422,"AAAAAGw+2c4=")</f>
        <v>#VALUE!</v>
      </c>
      <c r="GZ148" t="e">
        <f>AND(tecantrop!C422,"AAAAAGw+2c8=")</f>
        <v>#VALUE!</v>
      </c>
      <c r="HA148" t="e">
        <f>AND(tecantrop!D422,"AAAAAGw+2dA=")</f>
        <v>#VALUE!</v>
      </c>
      <c r="HB148" t="e">
        <f>AND(tecantrop!E422,"AAAAAGw+2dE=")</f>
        <v>#VALUE!</v>
      </c>
      <c r="HC148" t="e">
        <f>AND(tecantrop!F422,"AAAAAGw+2dI=")</f>
        <v>#VALUE!</v>
      </c>
      <c r="HD148" t="e">
        <f>AND(tecantrop!G422,"AAAAAGw+2dM=")</f>
        <v>#VALUE!</v>
      </c>
      <c r="HE148" t="e">
        <f>AND(tecantrop!H422,"AAAAAGw+2dQ=")</f>
        <v>#VALUE!</v>
      </c>
      <c r="HF148" t="e">
        <f>AND(tecantrop!I422,"AAAAAGw+2dU=")</f>
        <v>#VALUE!</v>
      </c>
      <c r="HG148" t="e">
        <f>AND(tecantrop!J422,"AAAAAGw+2dY=")</f>
        <v>#VALUE!</v>
      </c>
      <c r="HH148" t="e">
        <f>AND(tecantrop!K422,"AAAAAGw+2dc=")</f>
        <v>#VALUE!</v>
      </c>
      <c r="HI148" t="e">
        <f>AND(tecantrop!L422,"AAAAAGw+2dg=")</f>
        <v>#VALUE!</v>
      </c>
      <c r="HJ148" t="e">
        <f>AND(tecantrop!M422,"AAAAAGw+2dk=")</f>
        <v>#VALUE!</v>
      </c>
      <c r="HK148" t="e">
        <f>AND(tecantrop!N422,"AAAAAGw+2do=")</f>
        <v>#VALUE!</v>
      </c>
      <c r="HL148" t="e">
        <f>AND(tecantrop!O422,"AAAAAGw+2ds=")</f>
        <v>#VALUE!</v>
      </c>
      <c r="HM148" t="e">
        <f>AND(tecantrop!P422,"AAAAAGw+2dw=")</f>
        <v>#VALUE!</v>
      </c>
      <c r="HN148" t="e">
        <f>AND(tecantrop!Q422,"AAAAAGw+2d0=")</f>
        <v>#VALUE!</v>
      </c>
      <c r="HO148" t="e">
        <f>AND(tecantrop!R422,"AAAAAGw+2d4=")</f>
        <v>#VALUE!</v>
      </c>
      <c r="HP148" t="e">
        <f>AND(tecantrop!S422,"AAAAAGw+2d8=")</f>
        <v>#VALUE!</v>
      </c>
      <c r="HQ148" t="e">
        <f>AND(tecantrop!T422,"AAAAAGw+2eA=")</f>
        <v>#VALUE!</v>
      </c>
      <c r="HR148" t="e">
        <f>AND(tecantrop!U422,"AAAAAGw+2eE=")</f>
        <v>#VALUE!</v>
      </c>
      <c r="HS148" t="e">
        <f>AND(tecantrop!V422,"AAAAAGw+2eI=")</f>
        <v>#VALUE!</v>
      </c>
      <c r="HT148" t="e">
        <f>AND(tecantrop!W422,"AAAAAGw+2eM=")</f>
        <v>#VALUE!</v>
      </c>
      <c r="HU148" t="e">
        <f>AND(tecantrop!X422,"AAAAAGw+2eQ=")</f>
        <v>#VALUE!</v>
      </c>
      <c r="HV148">
        <f>IF(tecantrop!423:423,"AAAAAGw+2eU=",0)</f>
        <v>0</v>
      </c>
      <c r="HW148" t="e">
        <f>AND(tecantrop!A423,"AAAAAGw+2eY=")</f>
        <v>#VALUE!</v>
      </c>
      <c r="HX148" t="e">
        <f>AND(tecantrop!B423,"AAAAAGw+2ec=")</f>
        <v>#VALUE!</v>
      </c>
      <c r="HY148" t="e">
        <f>AND(tecantrop!C423,"AAAAAGw+2eg=")</f>
        <v>#VALUE!</v>
      </c>
      <c r="HZ148" t="e">
        <f>AND(tecantrop!D423,"AAAAAGw+2ek=")</f>
        <v>#VALUE!</v>
      </c>
      <c r="IA148" t="e">
        <f>AND(tecantrop!E423,"AAAAAGw+2eo=")</f>
        <v>#VALUE!</v>
      </c>
      <c r="IB148" t="e">
        <f>AND(tecantrop!F423,"AAAAAGw+2es=")</f>
        <v>#VALUE!</v>
      </c>
      <c r="IC148" t="e">
        <f>AND(tecantrop!G423,"AAAAAGw+2ew=")</f>
        <v>#VALUE!</v>
      </c>
      <c r="ID148" t="e">
        <f>AND(tecantrop!H423,"AAAAAGw+2e0=")</f>
        <v>#VALUE!</v>
      </c>
      <c r="IE148" t="e">
        <f>AND(tecantrop!I423,"AAAAAGw+2e4=")</f>
        <v>#VALUE!</v>
      </c>
      <c r="IF148" t="e">
        <f>AND(tecantrop!J423,"AAAAAGw+2e8=")</f>
        <v>#VALUE!</v>
      </c>
      <c r="IG148" t="e">
        <f>AND(tecantrop!K423,"AAAAAGw+2fA=")</f>
        <v>#VALUE!</v>
      </c>
      <c r="IH148" t="e">
        <f>AND(tecantrop!L423,"AAAAAGw+2fE=")</f>
        <v>#VALUE!</v>
      </c>
      <c r="II148" t="e">
        <f>AND(tecantrop!M423,"AAAAAGw+2fI=")</f>
        <v>#VALUE!</v>
      </c>
      <c r="IJ148" t="e">
        <f>AND(tecantrop!N423,"AAAAAGw+2fM=")</f>
        <v>#VALUE!</v>
      </c>
      <c r="IK148" t="e">
        <f>AND(tecantrop!O423,"AAAAAGw+2fQ=")</f>
        <v>#VALUE!</v>
      </c>
      <c r="IL148" t="e">
        <f>AND(tecantrop!P423,"AAAAAGw+2fU=")</f>
        <v>#VALUE!</v>
      </c>
      <c r="IM148" t="e">
        <f>AND(tecantrop!Q423,"AAAAAGw+2fY=")</f>
        <v>#VALUE!</v>
      </c>
      <c r="IN148" t="e">
        <f>AND(tecantrop!R423,"AAAAAGw+2fc=")</f>
        <v>#VALUE!</v>
      </c>
      <c r="IO148" t="e">
        <f>AND(tecantrop!S423,"AAAAAGw+2fg=")</f>
        <v>#VALUE!</v>
      </c>
      <c r="IP148" t="e">
        <f>AND(tecantrop!T423,"AAAAAGw+2fk=")</f>
        <v>#VALUE!</v>
      </c>
      <c r="IQ148" t="e">
        <f>AND(tecantrop!U423,"AAAAAGw+2fo=")</f>
        <v>#VALUE!</v>
      </c>
      <c r="IR148" t="e">
        <f>AND(tecantrop!V423,"AAAAAGw+2fs=")</f>
        <v>#VALUE!</v>
      </c>
      <c r="IS148" t="e">
        <f>AND(tecantrop!W423,"AAAAAGw+2fw=")</f>
        <v>#VALUE!</v>
      </c>
      <c r="IT148" t="e">
        <f>AND(tecantrop!X423,"AAAAAGw+2f0=")</f>
        <v>#VALUE!</v>
      </c>
      <c r="IU148">
        <f>IF(tecantrop!424:424,"AAAAAGw+2f4=",0)</f>
        <v>0</v>
      </c>
      <c r="IV148" t="e">
        <f>AND(tecantrop!A424,"AAAAAGw+2f8=")</f>
        <v>#VALUE!</v>
      </c>
    </row>
    <row r="149" spans="1:256" x14ac:dyDescent="0.2">
      <c r="A149" t="e">
        <f>AND(tecantrop!B424,"AAAAAHV/5QA=")</f>
        <v>#VALUE!</v>
      </c>
      <c r="B149" t="e">
        <f>AND(tecantrop!C424,"AAAAAHV/5QE=")</f>
        <v>#VALUE!</v>
      </c>
      <c r="C149" t="e">
        <f>AND(tecantrop!D424,"AAAAAHV/5QI=")</f>
        <v>#VALUE!</v>
      </c>
      <c r="D149" t="e">
        <f>AND(tecantrop!E424,"AAAAAHV/5QM=")</f>
        <v>#VALUE!</v>
      </c>
      <c r="E149" t="e">
        <f>AND(tecantrop!F424,"AAAAAHV/5QQ=")</f>
        <v>#VALUE!</v>
      </c>
      <c r="F149" t="e">
        <f>AND(tecantrop!G424,"AAAAAHV/5QU=")</f>
        <v>#VALUE!</v>
      </c>
      <c r="G149" t="e">
        <f>AND(tecantrop!H424,"AAAAAHV/5QY=")</f>
        <v>#VALUE!</v>
      </c>
      <c r="H149" t="e">
        <f>AND(tecantrop!I424,"AAAAAHV/5Qc=")</f>
        <v>#VALUE!</v>
      </c>
      <c r="I149" t="e">
        <f>AND(tecantrop!J424,"AAAAAHV/5Qg=")</f>
        <v>#VALUE!</v>
      </c>
      <c r="J149" t="e">
        <f>AND(tecantrop!K424,"AAAAAHV/5Qk=")</f>
        <v>#VALUE!</v>
      </c>
      <c r="K149" t="e">
        <f>AND(tecantrop!L424,"AAAAAHV/5Qo=")</f>
        <v>#VALUE!</v>
      </c>
      <c r="L149" t="e">
        <f>AND(tecantrop!M424,"AAAAAHV/5Qs=")</f>
        <v>#VALUE!</v>
      </c>
      <c r="M149" t="e">
        <f>AND(tecantrop!N424,"AAAAAHV/5Qw=")</f>
        <v>#VALUE!</v>
      </c>
      <c r="N149" t="e">
        <f>AND(tecantrop!O424,"AAAAAHV/5Q0=")</f>
        <v>#VALUE!</v>
      </c>
      <c r="O149" t="e">
        <f>AND(tecantrop!P424,"AAAAAHV/5Q4=")</f>
        <v>#VALUE!</v>
      </c>
      <c r="P149" t="e">
        <f>AND(tecantrop!Q424,"AAAAAHV/5Q8=")</f>
        <v>#VALUE!</v>
      </c>
      <c r="Q149" t="e">
        <f>AND(tecantrop!R424,"AAAAAHV/5RA=")</f>
        <v>#VALUE!</v>
      </c>
      <c r="R149" t="e">
        <f>AND(tecantrop!S424,"AAAAAHV/5RE=")</f>
        <v>#VALUE!</v>
      </c>
      <c r="S149" t="e">
        <f>AND(tecantrop!T424,"AAAAAHV/5RI=")</f>
        <v>#VALUE!</v>
      </c>
      <c r="T149" t="e">
        <f>AND(tecantrop!U424,"AAAAAHV/5RM=")</f>
        <v>#VALUE!</v>
      </c>
      <c r="U149" t="e">
        <f>AND(tecantrop!V424,"AAAAAHV/5RQ=")</f>
        <v>#VALUE!</v>
      </c>
      <c r="V149" t="e">
        <f>AND(tecantrop!W424,"AAAAAHV/5RU=")</f>
        <v>#VALUE!</v>
      </c>
      <c r="W149" t="e">
        <f>AND(tecantrop!X424,"AAAAAHV/5RY=")</f>
        <v>#VALUE!</v>
      </c>
      <c r="X149">
        <f>IF(tecantrop!425:425,"AAAAAHV/5Rc=",0)</f>
        <v>0</v>
      </c>
      <c r="Y149" t="e">
        <f>AND(tecantrop!A425,"AAAAAHV/5Rg=")</f>
        <v>#VALUE!</v>
      </c>
      <c r="Z149" t="e">
        <f>AND(tecantrop!B425,"AAAAAHV/5Rk=")</f>
        <v>#VALUE!</v>
      </c>
      <c r="AA149" t="e">
        <f>AND(tecantrop!C425,"AAAAAHV/5Ro=")</f>
        <v>#VALUE!</v>
      </c>
      <c r="AB149" t="e">
        <f>AND(tecantrop!D425,"AAAAAHV/5Rs=")</f>
        <v>#VALUE!</v>
      </c>
      <c r="AC149" t="e">
        <f>AND(tecantrop!E425,"AAAAAHV/5Rw=")</f>
        <v>#VALUE!</v>
      </c>
      <c r="AD149" t="e">
        <f>AND(tecantrop!F425,"AAAAAHV/5R0=")</f>
        <v>#VALUE!</v>
      </c>
      <c r="AE149" t="e">
        <f>AND(tecantrop!G425,"AAAAAHV/5R4=")</f>
        <v>#VALUE!</v>
      </c>
      <c r="AF149" t="e">
        <f>AND(tecantrop!H425,"AAAAAHV/5R8=")</f>
        <v>#VALUE!</v>
      </c>
      <c r="AG149" t="e">
        <f>AND(tecantrop!I425,"AAAAAHV/5SA=")</f>
        <v>#VALUE!</v>
      </c>
      <c r="AH149" t="e">
        <f>AND(tecantrop!J425,"AAAAAHV/5SE=")</f>
        <v>#VALUE!</v>
      </c>
      <c r="AI149" t="e">
        <f>AND(tecantrop!K425,"AAAAAHV/5SI=")</f>
        <v>#VALUE!</v>
      </c>
      <c r="AJ149" t="e">
        <f>AND(tecantrop!L425,"AAAAAHV/5SM=")</f>
        <v>#VALUE!</v>
      </c>
      <c r="AK149" t="e">
        <f>AND(tecantrop!M425,"AAAAAHV/5SQ=")</f>
        <v>#VALUE!</v>
      </c>
      <c r="AL149" t="e">
        <f>AND(tecantrop!N425,"AAAAAHV/5SU=")</f>
        <v>#VALUE!</v>
      </c>
      <c r="AM149" t="e">
        <f>AND(tecantrop!O425,"AAAAAHV/5SY=")</f>
        <v>#VALUE!</v>
      </c>
      <c r="AN149" t="e">
        <f>AND(tecantrop!P425,"AAAAAHV/5Sc=")</f>
        <v>#VALUE!</v>
      </c>
      <c r="AO149" t="e">
        <f>AND(tecantrop!Q425,"AAAAAHV/5Sg=")</f>
        <v>#VALUE!</v>
      </c>
      <c r="AP149" t="e">
        <f>AND(tecantrop!R425,"AAAAAHV/5Sk=")</f>
        <v>#VALUE!</v>
      </c>
      <c r="AQ149" t="e">
        <f>AND(tecantrop!S425,"AAAAAHV/5So=")</f>
        <v>#VALUE!</v>
      </c>
      <c r="AR149" t="e">
        <f>AND(tecantrop!T425,"AAAAAHV/5Ss=")</f>
        <v>#VALUE!</v>
      </c>
      <c r="AS149" t="e">
        <f>AND(tecantrop!U425,"AAAAAHV/5Sw=")</f>
        <v>#VALUE!</v>
      </c>
      <c r="AT149" t="e">
        <f>AND(tecantrop!V425,"AAAAAHV/5S0=")</f>
        <v>#VALUE!</v>
      </c>
      <c r="AU149" t="e">
        <f>AND(tecantrop!W425,"AAAAAHV/5S4=")</f>
        <v>#VALUE!</v>
      </c>
      <c r="AV149" t="e">
        <f>AND(tecantrop!X425,"AAAAAHV/5S8=")</f>
        <v>#VALUE!</v>
      </c>
      <c r="AW149">
        <f>IF(tecantrop!426:426,"AAAAAHV/5TA=",0)</f>
        <v>0</v>
      </c>
      <c r="AX149" t="e">
        <f>AND(tecantrop!A426,"AAAAAHV/5TE=")</f>
        <v>#VALUE!</v>
      </c>
      <c r="AY149" t="e">
        <f>AND(tecantrop!B426,"AAAAAHV/5TI=")</f>
        <v>#VALUE!</v>
      </c>
      <c r="AZ149" t="e">
        <f>AND(tecantrop!C426,"AAAAAHV/5TM=")</f>
        <v>#VALUE!</v>
      </c>
      <c r="BA149" t="e">
        <f>AND(tecantrop!D426,"AAAAAHV/5TQ=")</f>
        <v>#VALUE!</v>
      </c>
      <c r="BB149" t="e">
        <f>AND(tecantrop!E426,"AAAAAHV/5TU=")</f>
        <v>#VALUE!</v>
      </c>
      <c r="BC149" t="e">
        <f>AND(tecantrop!F426,"AAAAAHV/5TY=")</f>
        <v>#VALUE!</v>
      </c>
      <c r="BD149" t="e">
        <f>AND(tecantrop!G426,"AAAAAHV/5Tc=")</f>
        <v>#VALUE!</v>
      </c>
      <c r="BE149" t="e">
        <f>AND(tecantrop!H426,"AAAAAHV/5Tg=")</f>
        <v>#VALUE!</v>
      </c>
      <c r="BF149" t="e">
        <f>AND(tecantrop!I426,"AAAAAHV/5Tk=")</f>
        <v>#VALUE!</v>
      </c>
      <c r="BG149" t="e">
        <f>AND(tecantrop!J426,"AAAAAHV/5To=")</f>
        <v>#VALUE!</v>
      </c>
      <c r="BH149" t="e">
        <f>AND(tecantrop!K426,"AAAAAHV/5Ts=")</f>
        <v>#VALUE!</v>
      </c>
      <c r="BI149" t="e">
        <f>AND(tecantrop!L426,"AAAAAHV/5Tw=")</f>
        <v>#VALUE!</v>
      </c>
      <c r="BJ149" t="e">
        <f>AND(tecantrop!M426,"AAAAAHV/5T0=")</f>
        <v>#VALUE!</v>
      </c>
      <c r="BK149" t="e">
        <f>AND(tecantrop!N426,"AAAAAHV/5T4=")</f>
        <v>#VALUE!</v>
      </c>
      <c r="BL149" t="e">
        <f>AND(tecantrop!O426,"AAAAAHV/5T8=")</f>
        <v>#VALUE!</v>
      </c>
      <c r="BM149" t="e">
        <f>AND(tecantrop!P426,"AAAAAHV/5UA=")</f>
        <v>#VALUE!</v>
      </c>
      <c r="BN149" t="e">
        <f>AND(tecantrop!Q426,"AAAAAHV/5UE=")</f>
        <v>#VALUE!</v>
      </c>
      <c r="BO149" t="e">
        <f>AND(tecantrop!R426,"AAAAAHV/5UI=")</f>
        <v>#VALUE!</v>
      </c>
      <c r="BP149" t="e">
        <f>AND(tecantrop!S426,"AAAAAHV/5UM=")</f>
        <v>#VALUE!</v>
      </c>
      <c r="BQ149" t="e">
        <f>AND(tecantrop!T426,"AAAAAHV/5UQ=")</f>
        <v>#VALUE!</v>
      </c>
      <c r="BR149" t="e">
        <f>AND(tecantrop!U426,"AAAAAHV/5UU=")</f>
        <v>#VALUE!</v>
      </c>
      <c r="BS149" t="e">
        <f>AND(tecantrop!V426,"AAAAAHV/5UY=")</f>
        <v>#VALUE!</v>
      </c>
      <c r="BT149" t="e">
        <f>AND(tecantrop!W426,"AAAAAHV/5Uc=")</f>
        <v>#VALUE!</v>
      </c>
      <c r="BU149" t="e">
        <f>AND(tecantrop!X426,"AAAAAHV/5Ug=")</f>
        <v>#VALUE!</v>
      </c>
      <c r="BV149">
        <f>IF(tecantrop!427:427,"AAAAAHV/5Uk=",0)</f>
        <v>0</v>
      </c>
      <c r="BW149" t="e">
        <f>AND(tecantrop!A427,"AAAAAHV/5Uo=")</f>
        <v>#VALUE!</v>
      </c>
      <c r="BX149" t="e">
        <f>AND(tecantrop!B427,"AAAAAHV/5Us=")</f>
        <v>#VALUE!</v>
      </c>
      <c r="BY149" t="e">
        <f>AND(tecantrop!C427,"AAAAAHV/5Uw=")</f>
        <v>#VALUE!</v>
      </c>
      <c r="BZ149" t="e">
        <f>AND(tecantrop!D427,"AAAAAHV/5U0=")</f>
        <v>#VALUE!</v>
      </c>
      <c r="CA149" t="e">
        <f>AND(tecantrop!E427,"AAAAAHV/5U4=")</f>
        <v>#VALUE!</v>
      </c>
      <c r="CB149" t="e">
        <f>AND(tecantrop!F427,"AAAAAHV/5U8=")</f>
        <v>#VALUE!</v>
      </c>
      <c r="CC149" t="e">
        <f>AND(tecantrop!G427,"AAAAAHV/5VA=")</f>
        <v>#VALUE!</v>
      </c>
      <c r="CD149" t="e">
        <f>AND(tecantrop!H427,"AAAAAHV/5VE=")</f>
        <v>#VALUE!</v>
      </c>
      <c r="CE149" t="e">
        <f>AND(tecantrop!I427,"AAAAAHV/5VI=")</f>
        <v>#VALUE!</v>
      </c>
      <c r="CF149" t="e">
        <f>AND(tecantrop!J427,"AAAAAHV/5VM=")</f>
        <v>#VALUE!</v>
      </c>
      <c r="CG149" t="e">
        <f>AND(tecantrop!K427,"AAAAAHV/5VQ=")</f>
        <v>#VALUE!</v>
      </c>
      <c r="CH149" t="e">
        <f>AND(tecantrop!L427,"AAAAAHV/5VU=")</f>
        <v>#VALUE!</v>
      </c>
      <c r="CI149" t="e">
        <f>AND(tecantrop!M427,"AAAAAHV/5VY=")</f>
        <v>#VALUE!</v>
      </c>
      <c r="CJ149" t="e">
        <f>AND(tecantrop!N427,"AAAAAHV/5Vc=")</f>
        <v>#VALUE!</v>
      </c>
      <c r="CK149" t="e">
        <f>AND(tecantrop!O427,"AAAAAHV/5Vg=")</f>
        <v>#VALUE!</v>
      </c>
      <c r="CL149" t="e">
        <f>AND(tecantrop!P427,"AAAAAHV/5Vk=")</f>
        <v>#VALUE!</v>
      </c>
      <c r="CM149" t="e">
        <f>AND(tecantrop!Q427,"AAAAAHV/5Vo=")</f>
        <v>#VALUE!</v>
      </c>
      <c r="CN149" t="e">
        <f>AND(tecantrop!R427,"AAAAAHV/5Vs=")</f>
        <v>#VALUE!</v>
      </c>
      <c r="CO149" t="e">
        <f>AND(tecantrop!S427,"AAAAAHV/5Vw=")</f>
        <v>#VALUE!</v>
      </c>
      <c r="CP149" t="e">
        <f>AND(tecantrop!T427,"AAAAAHV/5V0=")</f>
        <v>#VALUE!</v>
      </c>
      <c r="CQ149" t="e">
        <f>AND(tecantrop!U427,"AAAAAHV/5V4=")</f>
        <v>#VALUE!</v>
      </c>
      <c r="CR149" t="e">
        <f>AND(tecantrop!V427,"AAAAAHV/5V8=")</f>
        <v>#VALUE!</v>
      </c>
      <c r="CS149" t="e">
        <f>AND(tecantrop!W427,"AAAAAHV/5WA=")</f>
        <v>#VALUE!</v>
      </c>
      <c r="CT149" t="e">
        <f>AND(tecantrop!X427,"AAAAAHV/5WE=")</f>
        <v>#VALUE!</v>
      </c>
      <c r="CU149">
        <f>IF(tecantrop!428:428,"AAAAAHV/5WI=",0)</f>
        <v>0</v>
      </c>
      <c r="CV149" t="e">
        <f>AND(tecantrop!A428,"AAAAAHV/5WM=")</f>
        <v>#VALUE!</v>
      </c>
      <c r="CW149" t="e">
        <f>AND(tecantrop!B428,"AAAAAHV/5WQ=")</f>
        <v>#VALUE!</v>
      </c>
      <c r="CX149" t="e">
        <f>AND(tecantrop!C428,"AAAAAHV/5WU=")</f>
        <v>#VALUE!</v>
      </c>
      <c r="CY149" t="e">
        <f>AND(tecantrop!D428,"AAAAAHV/5WY=")</f>
        <v>#VALUE!</v>
      </c>
      <c r="CZ149" t="e">
        <f>AND(tecantrop!E428,"AAAAAHV/5Wc=")</f>
        <v>#VALUE!</v>
      </c>
      <c r="DA149" t="e">
        <f>AND(tecantrop!F428,"AAAAAHV/5Wg=")</f>
        <v>#VALUE!</v>
      </c>
      <c r="DB149" t="e">
        <f>AND(tecantrop!G428,"AAAAAHV/5Wk=")</f>
        <v>#VALUE!</v>
      </c>
      <c r="DC149" t="e">
        <f>AND(tecantrop!H428,"AAAAAHV/5Wo=")</f>
        <v>#VALUE!</v>
      </c>
      <c r="DD149" t="e">
        <f>AND(tecantrop!I428,"AAAAAHV/5Ws=")</f>
        <v>#VALUE!</v>
      </c>
      <c r="DE149" t="e">
        <f>AND(tecantrop!J428,"AAAAAHV/5Ww=")</f>
        <v>#VALUE!</v>
      </c>
      <c r="DF149" t="e">
        <f>AND(tecantrop!K428,"AAAAAHV/5W0=")</f>
        <v>#VALUE!</v>
      </c>
      <c r="DG149" t="e">
        <f>AND(tecantrop!L428,"AAAAAHV/5W4=")</f>
        <v>#VALUE!</v>
      </c>
      <c r="DH149" t="e">
        <f>AND(tecantrop!M428,"AAAAAHV/5W8=")</f>
        <v>#VALUE!</v>
      </c>
      <c r="DI149" t="e">
        <f>AND(tecantrop!N428,"AAAAAHV/5XA=")</f>
        <v>#VALUE!</v>
      </c>
      <c r="DJ149" t="e">
        <f>AND(tecantrop!O428,"AAAAAHV/5XE=")</f>
        <v>#VALUE!</v>
      </c>
      <c r="DK149" t="e">
        <f>AND(tecantrop!P428,"AAAAAHV/5XI=")</f>
        <v>#VALUE!</v>
      </c>
      <c r="DL149" t="e">
        <f>AND(tecantrop!Q428,"AAAAAHV/5XM=")</f>
        <v>#VALUE!</v>
      </c>
      <c r="DM149" t="e">
        <f>AND(tecantrop!R428,"AAAAAHV/5XQ=")</f>
        <v>#VALUE!</v>
      </c>
      <c r="DN149" t="e">
        <f>AND(tecantrop!S428,"AAAAAHV/5XU=")</f>
        <v>#VALUE!</v>
      </c>
      <c r="DO149" t="e">
        <f>AND(tecantrop!T428,"AAAAAHV/5XY=")</f>
        <v>#VALUE!</v>
      </c>
      <c r="DP149" t="e">
        <f>AND(tecantrop!U428,"AAAAAHV/5Xc=")</f>
        <v>#VALUE!</v>
      </c>
      <c r="DQ149" t="e">
        <f>AND(tecantrop!V428,"AAAAAHV/5Xg=")</f>
        <v>#VALUE!</v>
      </c>
      <c r="DR149" t="e">
        <f>AND(tecantrop!W428,"AAAAAHV/5Xk=")</f>
        <v>#VALUE!</v>
      </c>
      <c r="DS149" t="e">
        <f>AND(tecantrop!X428,"AAAAAHV/5Xo=")</f>
        <v>#VALUE!</v>
      </c>
      <c r="DT149">
        <f>IF(tecantrop!429:429,"AAAAAHV/5Xs=",0)</f>
        <v>0</v>
      </c>
      <c r="DU149" t="e">
        <f>AND(tecantrop!A429,"AAAAAHV/5Xw=")</f>
        <v>#VALUE!</v>
      </c>
      <c r="DV149" t="e">
        <f>AND(tecantrop!B429,"AAAAAHV/5X0=")</f>
        <v>#VALUE!</v>
      </c>
      <c r="DW149" t="e">
        <f>AND(tecantrop!C429,"AAAAAHV/5X4=")</f>
        <v>#VALUE!</v>
      </c>
      <c r="DX149" t="e">
        <f>AND(tecantrop!D429,"AAAAAHV/5X8=")</f>
        <v>#VALUE!</v>
      </c>
      <c r="DY149" t="e">
        <f>AND(tecantrop!E429,"AAAAAHV/5YA=")</f>
        <v>#VALUE!</v>
      </c>
      <c r="DZ149" t="e">
        <f>AND(tecantrop!F429,"AAAAAHV/5YE=")</f>
        <v>#VALUE!</v>
      </c>
      <c r="EA149" t="e">
        <f>AND(tecantrop!G429,"AAAAAHV/5YI=")</f>
        <v>#VALUE!</v>
      </c>
      <c r="EB149" t="e">
        <f>AND(tecantrop!H429,"AAAAAHV/5YM=")</f>
        <v>#VALUE!</v>
      </c>
      <c r="EC149" t="e">
        <f>AND(tecantrop!I429,"AAAAAHV/5YQ=")</f>
        <v>#VALUE!</v>
      </c>
      <c r="ED149" t="e">
        <f>AND(tecantrop!J429,"AAAAAHV/5YU=")</f>
        <v>#VALUE!</v>
      </c>
      <c r="EE149" t="e">
        <f>AND(tecantrop!K429,"AAAAAHV/5YY=")</f>
        <v>#VALUE!</v>
      </c>
      <c r="EF149" t="e">
        <f>AND(tecantrop!L429,"AAAAAHV/5Yc=")</f>
        <v>#VALUE!</v>
      </c>
      <c r="EG149" t="e">
        <f>AND(tecantrop!M429,"AAAAAHV/5Yg=")</f>
        <v>#VALUE!</v>
      </c>
      <c r="EH149" t="e">
        <f>AND(tecantrop!N429,"AAAAAHV/5Yk=")</f>
        <v>#VALUE!</v>
      </c>
      <c r="EI149" t="e">
        <f>AND(tecantrop!O429,"AAAAAHV/5Yo=")</f>
        <v>#VALUE!</v>
      </c>
      <c r="EJ149" t="e">
        <f>AND(tecantrop!P429,"AAAAAHV/5Ys=")</f>
        <v>#VALUE!</v>
      </c>
      <c r="EK149" t="e">
        <f>AND(tecantrop!Q429,"AAAAAHV/5Yw=")</f>
        <v>#VALUE!</v>
      </c>
      <c r="EL149" t="e">
        <f>AND(tecantrop!R429,"AAAAAHV/5Y0=")</f>
        <v>#VALUE!</v>
      </c>
      <c r="EM149" t="e">
        <f>AND(tecantrop!S429,"AAAAAHV/5Y4=")</f>
        <v>#VALUE!</v>
      </c>
      <c r="EN149" t="e">
        <f>AND(tecantrop!T429,"AAAAAHV/5Y8=")</f>
        <v>#VALUE!</v>
      </c>
      <c r="EO149" t="e">
        <f>AND(tecantrop!U429,"AAAAAHV/5ZA=")</f>
        <v>#VALUE!</v>
      </c>
      <c r="EP149" t="e">
        <f>AND(tecantrop!V429,"AAAAAHV/5ZE=")</f>
        <v>#VALUE!</v>
      </c>
      <c r="EQ149" t="e">
        <f>AND(tecantrop!W429,"AAAAAHV/5ZI=")</f>
        <v>#VALUE!</v>
      </c>
      <c r="ER149" t="e">
        <f>AND(tecantrop!X429,"AAAAAHV/5ZM=")</f>
        <v>#VALUE!</v>
      </c>
      <c r="ES149">
        <f>IF(tecantrop!430:430,"AAAAAHV/5ZQ=",0)</f>
        <v>0</v>
      </c>
      <c r="ET149" t="e">
        <f>AND(tecantrop!A430,"AAAAAHV/5ZU=")</f>
        <v>#VALUE!</v>
      </c>
      <c r="EU149" t="e">
        <f>AND(tecantrop!B430,"AAAAAHV/5ZY=")</f>
        <v>#VALUE!</v>
      </c>
      <c r="EV149" t="e">
        <f>AND(tecantrop!C430,"AAAAAHV/5Zc=")</f>
        <v>#VALUE!</v>
      </c>
      <c r="EW149" t="e">
        <f>AND(tecantrop!D430,"AAAAAHV/5Zg=")</f>
        <v>#VALUE!</v>
      </c>
      <c r="EX149" t="e">
        <f>AND(tecantrop!E430,"AAAAAHV/5Zk=")</f>
        <v>#VALUE!</v>
      </c>
      <c r="EY149" t="e">
        <f>AND(tecantrop!F430,"AAAAAHV/5Zo=")</f>
        <v>#VALUE!</v>
      </c>
      <c r="EZ149" t="e">
        <f>AND(tecantrop!G430,"AAAAAHV/5Zs=")</f>
        <v>#VALUE!</v>
      </c>
      <c r="FA149" t="e">
        <f>AND(tecantrop!H430,"AAAAAHV/5Zw=")</f>
        <v>#VALUE!</v>
      </c>
      <c r="FB149" t="e">
        <f>AND(tecantrop!I430,"AAAAAHV/5Z0=")</f>
        <v>#VALUE!</v>
      </c>
      <c r="FC149" t="e">
        <f>AND(tecantrop!J430,"AAAAAHV/5Z4=")</f>
        <v>#VALUE!</v>
      </c>
      <c r="FD149" t="e">
        <f>AND(tecantrop!K430,"AAAAAHV/5Z8=")</f>
        <v>#VALUE!</v>
      </c>
      <c r="FE149" t="e">
        <f>AND(tecantrop!L430,"AAAAAHV/5aA=")</f>
        <v>#VALUE!</v>
      </c>
      <c r="FF149" t="e">
        <f>AND(tecantrop!M430,"AAAAAHV/5aE=")</f>
        <v>#VALUE!</v>
      </c>
      <c r="FG149" t="e">
        <f>AND(tecantrop!N430,"AAAAAHV/5aI=")</f>
        <v>#VALUE!</v>
      </c>
      <c r="FH149" t="e">
        <f>AND(tecantrop!O430,"AAAAAHV/5aM=")</f>
        <v>#VALUE!</v>
      </c>
      <c r="FI149" t="e">
        <f>AND(tecantrop!P430,"AAAAAHV/5aQ=")</f>
        <v>#VALUE!</v>
      </c>
      <c r="FJ149" t="e">
        <f>AND(tecantrop!Q430,"AAAAAHV/5aU=")</f>
        <v>#VALUE!</v>
      </c>
      <c r="FK149" t="e">
        <f>AND(tecantrop!R430,"AAAAAHV/5aY=")</f>
        <v>#VALUE!</v>
      </c>
      <c r="FL149" t="e">
        <f>AND(tecantrop!S430,"AAAAAHV/5ac=")</f>
        <v>#VALUE!</v>
      </c>
      <c r="FM149" t="e">
        <f>AND(tecantrop!T430,"AAAAAHV/5ag=")</f>
        <v>#VALUE!</v>
      </c>
      <c r="FN149" t="e">
        <f>AND(tecantrop!U430,"AAAAAHV/5ak=")</f>
        <v>#VALUE!</v>
      </c>
      <c r="FO149" t="e">
        <f>AND(tecantrop!V430,"AAAAAHV/5ao=")</f>
        <v>#VALUE!</v>
      </c>
      <c r="FP149" t="e">
        <f>AND(tecantrop!W430,"AAAAAHV/5as=")</f>
        <v>#VALUE!</v>
      </c>
      <c r="FQ149" t="e">
        <f>AND(tecantrop!X430,"AAAAAHV/5aw=")</f>
        <v>#VALUE!</v>
      </c>
      <c r="FR149">
        <f>IF(tecantrop!431:431,"AAAAAHV/5a0=",0)</f>
        <v>0</v>
      </c>
      <c r="FS149" t="e">
        <f>AND(tecantrop!A431,"AAAAAHV/5a4=")</f>
        <v>#VALUE!</v>
      </c>
      <c r="FT149" t="e">
        <f>AND(tecantrop!B431,"AAAAAHV/5a8=")</f>
        <v>#VALUE!</v>
      </c>
      <c r="FU149" t="e">
        <f>AND(tecantrop!C431,"AAAAAHV/5bA=")</f>
        <v>#VALUE!</v>
      </c>
      <c r="FV149" t="e">
        <f>AND(tecantrop!D431,"AAAAAHV/5bE=")</f>
        <v>#VALUE!</v>
      </c>
      <c r="FW149" t="e">
        <f>AND(tecantrop!E431,"AAAAAHV/5bI=")</f>
        <v>#VALUE!</v>
      </c>
      <c r="FX149" t="e">
        <f>AND(tecantrop!F431,"AAAAAHV/5bM=")</f>
        <v>#VALUE!</v>
      </c>
      <c r="FY149" t="e">
        <f>AND(tecantrop!G431,"AAAAAHV/5bQ=")</f>
        <v>#VALUE!</v>
      </c>
      <c r="FZ149" t="e">
        <f>AND(tecantrop!H431,"AAAAAHV/5bU=")</f>
        <v>#VALUE!</v>
      </c>
      <c r="GA149" t="e">
        <f>AND(tecantrop!I431,"AAAAAHV/5bY=")</f>
        <v>#VALUE!</v>
      </c>
      <c r="GB149" t="e">
        <f>AND(tecantrop!J431,"AAAAAHV/5bc=")</f>
        <v>#VALUE!</v>
      </c>
      <c r="GC149" t="e">
        <f>AND(tecantrop!K431,"AAAAAHV/5bg=")</f>
        <v>#VALUE!</v>
      </c>
      <c r="GD149" t="e">
        <f>AND(tecantrop!L431,"AAAAAHV/5bk=")</f>
        <v>#VALUE!</v>
      </c>
      <c r="GE149" t="e">
        <f>AND(tecantrop!M431,"AAAAAHV/5bo=")</f>
        <v>#VALUE!</v>
      </c>
      <c r="GF149" t="e">
        <f>AND(tecantrop!N431,"AAAAAHV/5bs=")</f>
        <v>#VALUE!</v>
      </c>
      <c r="GG149" t="e">
        <f>AND(tecantrop!O431,"AAAAAHV/5bw=")</f>
        <v>#VALUE!</v>
      </c>
      <c r="GH149" t="e">
        <f>AND(tecantrop!P431,"AAAAAHV/5b0=")</f>
        <v>#VALUE!</v>
      </c>
      <c r="GI149" t="e">
        <f>AND(tecantrop!Q431,"AAAAAHV/5b4=")</f>
        <v>#VALUE!</v>
      </c>
      <c r="GJ149" t="e">
        <f>AND(tecantrop!R431,"AAAAAHV/5b8=")</f>
        <v>#VALUE!</v>
      </c>
      <c r="GK149" t="e">
        <f>AND(tecantrop!S431,"AAAAAHV/5cA=")</f>
        <v>#VALUE!</v>
      </c>
      <c r="GL149" t="e">
        <f>AND(tecantrop!T431,"AAAAAHV/5cE=")</f>
        <v>#VALUE!</v>
      </c>
      <c r="GM149" t="e">
        <f>AND(tecantrop!U431,"AAAAAHV/5cI=")</f>
        <v>#VALUE!</v>
      </c>
      <c r="GN149" t="e">
        <f>AND(tecantrop!V431,"AAAAAHV/5cM=")</f>
        <v>#VALUE!</v>
      </c>
      <c r="GO149" t="e">
        <f>AND(tecantrop!W431,"AAAAAHV/5cQ=")</f>
        <v>#VALUE!</v>
      </c>
      <c r="GP149" t="e">
        <f>AND(tecantrop!X431,"AAAAAHV/5cU=")</f>
        <v>#VALUE!</v>
      </c>
      <c r="GQ149">
        <f>IF(tecantrop!432:432,"AAAAAHV/5cY=",0)</f>
        <v>0</v>
      </c>
      <c r="GR149" t="e">
        <f>AND(tecantrop!A432,"AAAAAHV/5cc=")</f>
        <v>#VALUE!</v>
      </c>
      <c r="GS149" t="e">
        <f>AND(tecantrop!B432,"AAAAAHV/5cg=")</f>
        <v>#VALUE!</v>
      </c>
      <c r="GT149" t="e">
        <f>AND(tecantrop!C432,"AAAAAHV/5ck=")</f>
        <v>#VALUE!</v>
      </c>
      <c r="GU149" t="e">
        <f>AND(tecantrop!D432,"AAAAAHV/5co=")</f>
        <v>#VALUE!</v>
      </c>
      <c r="GV149" t="e">
        <f>AND(tecantrop!E432,"AAAAAHV/5cs=")</f>
        <v>#VALUE!</v>
      </c>
      <c r="GW149" t="e">
        <f>AND(tecantrop!F432,"AAAAAHV/5cw=")</f>
        <v>#VALUE!</v>
      </c>
      <c r="GX149" t="e">
        <f>AND(tecantrop!G432,"AAAAAHV/5c0=")</f>
        <v>#VALUE!</v>
      </c>
      <c r="GY149" t="e">
        <f>AND(tecantrop!H432,"AAAAAHV/5c4=")</f>
        <v>#VALUE!</v>
      </c>
      <c r="GZ149" t="e">
        <f>AND(tecantrop!I432,"AAAAAHV/5c8=")</f>
        <v>#VALUE!</v>
      </c>
      <c r="HA149" t="e">
        <f>AND(tecantrop!J432,"AAAAAHV/5dA=")</f>
        <v>#VALUE!</v>
      </c>
      <c r="HB149" t="e">
        <f>AND(tecantrop!K432,"AAAAAHV/5dE=")</f>
        <v>#VALUE!</v>
      </c>
      <c r="HC149" t="e">
        <f>AND(tecantrop!L432,"AAAAAHV/5dI=")</f>
        <v>#VALUE!</v>
      </c>
      <c r="HD149" t="e">
        <f>AND(tecantrop!M432,"AAAAAHV/5dM=")</f>
        <v>#VALUE!</v>
      </c>
      <c r="HE149" t="e">
        <f>AND(tecantrop!N432,"AAAAAHV/5dQ=")</f>
        <v>#VALUE!</v>
      </c>
      <c r="HF149" t="e">
        <f>AND(tecantrop!O432,"AAAAAHV/5dU=")</f>
        <v>#VALUE!</v>
      </c>
      <c r="HG149" t="e">
        <f>AND(tecantrop!P432,"AAAAAHV/5dY=")</f>
        <v>#VALUE!</v>
      </c>
      <c r="HH149" t="e">
        <f>AND(tecantrop!Q432,"AAAAAHV/5dc=")</f>
        <v>#VALUE!</v>
      </c>
      <c r="HI149" t="e">
        <f>AND(tecantrop!R432,"AAAAAHV/5dg=")</f>
        <v>#VALUE!</v>
      </c>
      <c r="HJ149" t="e">
        <f>AND(tecantrop!S432,"AAAAAHV/5dk=")</f>
        <v>#VALUE!</v>
      </c>
      <c r="HK149" t="e">
        <f>AND(tecantrop!T432,"AAAAAHV/5do=")</f>
        <v>#VALUE!</v>
      </c>
      <c r="HL149" t="e">
        <f>AND(tecantrop!U432,"AAAAAHV/5ds=")</f>
        <v>#VALUE!</v>
      </c>
      <c r="HM149" t="e">
        <f>AND(tecantrop!V432,"AAAAAHV/5dw=")</f>
        <v>#VALUE!</v>
      </c>
      <c r="HN149" t="e">
        <f>AND(tecantrop!W432,"AAAAAHV/5d0=")</f>
        <v>#VALUE!</v>
      </c>
      <c r="HO149" t="e">
        <f>AND(tecantrop!X432,"AAAAAHV/5d4=")</f>
        <v>#VALUE!</v>
      </c>
      <c r="HP149">
        <f>IF(tecantrop!433:433,"AAAAAHV/5d8=",0)</f>
        <v>0</v>
      </c>
      <c r="HQ149" t="e">
        <f>AND(tecantrop!A433,"AAAAAHV/5eA=")</f>
        <v>#VALUE!</v>
      </c>
      <c r="HR149" t="e">
        <f>AND(tecantrop!B433,"AAAAAHV/5eE=")</f>
        <v>#VALUE!</v>
      </c>
      <c r="HS149" t="e">
        <f>AND(tecantrop!C433,"AAAAAHV/5eI=")</f>
        <v>#VALUE!</v>
      </c>
      <c r="HT149" t="e">
        <f>AND(tecantrop!D433,"AAAAAHV/5eM=")</f>
        <v>#VALUE!</v>
      </c>
      <c r="HU149" t="e">
        <f>AND(tecantrop!E433,"AAAAAHV/5eQ=")</f>
        <v>#VALUE!</v>
      </c>
      <c r="HV149" t="e">
        <f>AND(tecantrop!F433,"AAAAAHV/5eU=")</f>
        <v>#VALUE!</v>
      </c>
      <c r="HW149" t="e">
        <f>AND(tecantrop!G433,"AAAAAHV/5eY=")</f>
        <v>#VALUE!</v>
      </c>
      <c r="HX149" t="e">
        <f>AND(tecantrop!H433,"AAAAAHV/5ec=")</f>
        <v>#VALUE!</v>
      </c>
      <c r="HY149" t="e">
        <f>AND(tecantrop!I433,"AAAAAHV/5eg=")</f>
        <v>#VALUE!</v>
      </c>
      <c r="HZ149" t="e">
        <f>AND(tecantrop!J433,"AAAAAHV/5ek=")</f>
        <v>#VALUE!</v>
      </c>
      <c r="IA149" t="e">
        <f>AND(tecantrop!K433,"AAAAAHV/5eo=")</f>
        <v>#VALUE!</v>
      </c>
      <c r="IB149" t="e">
        <f>AND(tecantrop!L433,"AAAAAHV/5es=")</f>
        <v>#VALUE!</v>
      </c>
      <c r="IC149" t="e">
        <f>AND(tecantrop!M433,"AAAAAHV/5ew=")</f>
        <v>#VALUE!</v>
      </c>
      <c r="ID149" t="e">
        <f>AND(tecantrop!N433,"AAAAAHV/5e0=")</f>
        <v>#VALUE!</v>
      </c>
      <c r="IE149" t="e">
        <f>AND(tecantrop!O433,"AAAAAHV/5e4=")</f>
        <v>#VALUE!</v>
      </c>
      <c r="IF149" t="e">
        <f>AND(tecantrop!P433,"AAAAAHV/5e8=")</f>
        <v>#VALUE!</v>
      </c>
      <c r="IG149" t="e">
        <f>AND(tecantrop!Q433,"AAAAAHV/5fA=")</f>
        <v>#VALUE!</v>
      </c>
      <c r="IH149" t="e">
        <f>AND(tecantrop!R433,"AAAAAHV/5fE=")</f>
        <v>#VALUE!</v>
      </c>
      <c r="II149" t="e">
        <f>AND(tecantrop!S433,"AAAAAHV/5fI=")</f>
        <v>#VALUE!</v>
      </c>
      <c r="IJ149" t="e">
        <f>AND(tecantrop!T433,"AAAAAHV/5fM=")</f>
        <v>#VALUE!</v>
      </c>
      <c r="IK149" t="e">
        <f>AND(tecantrop!U433,"AAAAAHV/5fQ=")</f>
        <v>#VALUE!</v>
      </c>
      <c r="IL149" t="e">
        <f>AND(tecantrop!V433,"AAAAAHV/5fU=")</f>
        <v>#VALUE!</v>
      </c>
      <c r="IM149" t="e">
        <f>AND(tecantrop!W433,"AAAAAHV/5fY=")</f>
        <v>#VALUE!</v>
      </c>
      <c r="IN149" t="e">
        <f>AND(tecantrop!X433,"AAAAAHV/5fc=")</f>
        <v>#VALUE!</v>
      </c>
      <c r="IO149">
        <f>IF(tecantrop!434:434,"AAAAAHV/5fg=",0)</f>
        <v>0</v>
      </c>
      <c r="IP149" t="e">
        <f>AND(tecantrop!A434,"AAAAAHV/5fk=")</f>
        <v>#VALUE!</v>
      </c>
      <c r="IQ149" t="e">
        <f>AND(tecantrop!B434,"AAAAAHV/5fo=")</f>
        <v>#VALUE!</v>
      </c>
      <c r="IR149" t="e">
        <f>AND(tecantrop!C434,"AAAAAHV/5fs=")</f>
        <v>#VALUE!</v>
      </c>
      <c r="IS149" t="e">
        <f>AND(tecantrop!D434,"AAAAAHV/5fw=")</f>
        <v>#VALUE!</v>
      </c>
      <c r="IT149" t="e">
        <f>AND(tecantrop!E434,"AAAAAHV/5f0=")</f>
        <v>#VALUE!</v>
      </c>
      <c r="IU149" t="e">
        <f>AND(tecantrop!F434,"AAAAAHV/5f4=")</f>
        <v>#VALUE!</v>
      </c>
      <c r="IV149" t="e">
        <f>AND(tecantrop!G434,"AAAAAHV/5f8=")</f>
        <v>#VALUE!</v>
      </c>
    </row>
    <row r="150" spans="1:256" x14ac:dyDescent="0.2">
      <c r="A150" t="e">
        <f>AND(tecantrop!H434,"AAAAAFsSXwA=")</f>
        <v>#VALUE!</v>
      </c>
      <c r="B150" t="e">
        <f>AND(tecantrop!I434,"AAAAAFsSXwE=")</f>
        <v>#VALUE!</v>
      </c>
      <c r="C150" t="e">
        <f>AND(tecantrop!J434,"AAAAAFsSXwI=")</f>
        <v>#VALUE!</v>
      </c>
      <c r="D150" t="e">
        <f>AND(tecantrop!K434,"AAAAAFsSXwM=")</f>
        <v>#VALUE!</v>
      </c>
      <c r="E150" t="e">
        <f>AND(tecantrop!L434,"AAAAAFsSXwQ=")</f>
        <v>#VALUE!</v>
      </c>
      <c r="F150" t="e">
        <f>AND(tecantrop!M434,"AAAAAFsSXwU=")</f>
        <v>#VALUE!</v>
      </c>
      <c r="G150" t="e">
        <f>AND(tecantrop!N434,"AAAAAFsSXwY=")</f>
        <v>#VALUE!</v>
      </c>
      <c r="H150" t="e">
        <f>AND(tecantrop!O434,"AAAAAFsSXwc=")</f>
        <v>#VALUE!</v>
      </c>
      <c r="I150" t="e">
        <f>AND(tecantrop!P434,"AAAAAFsSXwg=")</f>
        <v>#VALUE!</v>
      </c>
      <c r="J150" t="e">
        <f>AND(tecantrop!Q434,"AAAAAFsSXwk=")</f>
        <v>#VALUE!</v>
      </c>
      <c r="K150" t="e">
        <f>AND(tecantrop!R434,"AAAAAFsSXwo=")</f>
        <v>#VALUE!</v>
      </c>
      <c r="L150" t="e">
        <f>AND(tecantrop!S434,"AAAAAFsSXws=")</f>
        <v>#VALUE!</v>
      </c>
      <c r="M150" t="e">
        <f>AND(tecantrop!T434,"AAAAAFsSXww=")</f>
        <v>#VALUE!</v>
      </c>
      <c r="N150" t="e">
        <f>AND(tecantrop!U434,"AAAAAFsSXw0=")</f>
        <v>#VALUE!</v>
      </c>
      <c r="O150" t="e">
        <f>AND(tecantrop!V434,"AAAAAFsSXw4=")</f>
        <v>#VALUE!</v>
      </c>
      <c r="P150" t="e">
        <f>AND(tecantrop!W434,"AAAAAFsSXw8=")</f>
        <v>#VALUE!</v>
      </c>
      <c r="Q150" t="e">
        <f>AND(tecantrop!X434,"AAAAAFsSXxA=")</f>
        <v>#VALUE!</v>
      </c>
      <c r="R150">
        <f>IF(tecantrop!435:435,"AAAAAFsSXxE=",0)</f>
        <v>0</v>
      </c>
      <c r="S150" t="e">
        <f>AND(tecantrop!A435,"AAAAAFsSXxI=")</f>
        <v>#VALUE!</v>
      </c>
      <c r="T150" t="e">
        <f>AND(tecantrop!B435,"AAAAAFsSXxM=")</f>
        <v>#VALUE!</v>
      </c>
      <c r="U150" t="e">
        <f>AND(tecantrop!C435,"AAAAAFsSXxQ=")</f>
        <v>#VALUE!</v>
      </c>
      <c r="V150" t="e">
        <f>AND(tecantrop!D435,"AAAAAFsSXxU=")</f>
        <v>#VALUE!</v>
      </c>
      <c r="W150" t="e">
        <f>AND(tecantrop!E435,"AAAAAFsSXxY=")</f>
        <v>#VALUE!</v>
      </c>
      <c r="X150" t="e">
        <f>AND(tecantrop!F435,"AAAAAFsSXxc=")</f>
        <v>#VALUE!</v>
      </c>
      <c r="Y150" t="e">
        <f>AND(tecantrop!G435,"AAAAAFsSXxg=")</f>
        <v>#VALUE!</v>
      </c>
      <c r="Z150" t="e">
        <f>AND(tecantrop!H435,"AAAAAFsSXxk=")</f>
        <v>#VALUE!</v>
      </c>
      <c r="AA150" t="e">
        <f>AND(tecantrop!I435,"AAAAAFsSXxo=")</f>
        <v>#VALUE!</v>
      </c>
      <c r="AB150" t="e">
        <f>AND(tecantrop!J435,"AAAAAFsSXxs=")</f>
        <v>#VALUE!</v>
      </c>
      <c r="AC150" t="e">
        <f>AND(tecantrop!K435,"AAAAAFsSXxw=")</f>
        <v>#VALUE!</v>
      </c>
      <c r="AD150" t="e">
        <f>AND(tecantrop!L435,"AAAAAFsSXx0=")</f>
        <v>#VALUE!</v>
      </c>
      <c r="AE150" t="e">
        <f>AND(tecantrop!M435,"AAAAAFsSXx4=")</f>
        <v>#VALUE!</v>
      </c>
      <c r="AF150" t="e">
        <f>AND(tecantrop!N435,"AAAAAFsSXx8=")</f>
        <v>#VALUE!</v>
      </c>
      <c r="AG150" t="e">
        <f>AND(tecantrop!O435,"AAAAAFsSXyA=")</f>
        <v>#VALUE!</v>
      </c>
      <c r="AH150" t="e">
        <f>AND(tecantrop!P435,"AAAAAFsSXyE=")</f>
        <v>#VALUE!</v>
      </c>
      <c r="AI150" t="e">
        <f>AND(tecantrop!Q435,"AAAAAFsSXyI=")</f>
        <v>#VALUE!</v>
      </c>
      <c r="AJ150" t="e">
        <f>AND(tecantrop!R435,"AAAAAFsSXyM=")</f>
        <v>#VALUE!</v>
      </c>
      <c r="AK150" t="e">
        <f>AND(tecantrop!S435,"AAAAAFsSXyQ=")</f>
        <v>#VALUE!</v>
      </c>
      <c r="AL150" t="e">
        <f>AND(tecantrop!T435,"AAAAAFsSXyU=")</f>
        <v>#VALUE!</v>
      </c>
      <c r="AM150" t="e">
        <f>AND(tecantrop!U435,"AAAAAFsSXyY=")</f>
        <v>#VALUE!</v>
      </c>
      <c r="AN150" t="e">
        <f>AND(tecantrop!V435,"AAAAAFsSXyc=")</f>
        <v>#VALUE!</v>
      </c>
      <c r="AO150" t="e">
        <f>AND(tecantrop!W435,"AAAAAFsSXyg=")</f>
        <v>#VALUE!</v>
      </c>
      <c r="AP150" t="e">
        <f>AND(tecantrop!X435,"AAAAAFsSXyk=")</f>
        <v>#VALUE!</v>
      </c>
      <c r="AQ150">
        <f>IF(tecantrop!436:436,"AAAAAFsSXyo=",0)</f>
        <v>0</v>
      </c>
      <c r="AR150" t="e">
        <f>AND(tecantrop!A436,"AAAAAFsSXys=")</f>
        <v>#VALUE!</v>
      </c>
      <c r="AS150" t="e">
        <f>AND(tecantrop!B436,"AAAAAFsSXyw=")</f>
        <v>#VALUE!</v>
      </c>
      <c r="AT150" t="e">
        <f>AND(tecantrop!C436,"AAAAAFsSXy0=")</f>
        <v>#VALUE!</v>
      </c>
      <c r="AU150" t="e">
        <f>AND(tecantrop!D436,"AAAAAFsSXy4=")</f>
        <v>#VALUE!</v>
      </c>
      <c r="AV150" t="e">
        <f>AND(tecantrop!E436,"AAAAAFsSXy8=")</f>
        <v>#VALUE!</v>
      </c>
      <c r="AW150" t="e">
        <f>AND(tecantrop!F436,"AAAAAFsSXzA=")</f>
        <v>#VALUE!</v>
      </c>
      <c r="AX150" t="e">
        <f>AND(tecantrop!G436,"AAAAAFsSXzE=")</f>
        <v>#VALUE!</v>
      </c>
      <c r="AY150" t="e">
        <f>AND(tecantrop!H436,"AAAAAFsSXzI=")</f>
        <v>#VALUE!</v>
      </c>
      <c r="AZ150" t="e">
        <f>AND(tecantrop!I436,"AAAAAFsSXzM=")</f>
        <v>#VALUE!</v>
      </c>
      <c r="BA150" t="e">
        <f>AND(tecantrop!J436,"AAAAAFsSXzQ=")</f>
        <v>#VALUE!</v>
      </c>
      <c r="BB150" t="e">
        <f>AND(tecantrop!K436,"AAAAAFsSXzU=")</f>
        <v>#VALUE!</v>
      </c>
      <c r="BC150" t="e">
        <f>AND(tecantrop!L436,"AAAAAFsSXzY=")</f>
        <v>#VALUE!</v>
      </c>
      <c r="BD150" t="e">
        <f>AND(tecantrop!M436,"AAAAAFsSXzc=")</f>
        <v>#VALUE!</v>
      </c>
      <c r="BE150" t="e">
        <f>AND(tecantrop!N436,"AAAAAFsSXzg=")</f>
        <v>#VALUE!</v>
      </c>
      <c r="BF150" t="e">
        <f>AND(tecantrop!O436,"AAAAAFsSXzk=")</f>
        <v>#VALUE!</v>
      </c>
      <c r="BG150" t="e">
        <f>AND(tecantrop!P436,"AAAAAFsSXzo=")</f>
        <v>#VALUE!</v>
      </c>
      <c r="BH150" t="e">
        <f>AND(tecantrop!Q436,"AAAAAFsSXzs=")</f>
        <v>#VALUE!</v>
      </c>
      <c r="BI150" t="e">
        <f>AND(tecantrop!R436,"AAAAAFsSXzw=")</f>
        <v>#VALUE!</v>
      </c>
      <c r="BJ150" t="e">
        <f>AND(tecantrop!S436,"AAAAAFsSXz0=")</f>
        <v>#VALUE!</v>
      </c>
      <c r="BK150" t="e">
        <f>AND(tecantrop!T436,"AAAAAFsSXz4=")</f>
        <v>#VALUE!</v>
      </c>
      <c r="BL150" t="e">
        <f>AND(tecantrop!U436,"AAAAAFsSXz8=")</f>
        <v>#VALUE!</v>
      </c>
      <c r="BM150" t="e">
        <f>AND(tecantrop!V436,"AAAAAFsSX0A=")</f>
        <v>#VALUE!</v>
      </c>
      <c r="BN150" t="e">
        <f>AND(tecantrop!W436,"AAAAAFsSX0E=")</f>
        <v>#VALUE!</v>
      </c>
      <c r="BO150" t="e">
        <f>AND(tecantrop!X436,"AAAAAFsSX0I=")</f>
        <v>#VALUE!</v>
      </c>
      <c r="BP150">
        <f>IF(tecantrop!437:437,"AAAAAFsSX0M=",0)</f>
        <v>0</v>
      </c>
      <c r="BQ150" t="e">
        <f>AND(tecantrop!A437,"AAAAAFsSX0Q=")</f>
        <v>#VALUE!</v>
      </c>
      <c r="BR150" t="e">
        <f>AND(tecantrop!B437,"AAAAAFsSX0U=")</f>
        <v>#VALUE!</v>
      </c>
      <c r="BS150" t="e">
        <f>AND(tecantrop!C437,"AAAAAFsSX0Y=")</f>
        <v>#VALUE!</v>
      </c>
      <c r="BT150" t="e">
        <f>AND(tecantrop!D437,"AAAAAFsSX0c=")</f>
        <v>#VALUE!</v>
      </c>
      <c r="BU150" t="e">
        <f>AND(tecantrop!E437,"AAAAAFsSX0g=")</f>
        <v>#VALUE!</v>
      </c>
      <c r="BV150" t="e">
        <f>AND(tecantrop!F437,"AAAAAFsSX0k=")</f>
        <v>#VALUE!</v>
      </c>
      <c r="BW150" t="e">
        <f>AND(tecantrop!G437,"AAAAAFsSX0o=")</f>
        <v>#VALUE!</v>
      </c>
      <c r="BX150" t="e">
        <f>AND(tecantrop!H437,"AAAAAFsSX0s=")</f>
        <v>#VALUE!</v>
      </c>
      <c r="BY150" t="e">
        <f>AND(tecantrop!I437,"AAAAAFsSX0w=")</f>
        <v>#VALUE!</v>
      </c>
      <c r="BZ150" t="e">
        <f>AND(tecantrop!J437,"AAAAAFsSX00=")</f>
        <v>#VALUE!</v>
      </c>
      <c r="CA150" t="e">
        <f>AND(tecantrop!K437,"AAAAAFsSX04=")</f>
        <v>#VALUE!</v>
      </c>
      <c r="CB150" t="e">
        <f>AND(tecantrop!L437,"AAAAAFsSX08=")</f>
        <v>#VALUE!</v>
      </c>
      <c r="CC150" t="e">
        <f>AND(tecantrop!M437,"AAAAAFsSX1A=")</f>
        <v>#VALUE!</v>
      </c>
      <c r="CD150" t="e">
        <f>AND(tecantrop!N437,"AAAAAFsSX1E=")</f>
        <v>#VALUE!</v>
      </c>
      <c r="CE150" t="e">
        <f>AND(tecantrop!O437,"AAAAAFsSX1I=")</f>
        <v>#VALUE!</v>
      </c>
      <c r="CF150" t="e">
        <f>AND(tecantrop!P437,"AAAAAFsSX1M=")</f>
        <v>#VALUE!</v>
      </c>
      <c r="CG150" t="e">
        <f>AND(tecantrop!Q437,"AAAAAFsSX1Q=")</f>
        <v>#VALUE!</v>
      </c>
      <c r="CH150" t="e">
        <f>AND(tecantrop!R437,"AAAAAFsSX1U=")</f>
        <v>#VALUE!</v>
      </c>
      <c r="CI150" t="e">
        <f>AND(tecantrop!S437,"AAAAAFsSX1Y=")</f>
        <v>#VALUE!</v>
      </c>
      <c r="CJ150" t="e">
        <f>AND(tecantrop!T437,"AAAAAFsSX1c=")</f>
        <v>#VALUE!</v>
      </c>
      <c r="CK150" t="e">
        <f>AND(tecantrop!U437,"AAAAAFsSX1g=")</f>
        <v>#VALUE!</v>
      </c>
      <c r="CL150" t="e">
        <f>AND(tecantrop!V437,"AAAAAFsSX1k=")</f>
        <v>#VALUE!</v>
      </c>
      <c r="CM150" t="e">
        <f>AND(tecantrop!W437,"AAAAAFsSX1o=")</f>
        <v>#VALUE!</v>
      </c>
      <c r="CN150" t="e">
        <f>AND(tecantrop!X437,"AAAAAFsSX1s=")</f>
        <v>#VALUE!</v>
      </c>
      <c r="CO150">
        <f>IF(tecantrop!438:438,"AAAAAFsSX1w=",0)</f>
        <v>0</v>
      </c>
      <c r="CP150" t="e">
        <f>AND(tecantrop!A438,"AAAAAFsSX10=")</f>
        <v>#VALUE!</v>
      </c>
      <c r="CQ150" t="e">
        <f>AND(tecantrop!B438,"AAAAAFsSX14=")</f>
        <v>#VALUE!</v>
      </c>
      <c r="CR150" t="e">
        <f>AND(tecantrop!C438,"AAAAAFsSX18=")</f>
        <v>#VALUE!</v>
      </c>
      <c r="CS150" t="e">
        <f>AND(tecantrop!D438,"AAAAAFsSX2A=")</f>
        <v>#VALUE!</v>
      </c>
      <c r="CT150" t="e">
        <f>AND(tecantrop!E438,"AAAAAFsSX2E=")</f>
        <v>#VALUE!</v>
      </c>
      <c r="CU150" t="e">
        <f>AND(tecantrop!F438,"AAAAAFsSX2I=")</f>
        <v>#VALUE!</v>
      </c>
      <c r="CV150" t="e">
        <f>AND(tecantrop!G438,"AAAAAFsSX2M=")</f>
        <v>#VALUE!</v>
      </c>
      <c r="CW150" t="e">
        <f>AND(tecantrop!H438,"AAAAAFsSX2Q=")</f>
        <v>#VALUE!</v>
      </c>
      <c r="CX150" t="e">
        <f>AND(tecantrop!I438,"AAAAAFsSX2U=")</f>
        <v>#VALUE!</v>
      </c>
      <c r="CY150" t="e">
        <f>AND(tecantrop!J438,"AAAAAFsSX2Y=")</f>
        <v>#VALUE!</v>
      </c>
      <c r="CZ150" t="e">
        <f>AND(tecantrop!K438,"AAAAAFsSX2c=")</f>
        <v>#VALUE!</v>
      </c>
      <c r="DA150" t="e">
        <f>AND(tecantrop!L438,"AAAAAFsSX2g=")</f>
        <v>#VALUE!</v>
      </c>
      <c r="DB150" t="e">
        <f>AND(tecantrop!M438,"AAAAAFsSX2k=")</f>
        <v>#VALUE!</v>
      </c>
      <c r="DC150" t="e">
        <f>AND(tecantrop!N438,"AAAAAFsSX2o=")</f>
        <v>#VALUE!</v>
      </c>
      <c r="DD150" t="e">
        <f>AND(tecantrop!O438,"AAAAAFsSX2s=")</f>
        <v>#VALUE!</v>
      </c>
      <c r="DE150" t="e">
        <f>AND(tecantrop!P438,"AAAAAFsSX2w=")</f>
        <v>#VALUE!</v>
      </c>
      <c r="DF150" t="e">
        <f>AND(tecantrop!Q438,"AAAAAFsSX20=")</f>
        <v>#VALUE!</v>
      </c>
      <c r="DG150" t="e">
        <f>AND(tecantrop!R438,"AAAAAFsSX24=")</f>
        <v>#VALUE!</v>
      </c>
      <c r="DH150" t="e">
        <f>AND(tecantrop!S438,"AAAAAFsSX28=")</f>
        <v>#VALUE!</v>
      </c>
      <c r="DI150" t="e">
        <f>AND(tecantrop!T438,"AAAAAFsSX3A=")</f>
        <v>#VALUE!</v>
      </c>
      <c r="DJ150" t="e">
        <f>AND(tecantrop!U438,"AAAAAFsSX3E=")</f>
        <v>#VALUE!</v>
      </c>
      <c r="DK150" t="e">
        <f>AND(tecantrop!V438,"AAAAAFsSX3I=")</f>
        <v>#VALUE!</v>
      </c>
      <c r="DL150" t="e">
        <f>AND(tecantrop!W438,"AAAAAFsSX3M=")</f>
        <v>#VALUE!</v>
      </c>
      <c r="DM150" t="e">
        <f>AND(tecantrop!X438,"AAAAAFsSX3Q=")</f>
        <v>#VALUE!</v>
      </c>
      <c r="DN150">
        <f>IF(tecantrop!439:439,"AAAAAFsSX3U=",0)</f>
        <v>0</v>
      </c>
      <c r="DO150" t="e">
        <f>AND(tecantrop!A439,"AAAAAFsSX3Y=")</f>
        <v>#VALUE!</v>
      </c>
      <c r="DP150" t="e">
        <f>AND(tecantrop!B439,"AAAAAFsSX3c=")</f>
        <v>#VALUE!</v>
      </c>
      <c r="DQ150" t="e">
        <f>AND(tecantrop!C439,"AAAAAFsSX3g=")</f>
        <v>#VALUE!</v>
      </c>
      <c r="DR150" t="e">
        <f>AND(tecantrop!D439,"AAAAAFsSX3k=")</f>
        <v>#VALUE!</v>
      </c>
      <c r="DS150" t="e">
        <f>AND(tecantrop!E439,"AAAAAFsSX3o=")</f>
        <v>#VALUE!</v>
      </c>
      <c r="DT150" t="e">
        <f>AND(tecantrop!F439,"AAAAAFsSX3s=")</f>
        <v>#VALUE!</v>
      </c>
      <c r="DU150" t="e">
        <f>AND(tecantrop!G439,"AAAAAFsSX3w=")</f>
        <v>#VALUE!</v>
      </c>
      <c r="DV150" t="e">
        <f>AND(tecantrop!H439,"AAAAAFsSX30=")</f>
        <v>#VALUE!</v>
      </c>
      <c r="DW150" t="e">
        <f>AND(tecantrop!I439,"AAAAAFsSX34=")</f>
        <v>#VALUE!</v>
      </c>
      <c r="DX150" t="e">
        <f>AND(tecantrop!J439,"AAAAAFsSX38=")</f>
        <v>#VALUE!</v>
      </c>
      <c r="DY150" t="e">
        <f>AND(tecantrop!K439,"AAAAAFsSX4A=")</f>
        <v>#VALUE!</v>
      </c>
      <c r="DZ150" t="e">
        <f>AND(tecantrop!L439,"AAAAAFsSX4E=")</f>
        <v>#VALUE!</v>
      </c>
      <c r="EA150" t="e">
        <f>AND(tecantrop!M439,"AAAAAFsSX4I=")</f>
        <v>#VALUE!</v>
      </c>
      <c r="EB150" t="e">
        <f>AND(tecantrop!N439,"AAAAAFsSX4M=")</f>
        <v>#VALUE!</v>
      </c>
      <c r="EC150" t="e">
        <f>AND(tecantrop!O439,"AAAAAFsSX4Q=")</f>
        <v>#VALUE!</v>
      </c>
      <c r="ED150" t="e">
        <f>AND(tecantrop!P439,"AAAAAFsSX4U=")</f>
        <v>#VALUE!</v>
      </c>
      <c r="EE150" t="e">
        <f>AND(tecantrop!Q439,"AAAAAFsSX4Y=")</f>
        <v>#VALUE!</v>
      </c>
      <c r="EF150" t="e">
        <f>AND(tecantrop!R439,"AAAAAFsSX4c=")</f>
        <v>#VALUE!</v>
      </c>
      <c r="EG150" t="e">
        <f>AND(tecantrop!S439,"AAAAAFsSX4g=")</f>
        <v>#VALUE!</v>
      </c>
      <c r="EH150" t="e">
        <f>AND(tecantrop!T439,"AAAAAFsSX4k=")</f>
        <v>#VALUE!</v>
      </c>
      <c r="EI150" t="e">
        <f>AND(tecantrop!U439,"AAAAAFsSX4o=")</f>
        <v>#VALUE!</v>
      </c>
      <c r="EJ150" t="e">
        <f>AND(tecantrop!V439,"AAAAAFsSX4s=")</f>
        <v>#VALUE!</v>
      </c>
      <c r="EK150" t="e">
        <f>AND(tecantrop!W439,"AAAAAFsSX4w=")</f>
        <v>#VALUE!</v>
      </c>
      <c r="EL150" t="e">
        <f>AND(tecantrop!X439,"AAAAAFsSX40=")</f>
        <v>#VALUE!</v>
      </c>
      <c r="EM150">
        <f>IF(tecantrop!440:440,"AAAAAFsSX44=",0)</f>
        <v>0</v>
      </c>
      <c r="EN150" t="e">
        <f>AND(tecantrop!A440,"AAAAAFsSX48=")</f>
        <v>#VALUE!</v>
      </c>
      <c r="EO150" t="e">
        <f>AND(tecantrop!B440,"AAAAAFsSX5A=")</f>
        <v>#VALUE!</v>
      </c>
      <c r="EP150" t="e">
        <f>AND(tecantrop!C440,"AAAAAFsSX5E=")</f>
        <v>#VALUE!</v>
      </c>
      <c r="EQ150" t="e">
        <f>AND(tecantrop!D440,"AAAAAFsSX5I=")</f>
        <v>#VALUE!</v>
      </c>
      <c r="ER150" t="e">
        <f>AND(tecantrop!E440,"AAAAAFsSX5M=")</f>
        <v>#VALUE!</v>
      </c>
      <c r="ES150" t="e">
        <f>AND(tecantrop!F440,"AAAAAFsSX5Q=")</f>
        <v>#VALUE!</v>
      </c>
      <c r="ET150" t="e">
        <f>AND(tecantrop!G440,"AAAAAFsSX5U=")</f>
        <v>#VALUE!</v>
      </c>
      <c r="EU150" t="e">
        <f>AND(tecantrop!H440,"AAAAAFsSX5Y=")</f>
        <v>#VALUE!</v>
      </c>
      <c r="EV150" t="e">
        <f>AND(tecantrop!I440,"AAAAAFsSX5c=")</f>
        <v>#VALUE!</v>
      </c>
      <c r="EW150" t="e">
        <f>AND(tecantrop!J440,"AAAAAFsSX5g=")</f>
        <v>#VALUE!</v>
      </c>
      <c r="EX150" t="e">
        <f>AND(tecantrop!K440,"AAAAAFsSX5k=")</f>
        <v>#VALUE!</v>
      </c>
      <c r="EY150" t="e">
        <f>AND(tecantrop!L440,"AAAAAFsSX5o=")</f>
        <v>#VALUE!</v>
      </c>
      <c r="EZ150" t="e">
        <f>AND(tecantrop!M440,"AAAAAFsSX5s=")</f>
        <v>#VALUE!</v>
      </c>
      <c r="FA150" t="e">
        <f>AND(tecantrop!N440,"AAAAAFsSX5w=")</f>
        <v>#VALUE!</v>
      </c>
      <c r="FB150" t="e">
        <f>AND(tecantrop!O440,"AAAAAFsSX50=")</f>
        <v>#VALUE!</v>
      </c>
      <c r="FC150" t="e">
        <f>AND(tecantrop!P440,"AAAAAFsSX54=")</f>
        <v>#VALUE!</v>
      </c>
      <c r="FD150" t="e">
        <f>AND(tecantrop!Q440,"AAAAAFsSX58=")</f>
        <v>#VALUE!</v>
      </c>
      <c r="FE150" t="e">
        <f>AND(tecantrop!R440,"AAAAAFsSX6A=")</f>
        <v>#VALUE!</v>
      </c>
      <c r="FF150" t="e">
        <f>AND(tecantrop!S440,"AAAAAFsSX6E=")</f>
        <v>#VALUE!</v>
      </c>
      <c r="FG150" t="e">
        <f>AND(tecantrop!T440,"AAAAAFsSX6I=")</f>
        <v>#VALUE!</v>
      </c>
      <c r="FH150" t="e">
        <f>AND(tecantrop!U440,"AAAAAFsSX6M=")</f>
        <v>#VALUE!</v>
      </c>
      <c r="FI150" t="e">
        <f>AND(tecantrop!V440,"AAAAAFsSX6Q=")</f>
        <v>#VALUE!</v>
      </c>
      <c r="FJ150" t="e">
        <f>AND(tecantrop!W440,"AAAAAFsSX6U=")</f>
        <v>#VALUE!</v>
      </c>
      <c r="FK150" t="e">
        <f>AND(tecantrop!X440,"AAAAAFsSX6Y=")</f>
        <v>#VALUE!</v>
      </c>
      <c r="FL150">
        <f>IF(tecantrop!441:441,"AAAAAFsSX6c=",0)</f>
        <v>0</v>
      </c>
      <c r="FM150" t="e">
        <f>AND(tecantrop!A441,"AAAAAFsSX6g=")</f>
        <v>#VALUE!</v>
      </c>
      <c r="FN150" t="e">
        <f>AND(tecantrop!B441,"AAAAAFsSX6k=")</f>
        <v>#VALUE!</v>
      </c>
      <c r="FO150" t="e">
        <f>AND(tecantrop!C441,"AAAAAFsSX6o=")</f>
        <v>#VALUE!</v>
      </c>
      <c r="FP150" t="e">
        <f>AND(tecantrop!D441,"AAAAAFsSX6s=")</f>
        <v>#VALUE!</v>
      </c>
      <c r="FQ150" t="e">
        <f>AND(tecantrop!E441,"AAAAAFsSX6w=")</f>
        <v>#VALUE!</v>
      </c>
      <c r="FR150" t="e">
        <f>AND(tecantrop!F441,"AAAAAFsSX60=")</f>
        <v>#VALUE!</v>
      </c>
      <c r="FS150" t="e">
        <f>AND(tecantrop!G441,"AAAAAFsSX64=")</f>
        <v>#VALUE!</v>
      </c>
      <c r="FT150" t="e">
        <f>AND(tecantrop!H441,"AAAAAFsSX68=")</f>
        <v>#VALUE!</v>
      </c>
      <c r="FU150" t="e">
        <f>AND(tecantrop!I441,"AAAAAFsSX7A=")</f>
        <v>#VALUE!</v>
      </c>
      <c r="FV150" t="e">
        <f>AND(tecantrop!J441,"AAAAAFsSX7E=")</f>
        <v>#VALUE!</v>
      </c>
      <c r="FW150" t="e">
        <f>AND(tecantrop!K441,"AAAAAFsSX7I=")</f>
        <v>#VALUE!</v>
      </c>
      <c r="FX150" t="e">
        <f>AND(tecantrop!L441,"AAAAAFsSX7M=")</f>
        <v>#VALUE!</v>
      </c>
      <c r="FY150" t="e">
        <f>AND(tecantrop!M441,"AAAAAFsSX7Q=")</f>
        <v>#VALUE!</v>
      </c>
      <c r="FZ150" t="e">
        <f>AND(tecantrop!N441,"AAAAAFsSX7U=")</f>
        <v>#VALUE!</v>
      </c>
      <c r="GA150" t="e">
        <f>AND(tecantrop!O441,"AAAAAFsSX7Y=")</f>
        <v>#VALUE!</v>
      </c>
      <c r="GB150" t="e">
        <f>AND(tecantrop!P441,"AAAAAFsSX7c=")</f>
        <v>#VALUE!</v>
      </c>
      <c r="GC150" t="e">
        <f>AND(tecantrop!Q441,"AAAAAFsSX7g=")</f>
        <v>#VALUE!</v>
      </c>
      <c r="GD150" t="e">
        <f>AND(tecantrop!R441,"AAAAAFsSX7k=")</f>
        <v>#VALUE!</v>
      </c>
      <c r="GE150" t="e">
        <f>AND(tecantrop!S441,"AAAAAFsSX7o=")</f>
        <v>#VALUE!</v>
      </c>
      <c r="GF150" t="e">
        <f>AND(tecantrop!T441,"AAAAAFsSX7s=")</f>
        <v>#VALUE!</v>
      </c>
      <c r="GG150" t="e">
        <f>AND(tecantrop!U441,"AAAAAFsSX7w=")</f>
        <v>#VALUE!</v>
      </c>
      <c r="GH150" t="e">
        <f>AND(tecantrop!V441,"AAAAAFsSX70=")</f>
        <v>#VALUE!</v>
      </c>
      <c r="GI150" t="e">
        <f>AND(tecantrop!W441,"AAAAAFsSX74=")</f>
        <v>#VALUE!</v>
      </c>
      <c r="GJ150" t="e">
        <f>AND(tecantrop!X441,"AAAAAFsSX78=")</f>
        <v>#VALUE!</v>
      </c>
      <c r="GK150">
        <f>IF(tecantrop!442:442,"AAAAAFsSX8A=",0)</f>
        <v>0</v>
      </c>
      <c r="GL150" t="e">
        <f>AND(tecantrop!A442,"AAAAAFsSX8E=")</f>
        <v>#VALUE!</v>
      </c>
      <c r="GM150" t="e">
        <f>AND(tecantrop!B442,"AAAAAFsSX8I=")</f>
        <v>#VALUE!</v>
      </c>
      <c r="GN150" t="e">
        <f>AND(tecantrop!C442,"AAAAAFsSX8M=")</f>
        <v>#VALUE!</v>
      </c>
      <c r="GO150" t="e">
        <f>AND(tecantrop!D442,"AAAAAFsSX8Q=")</f>
        <v>#VALUE!</v>
      </c>
      <c r="GP150" t="e">
        <f>AND(tecantrop!E442,"AAAAAFsSX8U=")</f>
        <v>#VALUE!</v>
      </c>
      <c r="GQ150" t="e">
        <f>AND(tecantrop!F442,"AAAAAFsSX8Y=")</f>
        <v>#VALUE!</v>
      </c>
      <c r="GR150" t="e">
        <f>AND(tecantrop!G442,"AAAAAFsSX8c=")</f>
        <v>#VALUE!</v>
      </c>
      <c r="GS150" t="e">
        <f>AND(tecantrop!H442,"AAAAAFsSX8g=")</f>
        <v>#VALUE!</v>
      </c>
      <c r="GT150" t="e">
        <f>AND(tecantrop!I442,"AAAAAFsSX8k=")</f>
        <v>#VALUE!</v>
      </c>
      <c r="GU150" t="e">
        <f>AND(tecantrop!J442,"AAAAAFsSX8o=")</f>
        <v>#VALUE!</v>
      </c>
      <c r="GV150" t="e">
        <f>AND(tecantrop!K442,"AAAAAFsSX8s=")</f>
        <v>#VALUE!</v>
      </c>
      <c r="GW150" t="e">
        <f>AND(tecantrop!L442,"AAAAAFsSX8w=")</f>
        <v>#VALUE!</v>
      </c>
      <c r="GX150" t="e">
        <f>AND(tecantrop!M442,"AAAAAFsSX80=")</f>
        <v>#VALUE!</v>
      </c>
      <c r="GY150" t="e">
        <f>AND(tecantrop!N442,"AAAAAFsSX84=")</f>
        <v>#VALUE!</v>
      </c>
      <c r="GZ150" t="e">
        <f>AND(tecantrop!O442,"AAAAAFsSX88=")</f>
        <v>#VALUE!</v>
      </c>
      <c r="HA150" t="e">
        <f>AND(tecantrop!P442,"AAAAAFsSX9A=")</f>
        <v>#VALUE!</v>
      </c>
      <c r="HB150" t="e">
        <f>AND(tecantrop!Q442,"AAAAAFsSX9E=")</f>
        <v>#VALUE!</v>
      </c>
      <c r="HC150" t="e">
        <f>AND(tecantrop!R442,"AAAAAFsSX9I=")</f>
        <v>#VALUE!</v>
      </c>
      <c r="HD150" t="e">
        <f>AND(tecantrop!S442,"AAAAAFsSX9M=")</f>
        <v>#VALUE!</v>
      </c>
      <c r="HE150" t="e">
        <f>AND(tecantrop!T442,"AAAAAFsSX9Q=")</f>
        <v>#VALUE!</v>
      </c>
      <c r="HF150" t="e">
        <f>AND(tecantrop!U442,"AAAAAFsSX9U=")</f>
        <v>#VALUE!</v>
      </c>
      <c r="HG150" t="e">
        <f>AND(tecantrop!V442,"AAAAAFsSX9Y=")</f>
        <v>#VALUE!</v>
      </c>
      <c r="HH150" t="e">
        <f>AND(tecantrop!W442,"AAAAAFsSX9c=")</f>
        <v>#VALUE!</v>
      </c>
      <c r="HI150" t="e">
        <f>AND(tecantrop!X442,"AAAAAFsSX9g=")</f>
        <v>#VALUE!</v>
      </c>
      <c r="HJ150">
        <f>IF(tecantrop!443:443,"AAAAAFsSX9k=",0)</f>
        <v>0</v>
      </c>
      <c r="HK150" t="e">
        <f>AND(tecantrop!A443,"AAAAAFsSX9o=")</f>
        <v>#VALUE!</v>
      </c>
      <c r="HL150" t="e">
        <f>AND(tecantrop!B443,"AAAAAFsSX9s=")</f>
        <v>#VALUE!</v>
      </c>
      <c r="HM150" t="e">
        <f>AND(tecantrop!C443,"AAAAAFsSX9w=")</f>
        <v>#VALUE!</v>
      </c>
      <c r="HN150" t="e">
        <f>AND(tecantrop!D443,"AAAAAFsSX90=")</f>
        <v>#VALUE!</v>
      </c>
      <c r="HO150" t="e">
        <f>AND(tecantrop!E443,"AAAAAFsSX94=")</f>
        <v>#VALUE!</v>
      </c>
      <c r="HP150" t="e">
        <f>AND(tecantrop!F443,"AAAAAFsSX98=")</f>
        <v>#VALUE!</v>
      </c>
      <c r="HQ150" t="e">
        <f>AND(tecantrop!G443,"AAAAAFsSX+A=")</f>
        <v>#VALUE!</v>
      </c>
      <c r="HR150" t="e">
        <f>AND(tecantrop!H443,"AAAAAFsSX+E=")</f>
        <v>#VALUE!</v>
      </c>
      <c r="HS150" t="e">
        <f>AND(tecantrop!I443,"AAAAAFsSX+I=")</f>
        <v>#VALUE!</v>
      </c>
      <c r="HT150" t="e">
        <f>AND(tecantrop!J443,"AAAAAFsSX+M=")</f>
        <v>#VALUE!</v>
      </c>
      <c r="HU150" t="e">
        <f>AND(tecantrop!K443,"AAAAAFsSX+Q=")</f>
        <v>#VALUE!</v>
      </c>
      <c r="HV150" t="e">
        <f>AND(tecantrop!L443,"AAAAAFsSX+U=")</f>
        <v>#VALUE!</v>
      </c>
      <c r="HW150" t="e">
        <f>AND(tecantrop!M443,"AAAAAFsSX+Y=")</f>
        <v>#VALUE!</v>
      </c>
      <c r="HX150" t="e">
        <f>AND(tecantrop!N443,"AAAAAFsSX+c=")</f>
        <v>#VALUE!</v>
      </c>
      <c r="HY150" t="e">
        <f>AND(tecantrop!O443,"AAAAAFsSX+g=")</f>
        <v>#VALUE!</v>
      </c>
      <c r="HZ150" t="e">
        <f>AND(tecantrop!P443,"AAAAAFsSX+k=")</f>
        <v>#VALUE!</v>
      </c>
      <c r="IA150" t="e">
        <f>AND(tecantrop!Q443,"AAAAAFsSX+o=")</f>
        <v>#VALUE!</v>
      </c>
      <c r="IB150" t="e">
        <f>AND(tecantrop!R443,"AAAAAFsSX+s=")</f>
        <v>#VALUE!</v>
      </c>
      <c r="IC150" t="e">
        <f>AND(tecantrop!S443,"AAAAAFsSX+w=")</f>
        <v>#VALUE!</v>
      </c>
      <c r="ID150" t="e">
        <f>AND(tecantrop!T443,"AAAAAFsSX+0=")</f>
        <v>#VALUE!</v>
      </c>
      <c r="IE150" t="e">
        <f>AND(tecantrop!U443,"AAAAAFsSX+4=")</f>
        <v>#VALUE!</v>
      </c>
      <c r="IF150" t="e">
        <f>AND(tecantrop!V443,"AAAAAFsSX+8=")</f>
        <v>#VALUE!</v>
      </c>
      <c r="IG150" t="e">
        <f>AND(tecantrop!W443,"AAAAAFsSX/A=")</f>
        <v>#VALUE!</v>
      </c>
      <c r="IH150" t="e">
        <f>AND(tecantrop!X443,"AAAAAFsSX/E=")</f>
        <v>#VALUE!</v>
      </c>
      <c r="II150">
        <f>IF(tecantrop!444:444,"AAAAAFsSX/I=",0)</f>
        <v>0</v>
      </c>
      <c r="IJ150" t="e">
        <f>AND(tecantrop!A444,"AAAAAFsSX/M=")</f>
        <v>#VALUE!</v>
      </c>
      <c r="IK150" t="e">
        <f>AND(tecantrop!B444,"AAAAAFsSX/Q=")</f>
        <v>#VALUE!</v>
      </c>
      <c r="IL150" t="e">
        <f>AND(tecantrop!C444,"AAAAAFsSX/U=")</f>
        <v>#VALUE!</v>
      </c>
      <c r="IM150" t="e">
        <f>AND(tecantrop!D444,"AAAAAFsSX/Y=")</f>
        <v>#VALUE!</v>
      </c>
      <c r="IN150" t="e">
        <f>AND(tecantrop!E444,"AAAAAFsSX/c=")</f>
        <v>#VALUE!</v>
      </c>
      <c r="IO150" t="e">
        <f>AND(tecantrop!F444,"AAAAAFsSX/g=")</f>
        <v>#VALUE!</v>
      </c>
      <c r="IP150" t="e">
        <f>AND(tecantrop!G444,"AAAAAFsSX/k=")</f>
        <v>#VALUE!</v>
      </c>
      <c r="IQ150" t="e">
        <f>AND(tecantrop!H444,"AAAAAFsSX/o=")</f>
        <v>#VALUE!</v>
      </c>
      <c r="IR150" t="e">
        <f>AND(tecantrop!I444,"AAAAAFsSX/s=")</f>
        <v>#VALUE!</v>
      </c>
      <c r="IS150" t="e">
        <f>AND(tecantrop!J444,"AAAAAFsSX/w=")</f>
        <v>#VALUE!</v>
      </c>
      <c r="IT150" t="e">
        <f>AND(tecantrop!K444,"AAAAAFsSX/0=")</f>
        <v>#VALUE!</v>
      </c>
      <c r="IU150" t="e">
        <f>AND(tecantrop!L444,"AAAAAFsSX/4=")</f>
        <v>#VALUE!</v>
      </c>
      <c r="IV150" t="e">
        <f>AND(tecantrop!M444,"AAAAAFsSX/8=")</f>
        <v>#VALUE!</v>
      </c>
    </row>
    <row r="151" spans="1:256" x14ac:dyDescent="0.2">
      <c r="A151" t="e">
        <f>AND(tecantrop!N444,"AAAAAD13vwA=")</f>
        <v>#VALUE!</v>
      </c>
      <c r="B151" t="e">
        <f>AND(tecantrop!O444,"AAAAAD13vwE=")</f>
        <v>#VALUE!</v>
      </c>
      <c r="C151" t="e">
        <f>AND(tecantrop!P444,"AAAAAD13vwI=")</f>
        <v>#VALUE!</v>
      </c>
      <c r="D151" t="e">
        <f>AND(tecantrop!Q444,"AAAAAD13vwM=")</f>
        <v>#VALUE!</v>
      </c>
      <c r="E151" t="e">
        <f>AND(tecantrop!R444,"AAAAAD13vwQ=")</f>
        <v>#VALUE!</v>
      </c>
      <c r="F151" t="e">
        <f>AND(tecantrop!S444,"AAAAAD13vwU=")</f>
        <v>#VALUE!</v>
      </c>
      <c r="G151" t="e">
        <f>AND(tecantrop!T444,"AAAAAD13vwY=")</f>
        <v>#VALUE!</v>
      </c>
      <c r="H151" t="e">
        <f>AND(tecantrop!U444,"AAAAAD13vwc=")</f>
        <v>#VALUE!</v>
      </c>
      <c r="I151" t="e">
        <f>AND(tecantrop!V444,"AAAAAD13vwg=")</f>
        <v>#VALUE!</v>
      </c>
      <c r="J151" t="e">
        <f>AND(tecantrop!W444,"AAAAAD13vwk=")</f>
        <v>#VALUE!</v>
      </c>
      <c r="K151" t="e">
        <f>AND(tecantrop!X444,"AAAAAD13vwo=")</f>
        <v>#VALUE!</v>
      </c>
      <c r="L151">
        <f>IF(tecantrop!445:445,"AAAAAD13vws=",0)</f>
        <v>0</v>
      </c>
      <c r="M151" t="e">
        <f>AND(tecantrop!A445,"AAAAAD13vww=")</f>
        <v>#VALUE!</v>
      </c>
      <c r="N151" t="e">
        <f>AND(tecantrop!B445,"AAAAAD13vw0=")</f>
        <v>#VALUE!</v>
      </c>
      <c r="O151" t="e">
        <f>AND(tecantrop!C445,"AAAAAD13vw4=")</f>
        <v>#VALUE!</v>
      </c>
      <c r="P151" t="e">
        <f>AND(tecantrop!D445,"AAAAAD13vw8=")</f>
        <v>#VALUE!</v>
      </c>
      <c r="Q151" t="e">
        <f>AND(tecantrop!E445,"AAAAAD13vxA=")</f>
        <v>#VALUE!</v>
      </c>
      <c r="R151" t="e">
        <f>AND(tecantrop!F445,"AAAAAD13vxE=")</f>
        <v>#VALUE!</v>
      </c>
      <c r="S151" t="e">
        <f>AND(tecantrop!G445,"AAAAAD13vxI=")</f>
        <v>#VALUE!</v>
      </c>
      <c r="T151" t="e">
        <f>AND(tecantrop!H445,"AAAAAD13vxM=")</f>
        <v>#VALUE!</v>
      </c>
      <c r="U151" t="e">
        <f>AND(tecantrop!I445,"AAAAAD13vxQ=")</f>
        <v>#VALUE!</v>
      </c>
      <c r="V151" t="e">
        <f>AND(tecantrop!J445,"AAAAAD13vxU=")</f>
        <v>#VALUE!</v>
      </c>
      <c r="W151" t="e">
        <f>AND(tecantrop!K445,"AAAAAD13vxY=")</f>
        <v>#VALUE!</v>
      </c>
      <c r="X151" t="e">
        <f>AND(tecantrop!L445,"AAAAAD13vxc=")</f>
        <v>#VALUE!</v>
      </c>
      <c r="Y151" t="e">
        <f>AND(tecantrop!M445,"AAAAAD13vxg=")</f>
        <v>#VALUE!</v>
      </c>
      <c r="Z151" t="e">
        <f>AND(tecantrop!N445,"AAAAAD13vxk=")</f>
        <v>#VALUE!</v>
      </c>
      <c r="AA151" t="e">
        <f>AND(tecantrop!O445,"AAAAAD13vxo=")</f>
        <v>#VALUE!</v>
      </c>
      <c r="AB151" t="e">
        <f>AND(tecantrop!P445,"AAAAAD13vxs=")</f>
        <v>#VALUE!</v>
      </c>
      <c r="AC151" t="e">
        <f>AND(tecantrop!Q445,"AAAAAD13vxw=")</f>
        <v>#VALUE!</v>
      </c>
      <c r="AD151" t="e">
        <f>AND(tecantrop!R445,"AAAAAD13vx0=")</f>
        <v>#VALUE!</v>
      </c>
      <c r="AE151" t="e">
        <f>AND(tecantrop!S445,"AAAAAD13vx4=")</f>
        <v>#VALUE!</v>
      </c>
      <c r="AF151" t="e">
        <f>AND(tecantrop!T445,"AAAAAD13vx8=")</f>
        <v>#VALUE!</v>
      </c>
      <c r="AG151" t="e">
        <f>AND(tecantrop!U445,"AAAAAD13vyA=")</f>
        <v>#VALUE!</v>
      </c>
      <c r="AH151" t="e">
        <f>AND(tecantrop!V445,"AAAAAD13vyE=")</f>
        <v>#VALUE!</v>
      </c>
      <c r="AI151" t="e">
        <f>AND(tecantrop!W445,"AAAAAD13vyI=")</f>
        <v>#VALUE!</v>
      </c>
      <c r="AJ151" t="e">
        <f>AND(tecantrop!X445,"AAAAAD13vyM=")</f>
        <v>#VALUE!</v>
      </c>
      <c r="AK151">
        <f>IF(tecantrop!446:446,"AAAAAD13vyQ=",0)</f>
        <v>0</v>
      </c>
      <c r="AL151" t="e">
        <f>AND(tecantrop!A446,"AAAAAD13vyU=")</f>
        <v>#VALUE!</v>
      </c>
      <c r="AM151" t="e">
        <f>AND(tecantrop!B446,"AAAAAD13vyY=")</f>
        <v>#VALUE!</v>
      </c>
      <c r="AN151" t="e">
        <f>AND(tecantrop!C446,"AAAAAD13vyc=")</f>
        <v>#VALUE!</v>
      </c>
      <c r="AO151" t="e">
        <f>AND(tecantrop!D446,"AAAAAD13vyg=")</f>
        <v>#VALUE!</v>
      </c>
      <c r="AP151" t="e">
        <f>AND(tecantrop!E446,"AAAAAD13vyk=")</f>
        <v>#VALUE!</v>
      </c>
      <c r="AQ151" t="e">
        <f>AND(tecantrop!F446,"AAAAAD13vyo=")</f>
        <v>#VALUE!</v>
      </c>
      <c r="AR151" t="e">
        <f>AND(tecantrop!G446,"AAAAAD13vys=")</f>
        <v>#VALUE!</v>
      </c>
      <c r="AS151" t="e">
        <f>AND(tecantrop!H446,"AAAAAD13vyw=")</f>
        <v>#VALUE!</v>
      </c>
      <c r="AT151" t="e">
        <f>AND(tecantrop!I446,"AAAAAD13vy0=")</f>
        <v>#VALUE!</v>
      </c>
      <c r="AU151" t="e">
        <f>AND(tecantrop!J446,"AAAAAD13vy4=")</f>
        <v>#VALUE!</v>
      </c>
      <c r="AV151" t="e">
        <f>AND(tecantrop!K446,"AAAAAD13vy8=")</f>
        <v>#VALUE!</v>
      </c>
      <c r="AW151" t="e">
        <f>AND(tecantrop!L446,"AAAAAD13vzA=")</f>
        <v>#VALUE!</v>
      </c>
      <c r="AX151" t="e">
        <f>AND(tecantrop!M446,"AAAAAD13vzE=")</f>
        <v>#VALUE!</v>
      </c>
      <c r="AY151" t="e">
        <f>AND(tecantrop!N446,"AAAAAD13vzI=")</f>
        <v>#VALUE!</v>
      </c>
      <c r="AZ151" t="e">
        <f>AND(tecantrop!O446,"AAAAAD13vzM=")</f>
        <v>#VALUE!</v>
      </c>
      <c r="BA151" t="e">
        <f>AND(tecantrop!P446,"AAAAAD13vzQ=")</f>
        <v>#VALUE!</v>
      </c>
      <c r="BB151" t="e">
        <f>AND(tecantrop!Q446,"AAAAAD13vzU=")</f>
        <v>#VALUE!</v>
      </c>
      <c r="BC151" t="e">
        <f>AND(tecantrop!R446,"AAAAAD13vzY=")</f>
        <v>#VALUE!</v>
      </c>
      <c r="BD151" t="e">
        <f>AND(tecantrop!S446,"AAAAAD13vzc=")</f>
        <v>#VALUE!</v>
      </c>
      <c r="BE151" t="e">
        <f>AND(tecantrop!T446,"AAAAAD13vzg=")</f>
        <v>#VALUE!</v>
      </c>
      <c r="BF151" t="e">
        <f>AND(tecantrop!U446,"AAAAAD13vzk=")</f>
        <v>#VALUE!</v>
      </c>
      <c r="BG151" t="e">
        <f>AND(tecantrop!V446,"AAAAAD13vzo=")</f>
        <v>#VALUE!</v>
      </c>
      <c r="BH151" t="e">
        <f>AND(tecantrop!W446,"AAAAAD13vzs=")</f>
        <v>#VALUE!</v>
      </c>
      <c r="BI151" t="e">
        <f>AND(tecantrop!X446,"AAAAAD13vzw=")</f>
        <v>#VALUE!</v>
      </c>
      <c r="BJ151">
        <f>IF(tecantrop!447:447,"AAAAAD13vz0=",0)</f>
        <v>0</v>
      </c>
      <c r="BK151" t="e">
        <f>AND(tecantrop!A447,"AAAAAD13vz4=")</f>
        <v>#VALUE!</v>
      </c>
      <c r="BL151" t="e">
        <f>AND(tecantrop!B447,"AAAAAD13vz8=")</f>
        <v>#VALUE!</v>
      </c>
      <c r="BM151" t="e">
        <f>AND(tecantrop!C447,"AAAAAD13v0A=")</f>
        <v>#VALUE!</v>
      </c>
      <c r="BN151" t="e">
        <f>AND(tecantrop!D447,"AAAAAD13v0E=")</f>
        <v>#VALUE!</v>
      </c>
      <c r="BO151" t="e">
        <f>AND(tecantrop!E447,"AAAAAD13v0I=")</f>
        <v>#VALUE!</v>
      </c>
      <c r="BP151" t="e">
        <f>AND(tecantrop!F447,"AAAAAD13v0M=")</f>
        <v>#VALUE!</v>
      </c>
      <c r="BQ151" t="e">
        <f>AND(tecantrop!G447,"AAAAAD13v0Q=")</f>
        <v>#VALUE!</v>
      </c>
      <c r="BR151" t="e">
        <f>AND(tecantrop!H447,"AAAAAD13v0U=")</f>
        <v>#VALUE!</v>
      </c>
      <c r="BS151" t="e">
        <f>AND(tecantrop!I447,"AAAAAD13v0Y=")</f>
        <v>#VALUE!</v>
      </c>
      <c r="BT151" t="e">
        <f>AND(tecantrop!J447,"AAAAAD13v0c=")</f>
        <v>#VALUE!</v>
      </c>
      <c r="BU151" t="e">
        <f>AND(tecantrop!K447,"AAAAAD13v0g=")</f>
        <v>#VALUE!</v>
      </c>
      <c r="BV151" t="e">
        <f>AND(tecantrop!L447,"AAAAAD13v0k=")</f>
        <v>#VALUE!</v>
      </c>
      <c r="BW151" t="e">
        <f>AND(tecantrop!M447,"AAAAAD13v0o=")</f>
        <v>#VALUE!</v>
      </c>
      <c r="BX151" t="e">
        <f>AND(tecantrop!N447,"AAAAAD13v0s=")</f>
        <v>#VALUE!</v>
      </c>
      <c r="BY151" t="e">
        <f>AND(tecantrop!O447,"AAAAAD13v0w=")</f>
        <v>#VALUE!</v>
      </c>
      <c r="BZ151" t="e">
        <f>AND(tecantrop!P447,"AAAAAD13v00=")</f>
        <v>#VALUE!</v>
      </c>
      <c r="CA151" t="e">
        <f>AND(tecantrop!Q447,"AAAAAD13v04=")</f>
        <v>#VALUE!</v>
      </c>
      <c r="CB151" t="e">
        <f>AND(tecantrop!R447,"AAAAAD13v08=")</f>
        <v>#VALUE!</v>
      </c>
      <c r="CC151" t="e">
        <f>AND(tecantrop!S447,"AAAAAD13v1A=")</f>
        <v>#VALUE!</v>
      </c>
      <c r="CD151" t="e">
        <f>AND(tecantrop!T447,"AAAAAD13v1E=")</f>
        <v>#VALUE!</v>
      </c>
      <c r="CE151" t="e">
        <f>AND(tecantrop!U447,"AAAAAD13v1I=")</f>
        <v>#VALUE!</v>
      </c>
      <c r="CF151" t="e">
        <f>AND(tecantrop!V447,"AAAAAD13v1M=")</f>
        <v>#VALUE!</v>
      </c>
      <c r="CG151" t="e">
        <f>AND(tecantrop!W447,"AAAAAD13v1Q=")</f>
        <v>#VALUE!</v>
      </c>
      <c r="CH151" t="e">
        <f>AND(tecantrop!X447,"AAAAAD13v1U=")</f>
        <v>#VALUE!</v>
      </c>
      <c r="CI151">
        <f>IF(tecantrop!448:448,"AAAAAD13v1Y=",0)</f>
        <v>0</v>
      </c>
      <c r="CJ151" t="e">
        <f>AND(tecantrop!A448,"AAAAAD13v1c=")</f>
        <v>#VALUE!</v>
      </c>
      <c r="CK151" t="e">
        <f>AND(tecantrop!B448,"AAAAAD13v1g=")</f>
        <v>#VALUE!</v>
      </c>
      <c r="CL151" t="e">
        <f>AND(tecantrop!C448,"AAAAAD13v1k=")</f>
        <v>#VALUE!</v>
      </c>
      <c r="CM151" t="e">
        <f>AND(tecantrop!D448,"AAAAAD13v1o=")</f>
        <v>#VALUE!</v>
      </c>
      <c r="CN151" t="e">
        <f>AND(tecantrop!E448,"AAAAAD13v1s=")</f>
        <v>#VALUE!</v>
      </c>
      <c r="CO151" t="e">
        <f>AND(tecantrop!F448,"AAAAAD13v1w=")</f>
        <v>#VALUE!</v>
      </c>
      <c r="CP151" t="e">
        <f>AND(tecantrop!G448,"AAAAAD13v10=")</f>
        <v>#VALUE!</v>
      </c>
      <c r="CQ151" t="e">
        <f>AND(tecantrop!H448,"AAAAAD13v14=")</f>
        <v>#VALUE!</v>
      </c>
      <c r="CR151" t="e">
        <f>AND(tecantrop!I448,"AAAAAD13v18=")</f>
        <v>#VALUE!</v>
      </c>
      <c r="CS151" t="e">
        <f>AND(tecantrop!J448,"AAAAAD13v2A=")</f>
        <v>#VALUE!</v>
      </c>
      <c r="CT151" t="e">
        <f>AND(tecantrop!K448,"AAAAAD13v2E=")</f>
        <v>#VALUE!</v>
      </c>
      <c r="CU151" t="e">
        <f>AND(tecantrop!L448,"AAAAAD13v2I=")</f>
        <v>#VALUE!</v>
      </c>
      <c r="CV151" t="e">
        <f>AND(tecantrop!M448,"AAAAAD13v2M=")</f>
        <v>#VALUE!</v>
      </c>
      <c r="CW151" t="e">
        <f>AND(tecantrop!N448,"AAAAAD13v2Q=")</f>
        <v>#VALUE!</v>
      </c>
      <c r="CX151" t="e">
        <f>AND(tecantrop!O448,"AAAAAD13v2U=")</f>
        <v>#VALUE!</v>
      </c>
      <c r="CY151" t="e">
        <f>AND(tecantrop!P448,"AAAAAD13v2Y=")</f>
        <v>#VALUE!</v>
      </c>
      <c r="CZ151" t="e">
        <f>AND(tecantrop!Q448,"AAAAAD13v2c=")</f>
        <v>#VALUE!</v>
      </c>
      <c r="DA151" t="e">
        <f>AND(tecantrop!R448,"AAAAAD13v2g=")</f>
        <v>#VALUE!</v>
      </c>
      <c r="DB151" t="e">
        <f>AND(tecantrop!S448,"AAAAAD13v2k=")</f>
        <v>#VALUE!</v>
      </c>
      <c r="DC151" t="e">
        <f>AND(tecantrop!T448,"AAAAAD13v2o=")</f>
        <v>#VALUE!</v>
      </c>
      <c r="DD151" t="e">
        <f>AND(tecantrop!U448,"AAAAAD13v2s=")</f>
        <v>#VALUE!</v>
      </c>
      <c r="DE151" t="e">
        <f>AND(tecantrop!V448,"AAAAAD13v2w=")</f>
        <v>#VALUE!</v>
      </c>
      <c r="DF151" t="e">
        <f>AND(tecantrop!W448,"AAAAAD13v20=")</f>
        <v>#VALUE!</v>
      </c>
      <c r="DG151" t="e">
        <f>AND(tecantrop!X448,"AAAAAD13v24=")</f>
        <v>#VALUE!</v>
      </c>
      <c r="DH151">
        <f>IF(tecantrop!449:449,"AAAAAD13v28=",0)</f>
        <v>0</v>
      </c>
      <c r="DI151" t="e">
        <f>AND(tecantrop!A449,"AAAAAD13v3A=")</f>
        <v>#VALUE!</v>
      </c>
      <c r="DJ151" t="e">
        <f>AND(tecantrop!B449,"AAAAAD13v3E=")</f>
        <v>#VALUE!</v>
      </c>
      <c r="DK151" t="e">
        <f>AND(tecantrop!C449,"AAAAAD13v3I=")</f>
        <v>#VALUE!</v>
      </c>
      <c r="DL151" t="e">
        <f>AND(tecantrop!D449,"AAAAAD13v3M=")</f>
        <v>#VALUE!</v>
      </c>
      <c r="DM151" t="e">
        <f>AND(tecantrop!E449,"AAAAAD13v3Q=")</f>
        <v>#VALUE!</v>
      </c>
      <c r="DN151" t="e">
        <f>AND(tecantrop!F449,"AAAAAD13v3U=")</f>
        <v>#VALUE!</v>
      </c>
      <c r="DO151" t="e">
        <f>AND(tecantrop!G449,"AAAAAD13v3Y=")</f>
        <v>#VALUE!</v>
      </c>
      <c r="DP151" t="e">
        <f>AND(tecantrop!H449,"AAAAAD13v3c=")</f>
        <v>#VALUE!</v>
      </c>
      <c r="DQ151" t="e">
        <f>AND(tecantrop!I449,"AAAAAD13v3g=")</f>
        <v>#VALUE!</v>
      </c>
      <c r="DR151" t="e">
        <f>AND(tecantrop!J449,"AAAAAD13v3k=")</f>
        <v>#VALUE!</v>
      </c>
      <c r="DS151" t="e">
        <f>AND(tecantrop!K449,"AAAAAD13v3o=")</f>
        <v>#VALUE!</v>
      </c>
      <c r="DT151" t="e">
        <f>AND(tecantrop!L449,"AAAAAD13v3s=")</f>
        <v>#VALUE!</v>
      </c>
      <c r="DU151" t="e">
        <f>AND(tecantrop!M449,"AAAAAD13v3w=")</f>
        <v>#VALUE!</v>
      </c>
      <c r="DV151" t="e">
        <f>AND(tecantrop!N449,"AAAAAD13v30=")</f>
        <v>#VALUE!</v>
      </c>
      <c r="DW151" t="e">
        <f>AND(tecantrop!O449,"AAAAAD13v34=")</f>
        <v>#VALUE!</v>
      </c>
      <c r="DX151" t="e">
        <f>AND(tecantrop!P449,"AAAAAD13v38=")</f>
        <v>#VALUE!</v>
      </c>
      <c r="DY151" t="e">
        <f>AND(tecantrop!Q449,"AAAAAD13v4A=")</f>
        <v>#VALUE!</v>
      </c>
      <c r="DZ151" t="e">
        <f>AND(tecantrop!R449,"AAAAAD13v4E=")</f>
        <v>#VALUE!</v>
      </c>
      <c r="EA151" t="e">
        <f>AND(tecantrop!S449,"AAAAAD13v4I=")</f>
        <v>#VALUE!</v>
      </c>
      <c r="EB151" t="e">
        <f>AND(tecantrop!T449,"AAAAAD13v4M=")</f>
        <v>#VALUE!</v>
      </c>
      <c r="EC151" t="e">
        <f>AND(tecantrop!U449,"AAAAAD13v4Q=")</f>
        <v>#VALUE!</v>
      </c>
      <c r="ED151" t="e">
        <f>AND(tecantrop!V449,"AAAAAD13v4U=")</f>
        <v>#VALUE!</v>
      </c>
      <c r="EE151" t="e">
        <f>AND(tecantrop!W449,"AAAAAD13v4Y=")</f>
        <v>#VALUE!</v>
      </c>
      <c r="EF151" t="e">
        <f>AND(tecantrop!X449,"AAAAAD13v4c=")</f>
        <v>#VALUE!</v>
      </c>
      <c r="EG151">
        <f>IF(tecantrop!450:450,"AAAAAD13v4g=",0)</f>
        <v>0</v>
      </c>
      <c r="EH151" t="e">
        <f>AND(tecantrop!A450,"AAAAAD13v4k=")</f>
        <v>#VALUE!</v>
      </c>
      <c r="EI151" t="e">
        <f>AND(tecantrop!B450,"AAAAAD13v4o=")</f>
        <v>#VALUE!</v>
      </c>
      <c r="EJ151" t="e">
        <f>AND(tecantrop!C450,"AAAAAD13v4s=")</f>
        <v>#VALUE!</v>
      </c>
      <c r="EK151" t="e">
        <f>AND(tecantrop!D450,"AAAAAD13v4w=")</f>
        <v>#VALUE!</v>
      </c>
      <c r="EL151" t="e">
        <f>AND(tecantrop!E450,"AAAAAD13v40=")</f>
        <v>#VALUE!</v>
      </c>
      <c r="EM151" t="e">
        <f>AND(tecantrop!F450,"AAAAAD13v44=")</f>
        <v>#VALUE!</v>
      </c>
      <c r="EN151" t="e">
        <f>AND(tecantrop!G450,"AAAAAD13v48=")</f>
        <v>#VALUE!</v>
      </c>
      <c r="EO151" t="e">
        <f>AND(tecantrop!H450,"AAAAAD13v5A=")</f>
        <v>#VALUE!</v>
      </c>
      <c r="EP151" t="e">
        <f>AND(tecantrop!I450,"AAAAAD13v5E=")</f>
        <v>#VALUE!</v>
      </c>
      <c r="EQ151" t="e">
        <f>AND(tecantrop!J450,"AAAAAD13v5I=")</f>
        <v>#VALUE!</v>
      </c>
      <c r="ER151" t="e">
        <f>AND(tecantrop!K450,"AAAAAD13v5M=")</f>
        <v>#VALUE!</v>
      </c>
      <c r="ES151" t="e">
        <f>AND(tecantrop!L450,"AAAAAD13v5Q=")</f>
        <v>#VALUE!</v>
      </c>
      <c r="ET151" t="e">
        <f>AND(tecantrop!M450,"AAAAAD13v5U=")</f>
        <v>#VALUE!</v>
      </c>
      <c r="EU151" t="e">
        <f>AND(tecantrop!N450,"AAAAAD13v5Y=")</f>
        <v>#VALUE!</v>
      </c>
      <c r="EV151" t="e">
        <f>AND(tecantrop!O450,"AAAAAD13v5c=")</f>
        <v>#VALUE!</v>
      </c>
      <c r="EW151" t="e">
        <f>AND(tecantrop!P450,"AAAAAD13v5g=")</f>
        <v>#VALUE!</v>
      </c>
      <c r="EX151" t="e">
        <f>AND(tecantrop!Q450,"AAAAAD13v5k=")</f>
        <v>#VALUE!</v>
      </c>
      <c r="EY151" t="e">
        <f>AND(tecantrop!R450,"AAAAAD13v5o=")</f>
        <v>#VALUE!</v>
      </c>
      <c r="EZ151" t="e">
        <f>AND(tecantrop!S450,"AAAAAD13v5s=")</f>
        <v>#VALUE!</v>
      </c>
      <c r="FA151" t="e">
        <f>AND(tecantrop!T450,"AAAAAD13v5w=")</f>
        <v>#VALUE!</v>
      </c>
      <c r="FB151" t="e">
        <f>AND(tecantrop!U450,"AAAAAD13v50=")</f>
        <v>#VALUE!</v>
      </c>
      <c r="FC151" t="e">
        <f>AND(tecantrop!V450,"AAAAAD13v54=")</f>
        <v>#VALUE!</v>
      </c>
      <c r="FD151" t="e">
        <f>AND(tecantrop!W450,"AAAAAD13v58=")</f>
        <v>#VALUE!</v>
      </c>
      <c r="FE151" t="e">
        <f>AND(tecantrop!X450,"AAAAAD13v6A=")</f>
        <v>#VALUE!</v>
      </c>
      <c r="FF151">
        <f>IF(tecantrop!451:451,"AAAAAD13v6E=",0)</f>
        <v>0</v>
      </c>
      <c r="FG151" t="e">
        <f>AND(tecantrop!A451,"AAAAAD13v6I=")</f>
        <v>#VALUE!</v>
      </c>
      <c r="FH151" t="e">
        <f>AND(tecantrop!B451,"AAAAAD13v6M=")</f>
        <v>#VALUE!</v>
      </c>
      <c r="FI151" t="e">
        <f>AND(tecantrop!C451,"AAAAAD13v6Q=")</f>
        <v>#VALUE!</v>
      </c>
      <c r="FJ151" t="e">
        <f>AND(tecantrop!D451,"AAAAAD13v6U=")</f>
        <v>#VALUE!</v>
      </c>
      <c r="FK151" t="e">
        <f>AND(tecantrop!E451,"AAAAAD13v6Y=")</f>
        <v>#VALUE!</v>
      </c>
      <c r="FL151" t="e">
        <f>AND(tecantrop!F451,"AAAAAD13v6c=")</f>
        <v>#VALUE!</v>
      </c>
      <c r="FM151" t="e">
        <f>AND(tecantrop!G451,"AAAAAD13v6g=")</f>
        <v>#VALUE!</v>
      </c>
      <c r="FN151" t="e">
        <f>AND(tecantrop!H451,"AAAAAD13v6k=")</f>
        <v>#VALUE!</v>
      </c>
      <c r="FO151" t="e">
        <f>AND(tecantrop!I451,"AAAAAD13v6o=")</f>
        <v>#VALUE!</v>
      </c>
      <c r="FP151" t="e">
        <f>AND(tecantrop!J451,"AAAAAD13v6s=")</f>
        <v>#VALUE!</v>
      </c>
      <c r="FQ151" t="e">
        <f>AND(tecantrop!K451,"AAAAAD13v6w=")</f>
        <v>#VALUE!</v>
      </c>
      <c r="FR151" t="e">
        <f>AND(tecantrop!L451,"AAAAAD13v60=")</f>
        <v>#VALUE!</v>
      </c>
      <c r="FS151" t="e">
        <f>AND(tecantrop!M451,"AAAAAD13v64=")</f>
        <v>#VALUE!</v>
      </c>
      <c r="FT151" t="e">
        <f>AND(tecantrop!N451,"AAAAAD13v68=")</f>
        <v>#VALUE!</v>
      </c>
      <c r="FU151" t="e">
        <f>AND(tecantrop!O451,"AAAAAD13v7A=")</f>
        <v>#VALUE!</v>
      </c>
      <c r="FV151" t="e">
        <f>AND(tecantrop!P451,"AAAAAD13v7E=")</f>
        <v>#VALUE!</v>
      </c>
      <c r="FW151" t="e">
        <f>AND(tecantrop!Q451,"AAAAAD13v7I=")</f>
        <v>#VALUE!</v>
      </c>
      <c r="FX151" t="e">
        <f>AND(tecantrop!R451,"AAAAAD13v7M=")</f>
        <v>#VALUE!</v>
      </c>
      <c r="FY151" t="e">
        <f>AND(tecantrop!S451,"AAAAAD13v7Q=")</f>
        <v>#VALUE!</v>
      </c>
      <c r="FZ151" t="e">
        <f>AND(tecantrop!T451,"AAAAAD13v7U=")</f>
        <v>#VALUE!</v>
      </c>
      <c r="GA151" t="e">
        <f>AND(tecantrop!U451,"AAAAAD13v7Y=")</f>
        <v>#VALUE!</v>
      </c>
      <c r="GB151" t="e">
        <f>AND(tecantrop!V451,"AAAAAD13v7c=")</f>
        <v>#VALUE!</v>
      </c>
      <c r="GC151" t="e">
        <f>AND(tecantrop!W451,"AAAAAD13v7g=")</f>
        <v>#VALUE!</v>
      </c>
      <c r="GD151" t="e">
        <f>AND(tecantrop!X451,"AAAAAD13v7k=")</f>
        <v>#VALUE!</v>
      </c>
      <c r="GE151">
        <f>IF(tecantrop!452:452,"AAAAAD13v7o=",0)</f>
        <v>0</v>
      </c>
      <c r="GF151" t="e">
        <f>AND(tecantrop!A452,"AAAAAD13v7s=")</f>
        <v>#VALUE!</v>
      </c>
      <c r="GG151" t="e">
        <f>AND(tecantrop!B452,"AAAAAD13v7w=")</f>
        <v>#VALUE!</v>
      </c>
      <c r="GH151" t="e">
        <f>AND(tecantrop!C452,"AAAAAD13v70=")</f>
        <v>#VALUE!</v>
      </c>
      <c r="GI151" t="e">
        <f>AND(tecantrop!D452,"AAAAAD13v74=")</f>
        <v>#VALUE!</v>
      </c>
      <c r="GJ151" t="e">
        <f>AND(tecantrop!E452,"AAAAAD13v78=")</f>
        <v>#VALUE!</v>
      </c>
      <c r="GK151" t="e">
        <f>AND(tecantrop!F452,"AAAAAD13v8A=")</f>
        <v>#VALUE!</v>
      </c>
      <c r="GL151" t="e">
        <f>AND(tecantrop!G452,"AAAAAD13v8E=")</f>
        <v>#VALUE!</v>
      </c>
      <c r="GM151" t="e">
        <f>AND(tecantrop!H452,"AAAAAD13v8I=")</f>
        <v>#VALUE!</v>
      </c>
      <c r="GN151" t="e">
        <f>AND(tecantrop!I452,"AAAAAD13v8M=")</f>
        <v>#VALUE!</v>
      </c>
      <c r="GO151" t="e">
        <f>AND(tecantrop!J452,"AAAAAD13v8Q=")</f>
        <v>#VALUE!</v>
      </c>
      <c r="GP151" t="e">
        <f>AND(tecantrop!K452,"AAAAAD13v8U=")</f>
        <v>#VALUE!</v>
      </c>
      <c r="GQ151" t="e">
        <f>AND(tecantrop!L452,"AAAAAD13v8Y=")</f>
        <v>#VALUE!</v>
      </c>
      <c r="GR151" t="e">
        <f>AND(tecantrop!M452,"AAAAAD13v8c=")</f>
        <v>#VALUE!</v>
      </c>
      <c r="GS151" t="e">
        <f>AND(tecantrop!N452,"AAAAAD13v8g=")</f>
        <v>#VALUE!</v>
      </c>
      <c r="GT151" t="e">
        <f>AND(tecantrop!O452,"AAAAAD13v8k=")</f>
        <v>#VALUE!</v>
      </c>
      <c r="GU151" t="e">
        <f>AND(tecantrop!P452,"AAAAAD13v8o=")</f>
        <v>#VALUE!</v>
      </c>
      <c r="GV151" t="e">
        <f>AND(tecantrop!Q452,"AAAAAD13v8s=")</f>
        <v>#VALUE!</v>
      </c>
      <c r="GW151" t="e">
        <f>AND(tecantrop!R452,"AAAAAD13v8w=")</f>
        <v>#VALUE!</v>
      </c>
      <c r="GX151" t="e">
        <f>AND(tecantrop!S452,"AAAAAD13v80=")</f>
        <v>#VALUE!</v>
      </c>
      <c r="GY151" t="e">
        <f>AND(tecantrop!T452,"AAAAAD13v84=")</f>
        <v>#VALUE!</v>
      </c>
      <c r="GZ151" t="e">
        <f>AND(tecantrop!U452,"AAAAAD13v88=")</f>
        <v>#VALUE!</v>
      </c>
      <c r="HA151" t="e">
        <f>AND(tecantrop!V452,"AAAAAD13v9A=")</f>
        <v>#VALUE!</v>
      </c>
      <c r="HB151" t="e">
        <f>AND(tecantrop!W452,"AAAAAD13v9E=")</f>
        <v>#VALUE!</v>
      </c>
      <c r="HC151" t="e">
        <f>AND(tecantrop!X452,"AAAAAD13v9I=")</f>
        <v>#VALUE!</v>
      </c>
      <c r="HD151">
        <f>IF(tecantrop!453:453,"AAAAAD13v9M=",0)</f>
        <v>0</v>
      </c>
      <c r="HE151" t="e">
        <f>AND(tecantrop!A453,"AAAAAD13v9Q=")</f>
        <v>#VALUE!</v>
      </c>
      <c r="HF151" t="e">
        <f>AND(tecantrop!B453,"AAAAAD13v9U=")</f>
        <v>#VALUE!</v>
      </c>
      <c r="HG151" t="e">
        <f>AND(tecantrop!C453,"AAAAAD13v9Y=")</f>
        <v>#VALUE!</v>
      </c>
      <c r="HH151" t="e">
        <f>AND(tecantrop!D453,"AAAAAD13v9c=")</f>
        <v>#VALUE!</v>
      </c>
      <c r="HI151" t="e">
        <f>AND(tecantrop!E453,"AAAAAD13v9g=")</f>
        <v>#VALUE!</v>
      </c>
      <c r="HJ151" t="e">
        <f>AND(tecantrop!F453,"AAAAAD13v9k=")</f>
        <v>#VALUE!</v>
      </c>
      <c r="HK151" t="e">
        <f>AND(tecantrop!G453,"AAAAAD13v9o=")</f>
        <v>#VALUE!</v>
      </c>
      <c r="HL151" t="e">
        <f>AND(tecantrop!H453,"AAAAAD13v9s=")</f>
        <v>#VALUE!</v>
      </c>
      <c r="HM151" t="e">
        <f>AND(tecantrop!I453,"AAAAAD13v9w=")</f>
        <v>#VALUE!</v>
      </c>
      <c r="HN151" t="e">
        <f>AND(tecantrop!J453,"AAAAAD13v90=")</f>
        <v>#VALUE!</v>
      </c>
      <c r="HO151" t="e">
        <f>AND(tecantrop!K453,"AAAAAD13v94=")</f>
        <v>#VALUE!</v>
      </c>
      <c r="HP151" t="e">
        <f>AND(tecantrop!L453,"AAAAAD13v98=")</f>
        <v>#VALUE!</v>
      </c>
      <c r="HQ151" t="e">
        <f>AND(tecantrop!M453,"AAAAAD13v+A=")</f>
        <v>#VALUE!</v>
      </c>
      <c r="HR151" t="e">
        <f>AND(tecantrop!N453,"AAAAAD13v+E=")</f>
        <v>#VALUE!</v>
      </c>
      <c r="HS151" t="e">
        <f>AND(tecantrop!O453,"AAAAAD13v+I=")</f>
        <v>#VALUE!</v>
      </c>
      <c r="HT151" t="e">
        <f>AND(tecantrop!P453,"AAAAAD13v+M=")</f>
        <v>#VALUE!</v>
      </c>
      <c r="HU151" t="e">
        <f>AND(tecantrop!Q453,"AAAAAD13v+Q=")</f>
        <v>#VALUE!</v>
      </c>
      <c r="HV151" t="e">
        <f>AND(tecantrop!R453,"AAAAAD13v+U=")</f>
        <v>#VALUE!</v>
      </c>
      <c r="HW151" t="e">
        <f>AND(tecantrop!S453,"AAAAAD13v+Y=")</f>
        <v>#VALUE!</v>
      </c>
      <c r="HX151" t="e">
        <f>AND(tecantrop!T453,"AAAAAD13v+c=")</f>
        <v>#VALUE!</v>
      </c>
      <c r="HY151" t="e">
        <f>AND(tecantrop!U453,"AAAAAD13v+g=")</f>
        <v>#VALUE!</v>
      </c>
      <c r="HZ151" t="e">
        <f>AND(tecantrop!V453,"AAAAAD13v+k=")</f>
        <v>#VALUE!</v>
      </c>
      <c r="IA151" t="e">
        <f>AND(tecantrop!W453,"AAAAAD13v+o=")</f>
        <v>#VALUE!</v>
      </c>
      <c r="IB151" t="e">
        <f>AND(tecantrop!X453,"AAAAAD13v+s=")</f>
        <v>#VALUE!</v>
      </c>
      <c r="IC151">
        <f>IF(tecantrop!454:454,"AAAAAD13v+w=",0)</f>
        <v>0</v>
      </c>
      <c r="ID151" t="e">
        <f>AND(tecantrop!A454,"AAAAAD13v+0=")</f>
        <v>#VALUE!</v>
      </c>
      <c r="IE151" t="e">
        <f>AND(tecantrop!B454,"AAAAAD13v+4=")</f>
        <v>#VALUE!</v>
      </c>
      <c r="IF151" t="e">
        <f>AND(tecantrop!C454,"AAAAAD13v+8=")</f>
        <v>#VALUE!</v>
      </c>
      <c r="IG151" t="e">
        <f>AND(tecantrop!D454,"AAAAAD13v/A=")</f>
        <v>#VALUE!</v>
      </c>
      <c r="IH151" t="e">
        <f>AND(tecantrop!E454,"AAAAAD13v/E=")</f>
        <v>#VALUE!</v>
      </c>
      <c r="II151" t="e">
        <f>AND(tecantrop!F454,"AAAAAD13v/I=")</f>
        <v>#VALUE!</v>
      </c>
      <c r="IJ151" t="e">
        <f>AND(tecantrop!G454,"AAAAAD13v/M=")</f>
        <v>#VALUE!</v>
      </c>
      <c r="IK151" t="e">
        <f>AND(tecantrop!H454,"AAAAAD13v/Q=")</f>
        <v>#VALUE!</v>
      </c>
      <c r="IL151" t="e">
        <f>AND(tecantrop!I454,"AAAAAD13v/U=")</f>
        <v>#VALUE!</v>
      </c>
      <c r="IM151" t="e">
        <f>AND(tecantrop!J454,"AAAAAD13v/Y=")</f>
        <v>#VALUE!</v>
      </c>
      <c r="IN151" t="e">
        <f>AND(tecantrop!K454,"AAAAAD13v/c=")</f>
        <v>#VALUE!</v>
      </c>
      <c r="IO151" t="e">
        <f>AND(tecantrop!L454,"AAAAAD13v/g=")</f>
        <v>#VALUE!</v>
      </c>
      <c r="IP151" t="e">
        <f>AND(tecantrop!M454,"AAAAAD13v/k=")</f>
        <v>#VALUE!</v>
      </c>
      <c r="IQ151" t="e">
        <f>AND(tecantrop!N454,"AAAAAD13v/o=")</f>
        <v>#VALUE!</v>
      </c>
      <c r="IR151" t="e">
        <f>AND(tecantrop!O454,"AAAAAD13v/s=")</f>
        <v>#VALUE!</v>
      </c>
      <c r="IS151" t="e">
        <f>AND(tecantrop!P454,"AAAAAD13v/w=")</f>
        <v>#VALUE!</v>
      </c>
      <c r="IT151" t="e">
        <f>AND(tecantrop!Q454,"AAAAAD13v/0=")</f>
        <v>#VALUE!</v>
      </c>
      <c r="IU151" t="e">
        <f>AND(tecantrop!R454,"AAAAAD13v/4=")</f>
        <v>#VALUE!</v>
      </c>
      <c r="IV151" t="e">
        <f>AND(tecantrop!S454,"AAAAAD13v/8=")</f>
        <v>#VALUE!</v>
      </c>
    </row>
    <row r="152" spans="1:256" x14ac:dyDescent="0.2">
      <c r="A152" t="e">
        <f>AND(tecantrop!T454,"AAAAADN/fgA=")</f>
        <v>#VALUE!</v>
      </c>
      <c r="B152" t="e">
        <f>AND(tecantrop!U454,"AAAAADN/fgE=")</f>
        <v>#VALUE!</v>
      </c>
      <c r="C152" t="e">
        <f>AND(tecantrop!V454,"AAAAADN/fgI=")</f>
        <v>#VALUE!</v>
      </c>
      <c r="D152" t="e">
        <f>AND(tecantrop!W454,"AAAAADN/fgM=")</f>
        <v>#VALUE!</v>
      </c>
      <c r="E152" t="e">
        <f>AND(tecantrop!X454,"AAAAADN/fgQ=")</f>
        <v>#VALUE!</v>
      </c>
      <c r="F152">
        <f>IF(tecantrop!455:455,"AAAAADN/fgU=",0)</f>
        <v>0</v>
      </c>
      <c r="G152" t="e">
        <f>AND(tecantrop!A455,"AAAAADN/fgY=")</f>
        <v>#VALUE!</v>
      </c>
      <c r="H152" t="e">
        <f>AND(tecantrop!B455,"AAAAADN/fgc=")</f>
        <v>#VALUE!</v>
      </c>
      <c r="I152" t="e">
        <f>AND(tecantrop!C455,"AAAAADN/fgg=")</f>
        <v>#VALUE!</v>
      </c>
      <c r="J152" t="e">
        <f>AND(tecantrop!D455,"AAAAADN/fgk=")</f>
        <v>#VALUE!</v>
      </c>
      <c r="K152" t="e">
        <f>AND(tecantrop!E455,"AAAAADN/fgo=")</f>
        <v>#VALUE!</v>
      </c>
      <c r="L152" t="e">
        <f>AND(tecantrop!F455,"AAAAADN/fgs=")</f>
        <v>#VALUE!</v>
      </c>
      <c r="M152" t="e">
        <f>AND(tecantrop!G455,"AAAAADN/fgw=")</f>
        <v>#VALUE!</v>
      </c>
      <c r="N152" t="e">
        <f>AND(tecantrop!H455,"AAAAADN/fg0=")</f>
        <v>#VALUE!</v>
      </c>
      <c r="O152" t="e">
        <f>AND(tecantrop!I455,"AAAAADN/fg4=")</f>
        <v>#VALUE!</v>
      </c>
      <c r="P152" t="e">
        <f>AND(tecantrop!J455,"AAAAADN/fg8=")</f>
        <v>#VALUE!</v>
      </c>
      <c r="Q152" t="e">
        <f>AND(tecantrop!K455,"AAAAADN/fhA=")</f>
        <v>#VALUE!</v>
      </c>
      <c r="R152" t="e">
        <f>AND(tecantrop!L455,"AAAAADN/fhE=")</f>
        <v>#VALUE!</v>
      </c>
      <c r="S152" t="e">
        <f>AND(tecantrop!M455,"AAAAADN/fhI=")</f>
        <v>#VALUE!</v>
      </c>
      <c r="T152" t="e">
        <f>AND(tecantrop!N455,"AAAAADN/fhM=")</f>
        <v>#VALUE!</v>
      </c>
      <c r="U152" t="e">
        <f>AND(tecantrop!O455,"AAAAADN/fhQ=")</f>
        <v>#VALUE!</v>
      </c>
      <c r="V152" t="e">
        <f>AND(tecantrop!P455,"AAAAADN/fhU=")</f>
        <v>#VALUE!</v>
      </c>
      <c r="W152" t="e">
        <f>AND(tecantrop!Q455,"AAAAADN/fhY=")</f>
        <v>#VALUE!</v>
      </c>
      <c r="X152" t="e">
        <f>AND(tecantrop!R455,"AAAAADN/fhc=")</f>
        <v>#VALUE!</v>
      </c>
      <c r="Y152" t="e">
        <f>AND(tecantrop!S455,"AAAAADN/fhg=")</f>
        <v>#VALUE!</v>
      </c>
      <c r="Z152" t="e">
        <f>AND(tecantrop!T455,"AAAAADN/fhk=")</f>
        <v>#VALUE!</v>
      </c>
      <c r="AA152" t="e">
        <f>AND(tecantrop!U455,"AAAAADN/fho=")</f>
        <v>#VALUE!</v>
      </c>
      <c r="AB152" t="e">
        <f>AND(tecantrop!V455,"AAAAADN/fhs=")</f>
        <v>#VALUE!</v>
      </c>
      <c r="AC152" t="e">
        <f>AND(tecantrop!W455,"AAAAADN/fhw=")</f>
        <v>#VALUE!</v>
      </c>
      <c r="AD152" t="e">
        <f>AND(tecantrop!X455,"AAAAADN/fh0=")</f>
        <v>#VALUE!</v>
      </c>
      <c r="AE152">
        <f>IF(tecantrop!456:456,"AAAAADN/fh4=",0)</f>
        <v>0</v>
      </c>
      <c r="AF152" t="e">
        <f>AND(tecantrop!A456,"AAAAADN/fh8=")</f>
        <v>#VALUE!</v>
      </c>
      <c r="AG152" t="e">
        <f>AND(tecantrop!B456,"AAAAADN/fiA=")</f>
        <v>#VALUE!</v>
      </c>
      <c r="AH152" t="e">
        <f>AND(tecantrop!C456,"AAAAADN/fiE=")</f>
        <v>#VALUE!</v>
      </c>
      <c r="AI152" t="e">
        <f>AND(tecantrop!D456,"AAAAADN/fiI=")</f>
        <v>#VALUE!</v>
      </c>
      <c r="AJ152" t="e">
        <f>AND(tecantrop!E456,"AAAAADN/fiM=")</f>
        <v>#VALUE!</v>
      </c>
      <c r="AK152" t="e">
        <f>AND(tecantrop!F456,"AAAAADN/fiQ=")</f>
        <v>#VALUE!</v>
      </c>
      <c r="AL152" t="e">
        <f>AND(tecantrop!G456,"AAAAADN/fiU=")</f>
        <v>#VALUE!</v>
      </c>
      <c r="AM152" t="e">
        <f>AND(tecantrop!H456,"AAAAADN/fiY=")</f>
        <v>#VALUE!</v>
      </c>
      <c r="AN152" t="e">
        <f>AND(tecantrop!I456,"AAAAADN/fic=")</f>
        <v>#VALUE!</v>
      </c>
      <c r="AO152" t="e">
        <f>AND(tecantrop!J456,"AAAAADN/fig=")</f>
        <v>#VALUE!</v>
      </c>
      <c r="AP152" t="e">
        <f>AND(tecantrop!K456,"AAAAADN/fik=")</f>
        <v>#VALUE!</v>
      </c>
      <c r="AQ152" t="e">
        <f>AND(tecantrop!L456,"AAAAADN/fio=")</f>
        <v>#VALUE!</v>
      </c>
      <c r="AR152" t="e">
        <f>AND(tecantrop!M456,"AAAAADN/fis=")</f>
        <v>#VALUE!</v>
      </c>
      <c r="AS152" t="e">
        <f>AND(tecantrop!N456,"AAAAADN/fiw=")</f>
        <v>#VALUE!</v>
      </c>
      <c r="AT152" t="e">
        <f>AND(tecantrop!O456,"AAAAADN/fi0=")</f>
        <v>#VALUE!</v>
      </c>
      <c r="AU152" t="e">
        <f>AND(tecantrop!P456,"AAAAADN/fi4=")</f>
        <v>#VALUE!</v>
      </c>
      <c r="AV152" t="e">
        <f>AND(tecantrop!Q456,"AAAAADN/fi8=")</f>
        <v>#VALUE!</v>
      </c>
      <c r="AW152" t="e">
        <f>AND(tecantrop!R456,"AAAAADN/fjA=")</f>
        <v>#VALUE!</v>
      </c>
      <c r="AX152" t="e">
        <f>AND(tecantrop!S456,"AAAAADN/fjE=")</f>
        <v>#VALUE!</v>
      </c>
      <c r="AY152" t="e">
        <f>AND(tecantrop!T456,"AAAAADN/fjI=")</f>
        <v>#VALUE!</v>
      </c>
      <c r="AZ152" t="e">
        <f>AND(tecantrop!U456,"AAAAADN/fjM=")</f>
        <v>#VALUE!</v>
      </c>
      <c r="BA152" t="e">
        <f>AND(tecantrop!V456,"AAAAADN/fjQ=")</f>
        <v>#VALUE!</v>
      </c>
      <c r="BB152" t="e">
        <f>AND(tecantrop!W456,"AAAAADN/fjU=")</f>
        <v>#VALUE!</v>
      </c>
      <c r="BC152" t="e">
        <f>AND(tecantrop!X456,"AAAAADN/fjY=")</f>
        <v>#VALUE!</v>
      </c>
      <c r="BD152">
        <f>IF(tecantrop!457:457,"AAAAADN/fjc=",0)</f>
        <v>0</v>
      </c>
      <c r="BE152" t="e">
        <f>AND(tecantrop!A457,"AAAAADN/fjg=")</f>
        <v>#VALUE!</v>
      </c>
      <c r="BF152" t="e">
        <f>AND(tecantrop!B457,"AAAAADN/fjk=")</f>
        <v>#VALUE!</v>
      </c>
      <c r="BG152" t="e">
        <f>AND(tecantrop!C457,"AAAAADN/fjo=")</f>
        <v>#VALUE!</v>
      </c>
      <c r="BH152" t="e">
        <f>AND(tecantrop!D457,"AAAAADN/fjs=")</f>
        <v>#VALUE!</v>
      </c>
      <c r="BI152" t="e">
        <f>AND(tecantrop!E457,"AAAAADN/fjw=")</f>
        <v>#VALUE!</v>
      </c>
      <c r="BJ152" t="e">
        <f>AND(tecantrop!F457,"AAAAADN/fj0=")</f>
        <v>#VALUE!</v>
      </c>
      <c r="BK152" t="e">
        <f>AND(tecantrop!G457,"AAAAADN/fj4=")</f>
        <v>#VALUE!</v>
      </c>
      <c r="BL152" t="e">
        <f>AND(tecantrop!H457,"AAAAADN/fj8=")</f>
        <v>#VALUE!</v>
      </c>
      <c r="BM152" t="e">
        <f>AND(tecantrop!I457,"AAAAADN/fkA=")</f>
        <v>#VALUE!</v>
      </c>
      <c r="BN152" t="e">
        <f>AND(tecantrop!J457,"AAAAADN/fkE=")</f>
        <v>#VALUE!</v>
      </c>
      <c r="BO152" t="e">
        <f>AND(tecantrop!K457,"AAAAADN/fkI=")</f>
        <v>#VALUE!</v>
      </c>
      <c r="BP152" t="e">
        <f>AND(tecantrop!L457,"AAAAADN/fkM=")</f>
        <v>#VALUE!</v>
      </c>
      <c r="BQ152" t="e">
        <f>AND(tecantrop!M457,"AAAAADN/fkQ=")</f>
        <v>#VALUE!</v>
      </c>
      <c r="BR152" t="e">
        <f>AND(tecantrop!N457,"AAAAADN/fkU=")</f>
        <v>#VALUE!</v>
      </c>
      <c r="BS152" t="e">
        <f>AND(tecantrop!O457,"AAAAADN/fkY=")</f>
        <v>#VALUE!</v>
      </c>
      <c r="BT152" t="e">
        <f>AND(tecantrop!P457,"AAAAADN/fkc=")</f>
        <v>#VALUE!</v>
      </c>
      <c r="BU152" t="e">
        <f>AND(tecantrop!Q457,"AAAAADN/fkg=")</f>
        <v>#VALUE!</v>
      </c>
      <c r="BV152" t="e">
        <f>AND(tecantrop!R457,"AAAAADN/fkk=")</f>
        <v>#VALUE!</v>
      </c>
      <c r="BW152" t="e">
        <f>AND(tecantrop!S457,"AAAAADN/fko=")</f>
        <v>#VALUE!</v>
      </c>
      <c r="BX152" t="e">
        <f>AND(tecantrop!T457,"AAAAADN/fks=")</f>
        <v>#VALUE!</v>
      </c>
      <c r="BY152" t="e">
        <f>AND(tecantrop!U457,"AAAAADN/fkw=")</f>
        <v>#VALUE!</v>
      </c>
      <c r="BZ152" t="e">
        <f>AND(tecantrop!V457,"AAAAADN/fk0=")</f>
        <v>#VALUE!</v>
      </c>
      <c r="CA152" t="e">
        <f>AND(tecantrop!W457,"AAAAADN/fk4=")</f>
        <v>#VALUE!</v>
      </c>
      <c r="CB152" t="e">
        <f>AND(tecantrop!X457,"AAAAADN/fk8=")</f>
        <v>#VALUE!</v>
      </c>
      <c r="CC152">
        <f>IF(tecantrop!458:458,"AAAAADN/flA=",0)</f>
        <v>0</v>
      </c>
      <c r="CD152" t="e">
        <f>AND(tecantrop!A458,"AAAAADN/flE=")</f>
        <v>#VALUE!</v>
      </c>
      <c r="CE152" t="e">
        <f>AND(tecantrop!B458,"AAAAADN/flI=")</f>
        <v>#VALUE!</v>
      </c>
      <c r="CF152" t="e">
        <f>AND(tecantrop!C458,"AAAAADN/flM=")</f>
        <v>#VALUE!</v>
      </c>
      <c r="CG152" t="e">
        <f>AND(tecantrop!D458,"AAAAADN/flQ=")</f>
        <v>#VALUE!</v>
      </c>
      <c r="CH152" t="e">
        <f>AND(tecantrop!E458,"AAAAADN/flU=")</f>
        <v>#VALUE!</v>
      </c>
      <c r="CI152" t="e">
        <f>AND(tecantrop!F458,"AAAAADN/flY=")</f>
        <v>#VALUE!</v>
      </c>
      <c r="CJ152" t="e">
        <f>AND(tecantrop!G458,"AAAAADN/flc=")</f>
        <v>#VALUE!</v>
      </c>
      <c r="CK152" t="e">
        <f>AND(tecantrop!H458,"AAAAADN/flg=")</f>
        <v>#VALUE!</v>
      </c>
      <c r="CL152" t="e">
        <f>AND(tecantrop!I458,"AAAAADN/flk=")</f>
        <v>#VALUE!</v>
      </c>
      <c r="CM152" t="e">
        <f>AND(tecantrop!J458,"AAAAADN/flo=")</f>
        <v>#VALUE!</v>
      </c>
      <c r="CN152" t="e">
        <f>AND(tecantrop!K458,"AAAAADN/fls=")</f>
        <v>#VALUE!</v>
      </c>
      <c r="CO152" t="e">
        <f>AND(tecantrop!L458,"AAAAADN/flw=")</f>
        <v>#VALUE!</v>
      </c>
      <c r="CP152" t="e">
        <f>AND(tecantrop!M458,"AAAAADN/fl0=")</f>
        <v>#VALUE!</v>
      </c>
      <c r="CQ152" t="e">
        <f>AND(tecantrop!N458,"AAAAADN/fl4=")</f>
        <v>#VALUE!</v>
      </c>
      <c r="CR152" t="e">
        <f>AND(tecantrop!O458,"AAAAADN/fl8=")</f>
        <v>#VALUE!</v>
      </c>
      <c r="CS152" t="e">
        <f>AND(tecantrop!P458,"AAAAADN/fmA=")</f>
        <v>#VALUE!</v>
      </c>
      <c r="CT152" t="e">
        <f>AND(tecantrop!Q458,"AAAAADN/fmE=")</f>
        <v>#VALUE!</v>
      </c>
      <c r="CU152" t="e">
        <f>AND(tecantrop!R458,"AAAAADN/fmI=")</f>
        <v>#VALUE!</v>
      </c>
      <c r="CV152" t="e">
        <f>AND(tecantrop!S458,"AAAAADN/fmM=")</f>
        <v>#VALUE!</v>
      </c>
      <c r="CW152" t="e">
        <f>AND(tecantrop!T458,"AAAAADN/fmQ=")</f>
        <v>#VALUE!</v>
      </c>
      <c r="CX152" t="e">
        <f>AND(tecantrop!U458,"AAAAADN/fmU=")</f>
        <v>#VALUE!</v>
      </c>
      <c r="CY152" t="e">
        <f>AND(tecantrop!V458,"AAAAADN/fmY=")</f>
        <v>#VALUE!</v>
      </c>
      <c r="CZ152" t="e">
        <f>AND(tecantrop!W458,"AAAAADN/fmc=")</f>
        <v>#VALUE!</v>
      </c>
      <c r="DA152" t="e">
        <f>AND(tecantrop!X458,"AAAAADN/fmg=")</f>
        <v>#VALUE!</v>
      </c>
      <c r="DB152">
        <f>IF(tecantrop!459:459,"AAAAADN/fmk=",0)</f>
        <v>0</v>
      </c>
      <c r="DC152" t="e">
        <f>AND(tecantrop!A459,"AAAAADN/fmo=")</f>
        <v>#VALUE!</v>
      </c>
      <c r="DD152" t="e">
        <f>AND(tecantrop!B459,"AAAAADN/fms=")</f>
        <v>#VALUE!</v>
      </c>
      <c r="DE152" t="e">
        <f>AND(tecantrop!C459,"AAAAADN/fmw=")</f>
        <v>#VALUE!</v>
      </c>
      <c r="DF152" t="e">
        <f>AND(tecantrop!D459,"AAAAADN/fm0=")</f>
        <v>#VALUE!</v>
      </c>
      <c r="DG152" t="e">
        <f>AND(tecantrop!E459,"AAAAADN/fm4=")</f>
        <v>#VALUE!</v>
      </c>
      <c r="DH152" t="e">
        <f>AND(tecantrop!F459,"AAAAADN/fm8=")</f>
        <v>#VALUE!</v>
      </c>
      <c r="DI152" t="e">
        <f>AND(tecantrop!G459,"AAAAADN/fnA=")</f>
        <v>#VALUE!</v>
      </c>
      <c r="DJ152" t="e">
        <f>AND(tecantrop!H459,"AAAAADN/fnE=")</f>
        <v>#VALUE!</v>
      </c>
      <c r="DK152" t="e">
        <f>AND(tecantrop!I459,"AAAAADN/fnI=")</f>
        <v>#VALUE!</v>
      </c>
      <c r="DL152" t="e">
        <f>AND(tecantrop!J459,"AAAAADN/fnM=")</f>
        <v>#VALUE!</v>
      </c>
      <c r="DM152" t="e">
        <f>AND(tecantrop!K459,"AAAAADN/fnQ=")</f>
        <v>#VALUE!</v>
      </c>
      <c r="DN152" t="e">
        <f>AND(tecantrop!L459,"AAAAADN/fnU=")</f>
        <v>#VALUE!</v>
      </c>
      <c r="DO152" t="e">
        <f>AND(tecantrop!M459,"AAAAADN/fnY=")</f>
        <v>#VALUE!</v>
      </c>
      <c r="DP152" t="e">
        <f>AND(tecantrop!N459,"AAAAADN/fnc=")</f>
        <v>#VALUE!</v>
      </c>
      <c r="DQ152" t="e">
        <f>AND(tecantrop!O459,"AAAAADN/fng=")</f>
        <v>#VALUE!</v>
      </c>
      <c r="DR152" t="e">
        <f>AND(tecantrop!P459,"AAAAADN/fnk=")</f>
        <v>#VALUE!</v>
      </c>
      <c r="DS152" t="e">
        <f>AND(tecantrop!Q459,"AAAAADN/fno=")</f>
        <v>#VALUE!</v>
      </c>
      <c r="DT152" t="e">
        <f>AND(tecantrop!R459,"AAAAADN/fns=")</f>
        <v>#VALUE!</v>
      </c>
      <c r="DU152" t="e">
        <f>AND(tecantrop!S459,"AAAAADN/fnw=")</f>
        <v>#VALUE!</v>
      </c>
      <c r="DV152" t="e">
        <f>AND(tecantrop!T459,"AAAAADN/fn0=")</f>
        <v>#VALUE!</v>
      </c>
      <c r="DW152" t="e">
        <f>AND(tecantrop!U459,"AAAAADN/fn4=")</f>
        <v>#VALUE!</v>
      </c>
      <c r="DX152" t="e">
        <f>AND(tecantrop!V459,"AAAAADN/fn8=")</f>
        <v>#VALUE!</v>
      </c>
      <c r="DY152" t="e">
        <f>AND(tecantrop!W459,"AAAAADN/foA=")</f>
        <v>#VALUE!</v>
      </c>
      <c r="DZ152" t="e">
        <f>AND(tecantrop!X459,"AAAAADN/foE=")</f>
        <v>#VALUE!</v>
      </c>
      <c r="EA152">
        <f>IF(tecantrop!460:460,"AAAAADN/foI=",0)</f>
        <v>0</v>
      </c>
      <c r="EB152" t="e">
        <f>AND(tecantrop!A460,"AAAAADN/foM=")</f>
        <v>#VALUE!</v>
      </c>
      <c r="EC152" t="e">
        <f>AND(tecantrop!B460,"AAAAADN/foQ=")</f>
        <v>#VALUE!</v>
      </c>
      <c r="ED152" t="e">
        <f>AND(tecantrop!C460,"AAAAADN/foU=")</f>
        <v>#VALUE!</v>
      </c>
      <c r="EE152" t="e">
        <f>AND(tecantrop!D460,"AAAAADN/foY=")</f>
        <v>#VALUE!</v>
      </c>
      <c r="EF152" t="e">
        <f>AND(tecantrop!E460,"AAAAADN/foc=")</f>
        <v>#VALUE!</v>
      </c>
      <c r="EG152" t="e">
        <f>AND(tecantrop!F460,"AAAAADN/fog=")</f>
        <v>#VALUE!</v>
      </c>
      <c r="EH152" t="e">
        <f>AND(tecantrop!G460,"AAAAADN/fok=")</f>
        <v>#VALUE!</v>
      </c>
      <c r="EI152" t="e">
        <f>AND(tecantrop!H460,"AAAAADN/foo=")</f>
        <v>#VALUE!</v>
      </c>
      <c r="EJ152" t="e">
        <f>AND(tecantrop!I460,"AAAAADN/fos=")</f>
        <v>#VALUE!</v>
      </c>
      <c r="EK152" t="e">
        <f>AND(tecantrop!J460,"AAAAADN/fow=")</f>
        <v>#VALUE!</v>
      </c>
      <c r="EL152" t="e">
        <f>AND(tecantrop!K460,"AAAAADN/fo0=")</f>
        <v>#VALUE!</v>
      </c>
      <c r="EM152" t="e">
        <f>AND(tecantrop!L460,"AAAAADN/fo4=")</f>
        <v>#VALUE!</v>
      </c>
      <c r="EN152" t="e">
        <f>AND(tecantrop!M460,"AAAAADN/fo8=")</f>
        <v>#VALUE!</v>
      </c>
      <c r="EO152" t="e">
        <f>AND(tecantrop!N460,"AAAAADN/fpA=")</f>
        <v>#VALUE!</v>
      </c>
      <c r="EP152" t="e">
        <f>AND(tecantrop!O460,"AAAAADN/fpE=")</f>
        <v>#VALUE!</v>
      </c>
      <c r="EQ152" t="e">
        <f>AND(tecantrop!P460,"AAAAADN/fpI=")</f>
        <v>#VALUE!</v>
      </c>
      <c r="ER152" t="e">
        <f>AND(tecantrop!Q460,"AAAAADN/fpM=")</f>
        <v>#VALUE!</v>
      </c>
      <c r="ES152" t="e">
        <f>AND(tecantrop!R460,"AAAAADN/fpQ=")</f>
        <v>#VALUE!</v>
      </c>
      <c r="ET152" t="e">
        <f>AND(tecantrop!S460,"AAAAADN/fpU=")</f>
        <v>#VALUE!</v>
      </c>
      <c r="EU152" t="e">
        <f>AND(tecantrop!T460,"AAAAADN/fpY=")</f>
        <v>#VALUE!</v>
      </c>
      <c r="EV152" t="e">
        <f>AND(tecantrop!U460,"AAAAADN/fpc=")</f>
        <v>#VALUE!</v>
      </c>
      <c r="EW152" t="e">
        <f>AND(tecantrop!V460,"AAAAADN/fpg=")</f>
        <v>#VALUE!</v>
      </c>
      <c r="EX152" t="e">
        <f>AND(tecantrop!W460,"AAAAADN/fpk=")</f>
        <v>#VALUE!</v>
      </c>
      <c r="EY152" t="e">
        <f>AND(tecantrop!X460,"AAAAADN/fpo=")</f>
        <v>#VALUE!</v>
      </c>
      <c r="EZ152">
        <f>IF(tecantrop!461:461,"AAAAADN/fps=",0)</f>
        <v>0</v>
      </c>
      <c r="FA152" t="e">
        <f>AND(tecantrop!A461,"AAAAADN/fpw=")</f>
        <v>#VALUE!</v>
      </c>
      <c r="FB152" t="e">
        <f>AND(tecantrop!B461,"AAAAADN/fp0=")</f>
        <v>#VALUE!</v>
      </c>
      <c r="FC152" t="e">
        <f>AND(tecantrop!C461,"AAAAADN/fp4=")</f>
        <v>#VALUE!</v>
      </c>
      <c r="FD152" t="e">
        <f>AND(tecantrop!D461,"AAAAADN/fp8=")</f>
        <v>#VALUE!</v>
      </c>
      <c r="FE152" t="e">
        <f>AND(tecantrop!E461,"AAAAADN/fqA=")</f>
        <v>#VALUE!</v>
      </c>
      <c r="FF152" t="e">
        <f>AND(tecantrop!F461,"AAAAADN/fqE=")</f>
        <v>#VALUE!</v>
      </c>
      <c r="FG152" t="e">
        <f>AND(tecantrop!G461,"AAAAADN/fqI=")</f>
        <v>#VALUE!</v>
      </c>
      <c r="FH152" t="e">
        <f>AND(tecantrop!H461,"AAAAADN/fqM=")</f>
        <v>#VALUE!</v>
      </c>
      <c r="FI152" t="e">
        <f>AND(tecantrop!I461,"AAAAADN/fqQ=")</f>
        <v>#VALUE!</v>
      </c>
      <c r="FJ152" t="e">
        <f>AND(tecantrop!J461,"AAAAADN/fqU=")</f>
        <v>#VALUE!</v>
      </c>
      <c r="FK152" t="e">
        <f>AND(tecantrop!K461,"AAAAADN/fqY=")</f>
        <v>#VALUE!</v>
      </c>
      <c r="FL152" t="e">
        <f>AND(tecantrop!L461,"AAAAADN/fqc=")</f>
        <v>#VALUE!</v>
      </c>
      <c r="FM152" t="e">
        <f>AND(tecantrop!M461,"AAAAADN/fqg=")</f>
        <v>#VALUE!</v>
      </c>
      <c r="FN152" t="e">
        <f>AND(tecantrop!N461,"AAAAADN/fqk=")</f>
        <v>#VALUE!</v>
      </c>
      <c r="FO152" t="e">
        <f>AND(tecantrop!O461,"AAAAADN/fqo=")</f>
        <v>#VALUE!</v>
      </c>
      <c r="FP152" t="e">
        <f>AND(tecantrop!P461,"AAAAADN/fqs=")</f>
        <v>#VALUE!</v>
      </c>
      <c r="FQ152" t="e">
        <f>AND(tecantrop!Q461,"AAAAADN/fqw=")</f>
        <v>#VALUE!</v>
      </c>
      <c r="FR152" t="e">
        <f>AND(tecantrop!R461,"AAAAADN/fq0=")</f>
        <v>#VALUE!</v>
      </c>
      <c r="FS152" t="e">
        <f>AND(tecantrop!S461,"AAAAADN/fq4=")</f>
        <v>#VALUE!</v>
      </c>
      <c r="FT152" t="e">
        <f>AND(tecantrop!T461,"AAAAADN/fq8=")</f>
        <v>#VALUE!</v>
      </c>
      <c r="FU152" t="e">
        <f>AND(tecantrop!U461,"AAAAADN/frA=")</f>
        <v>#VALUE!</v>
      </c>
      <c r="FV152" t="e">
        <f>AND(tecantrop!V461,"AAAAADN/frE=")</f>
        <v>#VALUE!</v>
      </c>
      <c r="FW152" t="e">
        <f>AND(tecantrop!W461,"AAAAADN/frI=")</f>
        <v>#VALUE!</v>
      </c>
      <c r="FX152" t="e">
        <f>AND(tecantrop!X461,"AAAAADN/frM=")</f>
        <v>#VALUE!</v>
      </c>
      <c r="FY152">
        <f>IF(tecantrop!462:462,"AAAAADN/frQ=",0)</f>
        <v>0</v>
      </c>
      <c r="FZ152" t="e">
        <f>AND(tecantrop!A462,"AAAAADN/frU=")</f>
        <v>#VALUE!</v>
      </c>
      <c r="GA152" t="e">
        <f>AND(tecantrop!B462,"AAAAADN/frY=")</f>
        <v>#VALUE!</v>
      </c>
      <c r="GB152" t="e">
        <f>AND(tecantrop!C462,"AAAAADN/frc=")</f>
        <v>#VALUE!</v>
      </c>
      <c r="GC152" t="e">
        <f>AND(tecantrop!D462,"AAAAADN/frg=")</f>
        <v>#VALUE!</v>
      </c>
      <c r="GD152" t="e">
        <f>AND(tecantrop!E462,"AAAAADN/frk=")</f>
        <v>#VALUE!</v>
      </c>
      <c r="GE152" t="e">
        <f>AND(tecantrop!F462,"AAAAADN/fro=")</f>
        <v>#VALUE!</v>
      </c>
      <c r="GF152" t="e">
        <f>AND(tecantrop!G462,"AAAAADN/frs=")</f>
        <v>#VALUE!</v>
      </c>
      <c r="GG152" t="e">
        <f>AND(tecantrop!H462,"AAAAADN/frw=")</f>
        <v>#VALUE!</v>
      </c>
      <c r="GH152" t="e">
        <f>AND(tecantrop!I462,"AAAAADN/fr0=")</f>
        <v>#VALUE!</v>
      </c>
      <c r="GI152" t="e">
        <f>AND(tecantrop!J462,"AAAAADN/fr4=")</f>
        <v>#VALUE!</v>
      </c>
      <c r="GJ152" t="e">
        <f>AND(tecantrop!K462,"AAAAADN/fr8=")</f>
        <v>#VALUE!</v>
      </c>
      <c r="GK152" t="e">
        <f>AND(tecantrop!L462,"AAAAADN/fsA=")</f>
        <v>#VALUE!</v>
      </c>
      <c r="GL152" t="e">
        <f>AND(tecantrop!M462,"AAAAADN/fsE=")</f>
        <v>#VALUE!</v>
      </c>
      <c r="GM152" t="e">
        <f>AND(tecantrop!N462,"AAAAADN/fsI=")</f>
        <v>#VALUE!</v>
      </c>
      <c r="GN152" t="e">
        <f>AND(tecantrop!O462,"AAAAADN/fsM=")</f>
        <v>#VALUE!</v>
      </c>
      <c r="GO152" t="e">
        <f>AND(tecantrop!P462,"AAAAADN/fsQ=")</f>
        <v>#VALUE!</v>
      </c>
      <c r="GP152" t="e">
        <f>AND(tecantrop!Q462,"AAAAADN/fsU=")</f>
        <v>#VALUE!</v>
      </c>
      <c r="GQ152" t="e">
        <f>AND(tecantrop!R462,"AAAAADN/fsY=")</f>
        <v>#VALUE!</v>
      </c>
      <c r="GR152" t="e">
        <f>AND(tecantrop!S462,"AAAAADN/fsc=")</f>
        <v>#VALUE!</v>
      </c>
      <c r="GS152" t="e">
        <f>AND(tecantrop!T462,"AAAAADN/fsg=")</f>
        <v>#VALUE!</v>
      </c>
      <c r="GT152" t="e">
        <f>AND(tecantrop!U462,"AAAAADN/fsk=")</f>
        <v>#VALUE!</v>
      </c>
      <c r="GU152" t="e">
        <f>AND(tecantrop!V462,"AAAAADN/fso=")</f>
        <v>#VALUE!</v>
      </c>
      <c r="GV152" t="e">
        <f>AND(tecantrop!W462,"AAAAADN/fss=")</f>
        <v>#VALUE!</v>
      </c>
      <c r="GW152" t="e">
        <f>AND(tecantrop!X462,"AAAAADN/fsw=")</f>
        <v>#VALUE!</v>
      </c>
      <c r="GX152">
        <f>IF(tecantrop!463:463,"AAAAADN/fs0=",0)</f>
        <v>0</v>
      </c>
      <c r="GY152" t="e">
        <f>AND(tecantrop!A463,"AAAAADN/fs4=")</f>
        <v>#VALUE!</v>
      </c>
      <c r="GZ152" t="e">
        <f>AND(tecantrop!B463,"AAAAADN/fs8=")</f>
        <v>#VALUE!</v>
      </c>
      <c r="HA152" t="e">
        <f>AND(tecantrop!C463,"AAAAADN/ftA=")</f>
        <v>#VALUE!</v>
      </c>
      <c r="HB152" t="e">
        <f>AND(tecantrop!D463,"AAAAADN/ftE=")</f>
        <v>#VALUE!</v>
      </c>
      <c r="HC152" t="e">
        <f>AND(tecantrop!E463,"AAAAADN/ftI=")</f>
        <v>#VALUE!</v>
      </c>
      <c r="HD152" t="e">
        <f>AND(tecantrop!F463,"AAAAADN/ftM=")</f>
        <v>#VALUE!</v>
      </c>
      <c r="HE152" t="e">
        <f>AND(tecantrop!G463,"AAAAADN/ftQ=")</f>
        <v>#VALUE!</v>
      </c>
      <c r="HF152" t="e">
        <f>AND(tecantrop!H463,"AAAAADN/ftU=")</f>
        <v>#VALUE!</v>
      </c>
      <c r="HG152" t="e">
        <f>AND(tecantrop!I463,"AAAAADN/ftY=")</f>
        <v>#VALUE!</v>
      </c>
      <c r="HH152" t="e">
        <f>AND(tecantrop!J463,"AAAAADN/ftc=")</f>
        <v>#VALUE!</v>
      </c>
      <c r="HI152" t="e">
        <f>AND(tecantrop!K463,"AAAAADN/ftg=")</f>
        <v>#VALUE!</v>
      </c>
      <c r="HJ152" t="e">
        <f>AND(tecantrop!L463,"AAAAADN/ftk=")</f>
        <v>#VALUE!</v>
      </c>
      <c r="HK152" t="e">
        <f>AND(tecantrop!M463,"AAAAADN/fto=")</f>
        <v>#VALUE!</v>
      </c>
      <c r="HL152" t="e">
        <f>AND(tecantrop!N463,"AAAAADN/fts=")</f>
        <v>#VALUE!</v>
      </c>
      <c r="HM152" t="e">
        <f>AND(tecantrop!O463,"AAAAADN/ftw=")</f>
        <v>#VALUE!</v>
      </c>
      <c r="HN152" t="e">
        <f>AND(tecantrop!P463,"AAAAADN/ft0=")</f>
        <v>#VALUE!</v>
      </c>
      <c r="HO152" t="e">
        <f>AND(tecantrop!Q463,"AAAAADN/ft4=")</f>
        <v>#VALUE!</v>
      </c>
      <c r="HP152" t="e">
        <f>AND(tecantrop!R463,"AAAAADN/ft8=")</f>
        <v>#VALUE!</v>
      </c>
      <c r="HQ152" t="e">
        <f>AND(tecantrop!S463,"AAAAADN/fuA=")</f>
        <v>#VALUE!</v>
      </c>
      <c r="HR152" t="e">
        <f>AND(tecantrop!T463,"AAAAADN/fuE=")</f>
        <v>#VALUE!</v>
      </c>
      <c r="HS152" t="e">
        <f>AND(tecantrop!U463,"AAAAADN/fuI=")</f>
        <v>#VALUE!</v>
      </c>
      <c r="HT152" t="e">
        <f>AND(tecantrop!V463,"AAAAADN/fuM=")</f>
        <v>#VALUE!</v>
      </c>
      <c r="HU152" t="e">
        <f>AND(tecantrop!W463,"AAAAADN/fuQ=")</f>
        <v>#VALUE!</v>
      </c>
      <c r="HV152" t="e">
        <f>AND(tecantrop!X463,"AAAAADN/fuU=")</f>
        <v>#VALUE!</v>
      </c>
      <c r="HW152">
        <f>IF(tecantrop!464:464,"AAAAADN/fuY=",0)</f>
        <v>0</v>
      </c>
      <c r="HX152" t="e">
        <f>AND(tecantrop!A464,"AAAAADN/fuc=")</f>
        <v>#VALUE!</v>
      </c>
      <c r="HY152" t="e">
        <f>AND(tecantrop!B464,"AAAAADN/fug=")</f>
        <v>#VALUE!</v>
      </c>
      <c r="HZ152" t="e">
        <f>AND(tecantrop!C464,"AAAAADN/fuk=")</f>
        <v>#VALUE!</v>
      </c>
      <c r="IA152" t="e">
        <f>AND(tecantrop!D464,"AAAAADN/fuo=")</f>
        <v>#VALUE!</v>
      </c>
      <c r="IB152" t="e">
        <f>AND(tecantrop!E464,"AAAAADN/fus=")</f>
        <v>#VALUE!</v>
      </c>
      <c r="IC152" t="e">
        <f>AND(tecantrop!F464,"AAAAADN/fuw=")</f>
        <v>#VALUE!</v>
      </c>
      <c r="ID152" t="e">
        <f>AND(tecantrop!G464,"AAAAADN/fu0=")</f>
        <v>#VALUE!</v>
      </c>
      <c r="IE152" t="e">
        <f>AND(tecantrop!H464,"AAAAADN/fu4=")</f>
        <v>#VALUE!</v>
      </c>
      <c r="IF152" t="e">
        <f>AND(tecantrop!I464,"AAAAADN/fu8=")</f>
        <v>#VALUE!</v>
      </c>
      <c r="IG152" t="e">
        <f>AND(tecantrop!J464,"AAAAADN/fvA=")</f>
        <v>#VALUE!</v>
      </c>
      <c r="IH152" t="e">
        <f>AND(tecantrop!K464,"AAAAADN/fvE=")</f>
        <v>#VALUE!</v>
      </c>
      <c r="II152" t="e">
        <f>AND(tecantrop!L464,"AAAAADN/fvI=")</f>
        <v>#VALUE!</v>
      </c>
      <c r="IJ152" t="e">
        <f>AND(tecantrop!M464,"AAAAADN/fvM=")</f>
        <v>#VALUE!</v>
      </c>
      <c r="IK152" t="e">
        <f>AND(tecantrop!N464,"AAAAADN/fvQ=")</f>
        <v>#VALUE!</v>
      </c>
      <c r="IL152" t="e">
        <f>AND(tecantrop!O464,"AAAAADN/fvU=")</f>
        <v>#VALUE!</v>
      </c>
      <c r="IM152" t="e">
        <f>AND(tecantrop!P464,"AAAAADN/fvY=")</f>
        <v>#VALUE!</v>
      </c>
      <c r="IN152" t="e">
        <f>AND(tecantrop!Q464,"AAAAADN/fvc=")</f>
        <v>#VALUE!</v>
      </c>
      <c r="IO152" t="e">
        <f>AND(tecantrop!R464,"AAAAADN/fvg=")</f>
        <v>#VALUE!</v>
      </c>
      <c r="IP152" t="e">
        <f>AND(tecantrop!S464,"AAAAADN/fvk=")</f>
        <v>#VALUE!</v>
      </c>
      <c r="IQ152" t="e">
        <f>AND(tecantrop!T464,"AAAAADN/fvo=")</f>
        <v>#VALUE!</v>
      </c>
      <c r="IR152" t="e">
        <f>AND(tecantrop!U464,"AAAAADN/fvs=")</f>
        <v>#VALUE!</v>
      </c>
      <c r="IS152" t="e">
        <f>AND(tecantrop!V464,"AAAAADN/fvw=")</f>
        <v>#VALUE!</v>
      </c>
      <c r="IT152" t="e">
        <f>AND(tecantrop!W464,"AAAAADN/fv0=")</f>
        <v>#VALUE!</v>
      </c>
      <c r="IU152" t="e">
        <f>AND(tecantrop!X464,"AAAAADN/fv4=")</f>
        <v>#VALUE!</v>
      </c>
      <c r="IV152">
        <f>IF(tecantrop!465:465,"AAAAADN/fv8=",0)</f>
        <v>0</v>
      </c>
    </row>
    <row r="153" spans="1:256" x14ac:dyDescent="0.2">
      <c r="A153" t="e">
        <f>AND(tecantrop!A465,"AAAAAGqb/AA=")</f>
        <v>#VALUE!</v>
      </c>
      <c r="B153" t="e">
        <f>AND(tecantrop!B465,"AAAAAGqb/AE=")</f>
        <v>#VALUE!</v>
      </c>
      <c r="C153" t="e">
        <f>AND(tecantrop!C465,"AAAAAGqb/AI=")</f>
        <v>#VALUE!</v>
      </c>
      <c r="D153" t="e">
        <f>AND(tecantrop!D465,"AAAAAGqb/AM=")</f>
        <v>#VALUE!</v>
      </c>
      <c r="E153" t="e">
        <f>AND(tecantrop!E465,"AAAAAGqb/AQ=")</f>
        <v>#VALUE!</v>
      </c>
      <c r="F153" t="e">
        <f>AND(tecantrop!F465,"AAAAAGqb/AU=")</f>
        <v>#VALUE!</v>
      </c>
      <c r="G153" t="e">
        <f>AND(tecantrop!G465,"AAAAAGqb/AY=")</f>
        <v>#VALUE!</v>
      </c>
      <c r="H153" t="e">
        <f>AND(tecantrop!H465,"AAAAAGqb/Ac=")</f>
        <v>#VALUE!</v>
      </c>
      <c r="I153" t="e">
        <f>AND(tecantrop!I465,"AAAAAGqb/Ag=")</f>
        <v>#VALUE!</v>
      </c>
      <c r="J153" t="e">
        <f>AND(tecantrop!J465,"AAAAAGqb/Ak=")</f>
        <v>#VALUE!</v>
      </c>
      <c r="K153" t="e">
        <f>AND(tecantrop!K465,"AAAAAGqb/Ao=")</f>
        <v>#VALUE!</v>
      </c>
      <c r="L153" t="e">
        <f>AND(tecantrop!L465,"AAAAAGqb/As=")</f>
        <v>#VALUE!</v>
      </c>
      <c r="M153" t="e">
        <f>AND(tecantrop!M465,"AAAAAGqb/Aw=")</f>
        <v>#VALUE!</v>
      </c>
      <c r="N153" t="e">
        <f>AND(tecantrop!N465,"AAAAAGqb/A0=")</f>
        <v>#VALUE!</v>
      </c>
      <c r="O153" t="e">
        <f>AND(tecantrop!O465,"AAAAAGqb/A4=")</f>
        <v>#VALUE!</v>
      </c>
      <c r="P153" t="e">
        <f>AND(tecantrop!P465,"AAAAAGqb/A8=")</f>
        <v>#VALUE!</v>
      </c>
      <c r="Q153" t="e">
        <f>AND(tecantrop!Q465,"AAAAAGqb/BA=")</f>
        <v>#VALUE!</v>
      </c>
      <c r="R153" t="e">
        <f>AND(tecantrop!R465,"AAAAAGqb/BE=")</f>
        <v>#VALUE!</v>
      </c>
      <c r="S153" t="e">
        <f>AND(tecantrop!S465,"AAAAAGqb/BI=")</f>
        <v>#VALUE!</v>
      </c>
      <c r="T153" t="e">
        <f>AND(tecantrop!T465,"AAAAAGqb/BM=")</f>
        <v>#VALUE!</v>
      </c>
      <c r="U153" t="e">
        <f>AND(tecantrop!U465,"AAAAAGqb/BQ=")</f>
        <v>#VALUE!</v>
      </c>
      <c r="V153" t="e">
        <f>AND(tecantrop!V465,"AAAAAGqb/BU=")</f>
        <v>#VALUE!</v>
      </c>
      <c r="W153" t="e">
        <f>AND(tecantrop!W465,"AAAAAGqb/BY=")</f>
        <v>#VALUE!</v>
      </c>
      <c r="X153" t="e">
        <f>AND(tecantrop!X465,"AAAAAGqb/Bc=")</f>
        <v>#VALUE!</v>
      </c>
      <c r="Y153">
        <f>IF(tecantrop!466:466,"AAAAAGqb/Bg=",0)</f>
        <v>0</v>
      </c>
      <c r="Z153" t="e">
        <f>AND(tecantrop!A466,"AAAAAGqb/Bk=")</f>
        <v>#VALUE!</v>
      </c>
      <c r="AA153" t="e">
        <f>AND(tecantrop!B466,"AAAAAGqb/Bo=")</f>
        <v>#VALUE!</v>
      </c>
      <c r="AB153" t="e">
        <f>AND(tecantrop!C466,"AAAAAGqb/Bs=")</f>
        <v>#VALUE!</v>
      </c>
      <c r="AC153" t="e">
        <f>AND(tecantrop!D466,"AAAAAGqb/Bw=")</f>
        <v>#VALUE!</v>
      </c>
      <c r="AD153" t="e">
        <f>AND(tecantrop!E466,"AAAAAGqb/B0=")</f>
        <v>#VALUE!</v>
      </c>
      <c r="AE153" t="e">
        <f>AND(tecantrop!F466,"AAAAAGqb/B4=")</f>
        <v>#VALUE!</v>
      </c>
      <c r="AF153" t="e">
        <f>AND(tecantrop!G466,"AAAAAGqb/B8=")</f>
        <v>#VALUE!</v>
      </c>
      <c r="AG153" t="e">
        <f>AND(tecantrop!H466,"AAAAAGqb/CA=")</f>
        <v>#VALUE!</v>
      </c>
      <c r="AH153" t="e">
        <f>AND(tecantrop!I466,"AAAAAGqb/CE=")</f>
        <v>#VALUE!</v>
      </c>
      <c r="AI153" t="e">
        <f>AND(tecantrop!J466,"AAAAAGqb/CI=")</f>
        <v>#VALUE!</v>
      </c>
      <c r="AJ153" t="e">
        <f>AND(tecantrop!K466,"AAAAAGqb/CM=")</f>
        <v>#VALUE!</v>
      </c>
      <c r="AK153" t="e">
        <f>AND(tecantrop!L466,"AAAAAGqb/CQ=")</f>
        <v>#VALUE!</v>
      </c>
      <c r="AL153" t="e">
        <f>AND(tecantrop!M466,"AAAAAGqb/CU=")</f>
        <v>#VALUE!</v>
      </c>
      <c r="AM153" t="e">
        <f>AND(tecantrop!N466,"AAAAAGqb/CY=")</f>
        <v>#VALUE!</v>
      </c>
      <c r="AN153" t="e">
        <f>AND(tecantrop!O466,"AAAAAGqb/Cc=")</f>
        <v>#VALUE!</v>
      </c>
      <c r="AO153" t="e">
        <f>AND(tecantrop!P466,"AAAAAGqb/Cg=")</f>
        <v>#VALUE!</v>
      </c>
      <c r="AP153" t="e">
        <f>AND(tecantrop!Q466,"AAAAAGqb/Ck=")</f>
        <v>#VALUE!</v>
      </c>
      <c r="AQ153" t="e">
        <f>AND(tecantrop!R466,"AAAAAGqb/Co=")</f>
        <v>#VALUE!</v>
      </c>
      <c r="AR153" t="e">
        <f>AND(tecantrop!S466,"AAAAAGqb/Cs=")</f>
        <v>#VALUE!</v>
      </c>
      <c r="AS153" t="e">
        <f>AND(tecantrop!T466,"AAAAAGqb/Cw=")</f>
        <v>#VALUE!</v>
      </c>
      <c r="AT153" t="e">
        <f>AND(tecantrop!U466,"AAAAAGqb/C0=")</f>
        <v>#VALUE!</v>
      </c>
      <c r="AU153" t="e">
        <f>AND(tecantrop!V466,"AAAAAGqb/C4=")</f>
        <v>#VALUE!</v>
      </c>
      <c r="AV153" t="e">
        <f>AND(tecantrop!W466,"AAAAAGqb/C8=")</f>
        <v>#VALUE!</v>
      </c>
      <c r="AW153" t="e">
        <f>AND(tecantrop!X466,"AAAAAGqb/DA=")</f>
        <v>#VALUE!</v>
      </c>
      <c r="AX153">
        <f>IF(tecantrop!467:467,"AAAAAGqb/DE=",0)</f>
        <v>0</v>
      </c>
      <c r="AY153" t="e">
        <f>AND(tecantrop!A467,"AAAAAGqb/DI=")</f>
        <v>#VALUE!</v>
      </c>
      <c r="AZ153" t="e">
        <f>AND(tecantrop!B467,"AAAAAGqb/DM=")</f>
        <v>#VALUE!</v>
      </c>
      <c r="BA153" t="e">
        <f>AND(tecantrop!C467,"AAAAAGqb/DQ=")</f>
        <v>#VALUE!</v>
      </c>
      <c r="BB153" t="e">
        <f>AND(tecantrop!D467,"AAAAAGqb/DU=")</f>
        <v>#VALUE!</v>
      </c>
      <c r="BC153" t="e">
        <f>AND(tecantrop!E467,"AAAAAGqb/DY=")</f>
        <v>#VALUE!</v>
      </c>
      <c r="BD153" t="e">
        <f>AND(tecantrop!F467,"AAAAAGqb/Dc=")</f>
        <v>#VALUE!</v>
      </c>
      <c r="BE153" t="e">
        <f>AND(tecantrop!G467,"AAAAAGqb/Dg=")</f>
        <v>#VALUE!</v>
      </c>
      <c r="BF153" t="e">
        <f>AND(tecantrop!H467,"AAAAAGqb/Dk=")</f>
        <v>#VALUE!</v>
      </c>
      <c r="BG153" t="e">
        <f>AND(tecantrop!I467,"AAAAAGqb/Do=")</f>
        <v>#VALUE!</v>
      </c>
      <c r="BH153" t="e">
        <f>AND(tecantrop!J467,"AAAAAGqb/Ds=")</f>
        <v>#VALUE!</v>
      </c>
      <c r="BI153" t="e">
        <f>AND(tecantrop!K467,"AAAAAGqb/Dw=")</f>
        <v>#VALUE!</v>
      </c>
      <c r="BJ153" t="e">
        <f>AND(tecantrop!L467,"AAAAAGqb/D0=")</f>
        <v>#VALUE!</v>
      </c>
      <c r="BK153" t="e">
        <f>AND(tecantrop!M467,"AAAAAGqb/D4=")</f>
        <v>#VALUE!</v>
      </c>
      <c r="BL153" t="e">
        <f>AND(tecantrop!N467,"AAAAAGqb/D8=")</f>
        <v>#VALUE!</v>
      </c>
      <c r="BM153" t="e">
        <f>AND(tecantrop!O467,"AAAAAGqb/EA=")</f>
        <v>#VALUE!</v>
      </c>
      <c r="BN153" t="e">
        <f>AND(tecantrop!P467,"AAAAAGqb/EE=")</f>
        <v>#VALUE!</v>
      </c>
      <c r="BO153" t="e">
        <f>AND(tecantrop!Q467,"AAAAAGqb/EI=")</f>
        <v>#VALUE!</v>
      </c>
      <c r="BP153" t="e">
        <f>AND(tecantrop!R467,"AAAAAGqb/EM=")</f>
        <v>#VALUE!</v>
      </c>
      <c r="BQ153" t="e">
        <f>AND(tecantrop!S467,"AAAAAGqb/EQ=")</f>
        <v>#VALUE!</v>
      </c>
      <c r="BR153" t="e">
        <f>AND(tecantrop!T467,"AAAAAGqb/EU=")</f>
        <v>#VALUE!</v>
      </c>
      <c r="BS153" t="e">
        <f>AND(tecantrop!U467,"AAAAAGqb/EY=")</f>
        <v>#VALUE!</v>
      </c>
      <c r="BT153" t="e">
        <f>AND(tecantrop!V467,"AAAAAGqb/Ec=")</f>
        <v>#VALUE!</v>
      </c>
      <c r="BU153" t="e">
        <f>AND(tecantrop!W467,"AAAAAGqb/Eg=")</f>
        <v>#VALUE!</v>
      </c>
      <c r="BV153" t="e">
        <f>AND(tecantrop!X467,"AAAAAGqb/Ek=")</f>
        <v>#VALUE!</v>
      </c>
      <c r="BW153">
        <f>IF(tecantrop!468:468,"AAAAAGqb/Eo=",0)</f>
        <v>0</v>
      </c>
      <c r="BX153" t="e">
        <f>AND(tecantrop!A468,"AAAAAGqb/Es=")</f>
        <v>#VALUE!</v>
      </c>
      <c r="BY153" t="e">
        <f>AND(tecantrop!B468,"AAAAAGqb/Ew=")</f>
        <v>#VALUE!</v>
      </c>
      <c r="BZ153" t="e">
        <f>AND(tecantrop!C468,"AAAAAGqb/E0=")</f>
        <v>#VALUE!</v>
      </c>
      <c r="CA153" t="e">
        <f>AND(tecantrop!D468,"AAAAAGqb/E4=")</f>
        <v>#VALUE!</v>
      </c>
      <c r="CB153" t="e">
        <f>AND(tecantrop!E468,"AAAAAGqb/E8=")</f>
        <v>#VALUE!</v>
      </c>
      <c r="CC153" t="e">
        <f>AND(tecantrop!F468,"AAAAAGqb/FA=")</f>
        <v>#VALUE!</v>
      </c>
      <c r="CD153" t="e">
        <f>AND(tecantrop!G468,"AAAAAGqb/FE=")</f>
        <v>#VALUE!</v>
      </c>
      <c r="CE153" t="e">
        <f>AND(tecantrop!H468,"AAAAAGqb/FI=")</f>
        <v>#VALUE!</v>
      </c>
      <c r="CF153" t="e">
        <f>AND(tecantrop!I468,"AAAAAGqb/FM=")</f>
        <v>#VALUE!</v>
      </c>
      <c r="CG153" t="e">
        <f>AND(tecantrop!J468,"AAAAAGqb/FQ=")</f>
        <v>#VALUE!</v>
      </c>
      <c r="CH153" t="e">
        <f>AND(tecantrop!K468,"AAAAAGqb/FU=")</f>
        <v>#VALUE!</v>
      </c>
      <c r="CI153" t="e">
        <f>AND(tecantrop!L468,"AAAAAGqb/FY=")</f>
        <v>#VALUE!</v>
      </c>
      <c r="CJ153" t="e">
        <f>AND(tecantrop!M468,"AAAAAGqb/Fc=")</f>
        <v>#VALUE!</v>
      </c>
      <c r="CK153" t="e">
        <f>AND(tecantrop!N468,"AAAAAGqb/Fg=")</f>
        <v>#VALUE!</v>
      </c>
      <c r="CL153" t="e">
        <f>AND(tecantrop!O468,"AAAAAGqb/Fk=")</f>
        <v>#VALUE!</v>
      </c>
      <c r="CM153" t="e">
        <f>AND(tecantrop!P468,"AAAAAGqb/Fo=")</f>
        <v>#VALUE!</v>
      </c>
      <c r="CN153" t="e">
        <f>AND(tecantrop!Q468,"AAAAAGqb/Fs=")</f>
        <v>#VALUE!</v>
      </c>
      <c r="CO153" t="e">
        <f>AND(tecantrop!R468,"AAAAAGqb/Fw=")</f>
        <v>#VALUE!</v>
      </c>
      <c r="CP153" t="e">
        <f>AND(tecantrop!S468,"AAAAAGqb/F0=")</f>
        <v>#VALUE!</v>
      </c>
      <c r="CQ153" t="e">
        <f>AND(tecantrop!T468,"AAAAAGqb/F4=")</f>
        <v>#VALUE!</v>
      </c>
      <c r="CR153" t="e">
        <f>AND(tecantrop!U468,"AAAAAGqb/F8=")</f>
        <v>#VALUE!</v>
      </c>
      <c r="CS153" t="e">
        <f>AND(tecantrop!V468,"AAAAAGqb/GA=")</f>
        <v>#VALUE!</v>
      </c>
      <c r="CT153" t="e">
        <f>AND(tecantrop!W468,"AAAAAGqb/GE=")</f>
        <v>#VALUE!</v>
      </c>
      <c r="CU153" t="e">
        <f>AND(tecantrop!X468,"AAAAAGqb/GI=")</f>
        <v>#VALUE!</v>
      </c>
      <c r="CV153">
        <f>IF(tecantrop!469:469,"AAAAAGqb/GM=",0)</f>
        <v>0</v>
      </c>
      <c r="CW153" t="e">
        <f>AND(tecantrop!A469,"AAAAAGqb/GQ=")</f>
        <v>#VALUE!</v>
      </c>
      <c r="CX153" t="e">
        <f>AND(tecantrop!B469,"AAAAAGqb/GU=")</f>
        <v>#VALUE!</v>
      </c>
      <c r="CY153" t="e">
        <f>AND(tecantrop!C469,"AAAAAGqb/GY=")</f>
        <v>#VALUE!</v>
      </c>
      <c r="CZ153" t="e">
        <f>AND(tecantrop!D469,"AAAAAGqb/Gc=")</f>
        <v>#VALUE!</v>
      </c>
      <c r="DA153" t="e">
        <f>AND(tecantrop!E469,"AAAAAGqb/Gg=")</f>
        <v>#VALUE!</v>
      </c>
      <c r="DB153" t="e">
        <f>AND(tecantrop!F469,"AAAAAGqb/Gk=")</f>
        <v>#VALUE!</v>
      </c>
      <c r="DC153" t="e">
        <f>AND(tecantrop!G469,"AAAAAGqb/Go=")</f>
        <v>#VALUE!</v>
      </c>
      <c r="DD153" t="e">
        <f>AND(tecantrop!H469,"AAAAAGqb/Gs=")</f>
        <v>#VALUE!</v>
      </c>
      <c r="DE153" t="e">
        <f>AND(tecantrop!I469,"AAAAAGqb/Gw=")</f>
        <v>#VALUE!</v>
      </c>
      <c r="DF153" t="e">
        <f>AND(tecantrop!J469,"AAAAAGqb/G0=")</f>
        <v>#VALUE!</v>
      </c>
      <c r="DG153" t="e">
        <f>AND(tecantrop!K469,"AAAAAGqb/G4=")</f>
        <v>#VALUE!</v>
      </c>
      <c r="DH153" t="e">
        <f>AND(tecantrop!L469,"AAAAAGqb/G8=")</f>
        <v>#VALUE!</v>
      </c>
      <c r="DI153" t="e">
        <f>AND(tecantrop!M469,"AAAAAGqb/HA=")</f>
        <v>#VALUE!</v>
      </c>
      <c r="DJ153" t="e">
        <f>AND(tecantrop!N469,"AAAAAGqb/HE=")</f>
        <v>#VALUE!</v>
      </c>
      <c r="DK153" t="e">
        <f>AND(tecantrop!O469,"AAAAAGqb/HI=")</f>
        <v>#VALUE!</v>
      </c>
      <c r="DL153" t="e">
        <f>AND(tecantrop!P469,"AAAAAGqb/HM=")</f>
        <v>#VALUE!</v>
      </c>
      <c r="DM153" t="e">
        <f>AND(tecantrop!Q469,"AAAAAGqb/HQ=")</f>
        <v>#VALUE!</v>
      </c>
      <c r="DN153" t="e">
        <f>AND(tecantrop!R469,"AAAAAGqb/HU=")</f>
        <v>#VALUE!</v>
      </c>
      <c r="DO153" t="e">
        <f>AND(tecantrop!S469,"AAAAAGqb/HY=")</f>
        <v>#VALUE!</v>
      </c>
      <c r="DP153" t="e">
        <f>AND(tecantrop!T469,"AAAAAGqb/Hc=")</f>
        <v>#VALUE!</v>
      </c>
      <c r="DQ153" t="e">
        <f>AND(tecantrop!U469,"AAAAAGqb/Hg=")</f>
        <v>#VALUE!</v>
      </c>
      <c r="DR153" t="e">
        <f>AND(tecantrop!V469,"AAAAAGqb/Hk=")</f>
        <v>#VALUE!</v>
      </c>
      <c r="DS153" t="e">
        <f>AND(tecantrop!W469,"AAAAAGqb/Ho=")</f>
        <v>#VALUE!</v>
      </c>
      <c r="DT153" t="e">
        <f>AND(tecantrop!X469,"AAAAAGqb/Hs=")</f>
        <v>#VALUE!</v>
      </c>
      <c r="DU153">
        <f>IF(tecantrop!470:470,"AAAAAGqb/Hw=",0)</f>
        <v>0</v>
      </c>
      <c r="DV153" t="e">
        <f>AND(tecantrop!A470,"AAAAAGqb/H0=")</f>
        <v>#VALUE!</v>
      </c>
      <c r="DW153" t="e">
        <f>AND(tecantrop!B470,"AAAAAGqb/H4=")</f>
        <v>#VALUE!</v>
      </c>
      <c r="DX153" t="e">
        <f>AND(tecantrop!C470,"AAAAAGqb/H8=")</f>
        <v>#VALUE!</v>
      </c>
      <c r="DY153" t="e">
        <f>AND(tecantrop!D470,"AAAAAGqb/IA=")</f>
        <v>#VALUE!</v>
      </c>
      <c r="DZ153" t="e">
        <f>AND(tecantrop!E470,"AAAAAGqb/IE=")</f>
        <v>#VALUE!</v>
      </c>
      <c r="EA153" t="e">
        <f>AND(tecantrop!F470,"AAAAAGqb/II=")</f>
        <v>#VALUE!</v>
      </c>
      <c r="EB153" t="e">
        <f>AND(tecantrop!G470,"AAAAAGqb/IM=")</f>
        <v>#VALUE!</v>
      </c>
      <c r="EC153" t="e">
        <f>AND(tecantrop!H470,"AAAAAGqb/IQ=")</f>
        <v>#VALUE!</v>
      </c>
      <c r="ED153" t="e">
        <f>AND(tecantrop!I470,"AAAAAGqb/IU=")</f>
        <v>#VALUE!</v>
      </c>
      <c r="EE153" t="e">
        <f>AND(tecantrop!J470,"AAAAAGqb/IY=")</f>
        <v>#VALUE!</v>
      </c>
      <c r="EF153" t="e">
        <f>AND(tecantrop!K470,"AAAAAGqb/Ic=")</f>
        <v>#VALUE!</v>
      </c>
      <c r="EG153" t="e">
        <f>AND(tecantrop!L470,"AAAAAGqb/Ig=")</f>
        <v>#VALUE!</v>
      </c>
      <c r="EH153" t="e">
        <f>AND(tecantrop!M470,"AAAAAGqb/Ik=")</f>
        <v>#VALUE!</v>
      </c>
      <c r="EI153" t="e">
        <f>AND(tecantrop!N470,"AAAAAGqb/Io=")</f>
        <v>#VALUE!</v>
      </c>
      <c r="EJ153" t="e">
        <f>AND(tecantrop!O470,"AAAAAGqb/Is=")</f>
        <v>#VALUE!</v>
      </c>
      <c r="EK153" t="e">
        <f>AND(tecantrop!P470,"AAAAAGqb/Iw=")</f>
        <v>#VALUE!</v>
      </c>
      <c r="EL153" t="e">
        <f>AND(tecantrop!Q470,"AAAAAGqb/I0=")</f>
        <v>#VALUE!</v>
      </c>
      <c r="EM153" t="e">
        <f>AND(tecantrop!R470,"AAAAAGqb/I4=")</f>
        <v>#VALUE!</v>
      </c>
      <c r="EN153" t="e">
        <f>AND(tecantrop!S470,"AAAAAGqb/I8=")</f>
        <v>#VALUE!</v>
      </c>
      <c r="EO153" t="e">
        <f>AND(tecantrop!T470,"AAAAAGqb/JA=")</f>
        <v>#VALUE!</v>
      </c>
      <c r="EP153" t="e">
        <f>AND(tecantrop!U470,"AAAAAGqb/JE=")</f>
        <v>#VALUE!</v>
      </c>
      <c r="EQ153" t="e">
        <f>AND(tecantrop!V470,"AAAAAGqb/JI=")</f>
        <v>#VALUE!</v>
      </c>
      <c r="ER153" t="e">
        <f>AND(tecantrop!W470,"AAAAAGqb/JM=")</f>
        <v>#VALUE!</v>
      </c>
      <c r="ES153" t="e">
        <f>AND(tecantrop!X470,"AAAAAGqb/JQ=")</f>
        <v>#VALUE!</v>
      </c>
      <c r="ET153">
        <f>IF(tecantrop!471:471,"AAAAAGqb/JU=",0)</f>
        <v>0</v>
      </c>
      <c r="EU153" t="e">
        <f>AND(tecantrop!A471,"AAAAAGqb/JY=")</f>
        <v>#VALUE!</v>
      </c>
      <c r="EV153" t="e">
        <f>AND(tecantrop!B471,"AAAAAGqb/Jc=")</f>
        <v>#VALUE!</v>
      </c>
      <c r="EW153" t="e">
        <f>AND(tecantrop!C471,"AAAAAGqb/Jg=")</f>
        <v>#VALUE!</v>
      </c>
      <c r="EX153" t="e">
        <f>AND(tecantrop!D471,"AAAAAGqb/Jk=")</f>
        <v>#VALUE!</v>
      </c>
      <c r="EY153" t="e">
        <f>AND(tecantrop!E471,"AAAAAGqb/Jo=")</f>
        <v>#VALUE!</v>
      </c>
      <c r="EZ153" t="e">
        <f>AND(tecantrop!F471,"AAAAAGqb/Js=")</f>
        <v>#VALUE!</v>
      </c>
      <c r="FA153" t="e">
        <f>AND(tecantrop!G471,"AAAAAGqb/Jw=")</f>
        <v>#VALUE!</v>
      </c>
      <c r="FB153" t="e">
        <f>AND(tecantrop!H471,"AAAAAGqb/J0=")</f>
        <v>#VALUE!</v>
      </c>
      <c r="FC153" t="e">
        <f>AND(tecantrop!I471,"AAAAAGqb/J4=")</f>
        <v>#VALUE!</v>
      </c>
      <c r="FD153" t="e">
        <f>AND(tecantrop!J471,"AAAAAGqb/J8=")</f>
        <v>#VALUE!</v>
      </c>
      <c r="FE153" t="e">
        <f>AND(tecantrop!K471,"AAAAAGqb/KA=")</f>
        <v>#VALUE!</v>
      </c>
      <c r="FF153" t="e">
        <f>AND(tecantrop!L471,"AAAAAGqb/KE=")</f>
        <v>#VALUE!</v>
      </c>
      <c r="FG153" t="e">
        <f>AND(tecantrop!M471,"AAAAAGqb/KI=")</f>
        <v>#VALUE!</v>
      </c>
      <c r="FH153" t="e">
        <f>AND(tecantrop!N471,"AAAAAGqb/KM=")</f>
        <v>#VALUE!</v>
      </c>
      <c r="FI153" t="e">
        <f>AND(tecantrop!O471,"AAAAAGqb/KQ=")</f>
        <v>#VALUE!</v>
      </c>
      <c r="FJ153" t="e">
        <f>AND(tecantrop!P471,"AAAAAGqb/KU=")</f>
        <v>#VALUE!</v>
      </c>
      <c r="FK153" t="e">
        <f>AND(tecantrop!Q471,"AAAAAGqb/KY=")</f>
        <v>#VALUE!</v>
      </c>
      <c r="FL153" t="e">
        <f>AND(tecantrop!R471,"AAAAAGqb/Kc=")</f>
        <v>#VALUE!</v>
      </c>
      <c r="FM153" t="e">
        <f>AND(tecantrop!S471,"AAAAAGqb/Kg=")</f>
        <v>#VALUE!</v>
      </c>
      <c r="FN153" t="e">
        <f>AND(tecantrop!T471,"AAAAAGqb/Kk=")</f>
        <v>#VALUE!</v>
      </c>
      <c r="FO153" t="e">
        <f>AND(tecantrop!U471,"AAAAAGqb/Ko=")</f>
        <v>#VALUE!</v>
      </c>
      <c r="FP153" t="e">
        <f>AND(tecantrop!V471,"AAAAAGqb/Ks=")</f>
        <v>#VALUE!</v>
      </c>
      <c r="FQ153" t="e">
        <f>AND(tecantrop!W471,"AAAAAGqb/Kw=")</f>
        <v>#VALUE!</v>
      </c>
      <c r="FR153" t="e">
        <f>AND(tecantrop!X471,"AAAAAGqb/K0=")</f>
        <v>#VALUE!</v>
      </c>
      <c r="FS153">
        <f>IF(tecantrop!472:472,"AAAAAGqb/K4=",0)</f>
        <v>0</v>
      </c>
      <c r="FT153" t="e">
        <f>AND(tecantrop!A472,"AAAAAGqb/K8=")</f>
        <v>#VALUE!</v>
      </c>
      <c r="FU153" t="e">
        <f>AND(tecantrop!B472,"AAAAAGqb/LA=")</f>
        <v>#VALUE!</v>
      </c>
      <c r="FV153" t="e">
        <f>AND(tecantrop!C472,"AAAAAGqb/LE=")</f>
        <v>#VALUE!</v>
      </c>
      <c r="FW153" t="e">
        <f>AND(tecantrop!D472,"AAAAAGqb/LI=")</f>
        <v>#VALUE!</v>
      </c>
      <c r="FX153" t="e">
        <f>AND(tecantrop!E472,"AAAAAGqb/LM=")</f>
        <v>#VALUE!</v>
      </c>
      <c r="FY153" t="e">
        <f>AND(tecantrop!F472,"AAAAAGqb/LQ=")</f>
        <v>#VALUE!</v>
      </c>
      <c r="FZ153" t="e">
        <f>AND(tecantrop!G472,"AAAAAGqb/LU=")</f>
        <v>#VALUE!</v>
      </c>
      <c r="GA153" t="e">
        <f>AND(tecantrop!H472,"AAAAAGqb/LY=")</f>
        <v>#VALUE!</v>
      </c>
      <c r="GB153" t="e">
        <f>AND(tecantrop!I472,"AAAAAGqb/Lc=")</f>
        <v>#VALUE!</v>
      </c>
      <c r="GC153" t="e">
        <f>AND(tecantrop!J472,"AAAAAGqb/Lg=")</f>
        <v>#VALUE!</v>
      </c>
      <c r="GD153" t="e">
        <f>AND(tecantrop!K472,"AAAAAGqb/Lk=")</f>
        <v>#VALUE!</v>
      </c>
      <c r="GE153" t="e">
        <f>AND(tecantrop!L472,"AAAAAGqb/Lo=")</f>
        <v>#VALUE!</v>
      </c>
      <c r="GF153" t="e">
        <f>AND(tecantrop!M472,"AAAAAGqb/Ls=")</f>
        <v>#VALUE!</v>
      </c>
      <c r="GG153" t="e">
        <f>AND(tecantrop!N472,"AAAAAGqb/Lw=")</f>
        <v>#VALUE!</v>
      </c>
      <c r="GH153" t="e">
        <f>AND(tecantrop!O472,"AAAAAGqb/L0=")</f>
        <v>#VALUE!</v>
      </c>
      <c r="GI153" t="e">
        <f>AND(tecantrop!P472,"AAAAAGqb/L4=")</f>
        <v>#VALUE!</v>
      </c>
      <c r="GJ153" t="e">
        <f>AND(tecantrop!Q472,"AAAAAGqb/L8=")</f>
        <v>#VALUE!</v>
      </c>
      <c r="GK153" t="e">
        <f>AND(tecantrop!R472,"AAAAAGqb/MA=")</f>
        <v>#VALUE!</v>
      </c>
      <c r="GL153" t="e">
        <f>AND(tecantrop!S472,"AAAAAGqb/ME=")</f>
        <v>#VALUE!</v>
      </c>
      <c r="GM153" t="e">
        <f>AND(tecantrop!T472,"AAAAAGqb/MI=")</f>
        <v>#VALUE!</v>
      </c>
      <c r="GN153" t="e">
        <f>AND(tecantrop!U472,"AAAAAGqb/MM=")</f>
        <v>#VALUE!</v>
      </c>
      <c r="GO153" t="e">
        <f>AND(tecantrop!V472,"AAAAAGqb/MQ=")</f>
        <v>#VALUE!</v>
      </c>
      <c r="GP153" t="e">
        <f>AND(tecantrop!W472,"AAAAAGqb/MU=")</f>
        <v>#VALUE!</v>
      </c>
      <c r="GQ153" t="e">
        <f>AND(tecantrop!X472,"AAAAAGqb/MY=")</f>
        <v>#VALUE!</v>
      </c>
      <c r="GR153">
        <f>IF(tecantrop!473:473,"AAAAAGqb/Mc=",0)</f>
        <v>0</v>
      </c>
      <c r="GS153" t="e">
        <f>AND(tecantrop!A473,"AAAAAGqb/Mg=")</f>
        <v>#VALUE!</v>
      </c>
      <c r="GT153" t="e">
        <f>AND(tecantrop!B473,"AAAAAGqb/Mk=")</f>
        <v>#VALUE!</v>
      </c>
      <c r="GU153" t="e">
        <f>AND(tecantrop!C473,"AAAAAGqb/Mo=")</f>
        <v>#VALUE!</v>
      </c>
      <c r="GV153" t="e">
        <f>AND(tecantrop!D473,"AAAAAGqb/Ms=")</f>
        <v>#VALUE!</v>
      </c>
      <c r="GW153" t="e">
        <f>AND(tecantrop!E473,"AAAAAGqb/Mw=")</f>
        <v>#VALUE!</v>
      </c>
      <c r="GX153" t="e">
        <f>AND(tecantrop!F473,"AAAAAGqb/M0=")</f>
        <v>#VALUE!</v>
      </c>
      <c r="GY153" t="e">
        <f>AND(tecantrop!G473,"AAAAAGqb/M4=")</f>
        <v>#VALUE!</v>
      </c>
      <c r="GZ153" t="e">
        <f>AND(tecantrop!H473,"AAAAAGqb/M8=")</f>
        <v>#VALUE!</v>
      </c>
      <c r="HA153" t="e">
        <f>AND(tecantrop!I473,"AAAAAGqb/NA=")</f>
        <v>#VALUE!</v>
      </c>
      <c r="HB153" t="e">
        <f>AND(tecantrop!J473,"AAAAAGqb/NE=")</f>
        <v>#VALUE!</v>
      </c>
      <c r="HC153" t="e">
        <f>AND(tecantrop!K473,"AAAAAGqb/NI=")</f>
        <v>#VALUE!</v>
      </c>
      <c r="HD153" t="e">
        <f>AND(tecantrop!L473,"AAAAAGqb/NM=")</f>
        <v>#VALUE!</v>
      </c>
      <c r="HE153" t="e">
        <f>AND(tecantrop!M473,"AAAAAGqb/NQ=")</f>
        <v>#VALUE!</v>
      </c>
      <c r="HF153" t="e">
        <f>AND(tecantrop!N473,"AAAAAGqb/NU=")</f>
        <v>#VALUE!</v>
      </c>
      <c r="HG153" t="e">
        <f>AND(tecantrop!O473,"AAAAAGqb/NY=")</f>
        <v>#VALUE!</v>
      </c>
      <c r="HH153" t="e">
        <f>AND(tecantrop!P473,"AAAAAGqb/Nc=")</f>
        <v>#VALUE!</v>
      </c>
      <c r="HI153" t="e">
        <f>AND(tecantrop!Q473,"AAAAAGqb/Ng=")</f>
        <v>#VALUE!</v>
      </c>
      <c r="HJ153" t="e">
        <f>AND(tecantrop!R473,"AAAAAGqb/Nk=")</f>
        <v>#VALUE!</v>
      </c>
      <c r="HK153" t="e">
        <f>AND(tecantrop!S473,"AAAAAGqb/No=")</f>
        <v>#VALUE!</v>
      </c>
      <c r="HL153" t="e">
        <f>AND(tecantrop!T473,"AAAAAGqb/Ns=")</f>
        <v>#VALUE!</v>
      </c>
      <c r="HM153" t="e">
        <f>AND(tecantrop!U473,"AAAAAGqb/Nw=")</f>
        <v>#VALUE!</v>
      </c>
      <c r="HN153" t="e">
        <f>AND(tecantrop!V473,"AAAAAGqb/N0=")</f>
        <v>#VALUE!</v>
      </c>
      <c r="HO153" t="e">
        <f>AND(tecantrop!W473,"AAAAAGqb/N4=")</f>
        <v>#VALUE!</v>
      </c>
      <c r="HP153" t="e">
        <f>AND(tecantrop!X473,"AAAAAGqb/N8=")</f>
        <v>#VALUE!</v>
      </c>
      <c r="HQ153">
        <f>IF(tecantrop!474:474,"AAAAAGqb/OA=",0)</f>
        <v>0</v>
      </c>
      <c r="HR153" t="e">
        <f>AND(tecantrop!A474,"AAAAAGqb/OE=")</f>
        <v>#VALUE!</v>
      </c>
      <c r="HS153" t="e">
        <f>AND(tecantrop!B474,"AAAAAGqb/OI=")</f>
        <v>#VALUE!</v>
      </c>
      <c r="HT153" t="e">
        <f>AND(tecantrop!C474,"AAAAAGqb/OM=")</f>
        <v>#VALUE!</v>
      </c>
      <c r="HU153" t="e">
        <f>AND(tecantrop!D474,"AAAAAGqb/OQ=")</f>
        <v>#VALUE!</v>
      </c>
      <c r="HV153" t="e">
        <f>AND(tecantrop!E474,"AAAAAGqb/OU=")</f>
        <v>#VALUE!</v>
      </c>
      <c r="HW153" t="e">
        <f>AND(tecantrop!F474,"AAAAAGqb/OY=")</f>
        <v>#VALUE!</v>
      </c>
      <c r="HX153" t="e">
        <f>AND(tecantrop!G474,"AAAAAGqb/Oc=")</f>
        <v>#VALUE!</v>
      </c>
      <c r="HY153" t="e">
        <f>AND(tecantrop!H474,"AAAAAGqb/Og=")</f>
        <v>#VALUE!</v>
      </c>
      <c r="HZ153" t="e">
        <f>AND(tecantrop!I474,"AAAAAGqb/Ok=")</f>
        <v>#VALUE!</v>
      </c>
      <c r="IA153" t="e">
        <f>AND(tecantrop!J474,"AAAAAGqb/Oo=")</f>
        <v>#VALUE!</v>
      </c>
      <c r="IB153" t="e">
        <f>AND(tecantrop!K474,"AAAAAGqb/Os=")</f>
        <v>#VALUE!</v>
      </c>
      <c r="IC153" t="e">
        <f>AND(tecantrop!L474,"AAAAAGqb/Ow=")</f>
        <v>#VALUE!</v>
      </c>
      <c r="ID153" t="e">
        <f>AND(tecantrop!M474,"AAAAAGqb/O0=")</f>
        <v>#VALUE!</v>
      </c>
      <c r="IE153" t="e">
        <f>AND(tecantrop!N474,"AAAAAGqb/O4=")</f>
        <v>#VALUE!</v>
      </c>
      <c r="IF153" t="e">
        <f>AND(tecantrop!O474,"AAAAAGqb/O8=")</f>
        <v>#VALUE!</v>
      </c>
      <c r="IG153" t="e">
        <f>AND(tecantrop!P474,"AAAAAGqb/PA=")</f>
        <v>#VALUE!</v>
      </c>
      <c r="IH153" t="e">
        <f>AND(tecantrop!Q474,"AAAAAGqb/PE=")</f>
        <v>#VALUE!</v>
      </c>
      <c r="II153" t="e">
        <f>AND(tecantrop!R474,"AAAAAGqb/PI=")</f>
        <v>#VALUE!</v>
      </c>
      <c r="IJ153" t="e">
        <f>AND(tecantrop!S474,"AAAAAGqb/PM=")</f>
        <v>#VALUE!</v>
      </c>
      <c r="IK153" t="e">
        <f>AND(tecantrop!T474,"AAAAAGqb/PQ=")</f>
        <v>#VALUE!</v>
      </c>
      <c r="IL153" t="e">
        <f>AND(tecantrop!U474,"AAAAAGqb/PU=")</f>
        <v>#VALUE!</v>
      </c>
      <c r="IM153" t="e">
        <f>AND(tecantrop!V474,"AAAAAGqb/PY=")</f>
        <v>#VALUE!</v>
      </c>
      <c r="IN153" t="e">
        <f>AND(tecantrop!W474,"AAAAAGqb/Pc=")</f>
        <v>#VALUE!</v>
      </c>
      <c r="IO153" t="e">
        <f>AND(tecantrop!X474,"AAAAAGqb/Pg=")</f>
        <v>#VALUE!</v>
      </c>
      <c r="IP153">
        <f>IF(tecantrop!475:475,"AAAAAGqb/Pk=",0)</f>
        <v>0</v>
      </c>
      <c r="IQ153" t="e">
        <f>AND(tecantrop!A475,"AAAAAGqb/Po=")</f>
        <v>#VALUE!</v>
      </c>
      <c r="IR153" t="e">
        <f>AND(tecantrop!B475,"AAAAAGqb/Ps=")</f>
        <v>#VALUE!</v>
      </c>
      <c r="IS153" t="e">
        <f>AND(tecantrop!C475,"AAAAAGqb/Pw=")</f>
        <v>#VALUE!</v>
      </c>
      <c r="IT153" t="e">
        <f>AND(tecantrop!D475,"AAAAAGqb/P0=")</f>
        <v>#VALUE!</v>
      </c>
      <c r="IU153" t="e">
        <f>AND(tecantrop!E475,"AAAAAGqb/P4=")</f>
        <v>#VALUE!</v>
      </c>
      <c r="IV153" t="e">
        <f>AND(tecantrop!F475,"AAAAAGqb/P8=")</f>
        <v>#VALUE!</v>
      </c>
    </row>
    <row r="154" spans="1:256" x14ac:dyDescent="0.2">
      <c r="A154" t="e">
        <f>AND(tecantrop!G475,"AAAAAHV7bgA=")</f>
        <v>#VALUE!</v>
      </c>
      <c r="B154" t="e">
        <f>AND(tecantrop!H475,"AAAAAHV7bgE=")</f>
        <v>#VALUE!</v>
      </c>
      <c r="C154" t="e">
        <f>AND(tecantrop!I475,"AAAAAHV7bgI=")</f>
        <v>#VALUE!</v>
      </c>
      <c r="D154" t="e">
        <f>AND(tecantrop!J475,"AAAAAHV7bgM=")</f>
        <v>#VALUE!</v>
      </c>
      <c r="E154" t="e">
        <f>AND(tecantrop!K475,"AAAAAHV7bgQ=")</f>
        <v>#VALUE!</v>
      </c>
      <c r="F154" t="e">
        <f>AND(tecantrop!L475,"AAAAAHV7bgU=")</f>
        <v>#VALUE!</v>
      </c>
      <c r="G154" t="e">
        <f>AND(tecantrop!M475,"AAAAAHV7bgY=")</f>
        <v>#VALUE!</v>
      </c>
      <c r="H154" t="e">
        <f>AND(tecantrop!N475,"AAAAAHV7bgc=")</f>
        <v>#VALUE!</v>
      </c>
      <c r="I154" t="e">
        <f>AND(tecantrop!O475,"AAAAAHV7bgg=")</f>
        <v>#VALUE!</v>
      </c>
      <c r="J154" t="e">
        <f>AND(tecantrop!P475,"AAAAAHV7bgk=")</f>
        <v>#VALUE!</v>
      </c>
      <c r="K154" t="e">
        <f>AND(tecantrop!Q475,"AAAAAHV7bgo=")</f>
        <v>#VALUE!</v>
      </c>
      <c r="L154" t="e">
        <f>AND(tecantrop!R475,"AAAAAHV7bgs=")</f>
        <v>#VALUE!</v>
      </c>
      <c r="M154" t="e">
        <f>AND(tecantrop!S475,"AAAAAHV7bgw=")</f>
        <v>#VALUE!</v>
      </c>
      <c r="N154" t="e">
        <f>AND(tecantrop!T475,"AAAAAHV7bg0=")</f>
        <v>#VALUE!</v>
      </c>
      <c r="O154" t="e">
        <f>AND(tecantrop!U475,"AAAAAHV7bg4=")</f>
        <v>#VALUE!</v>
      </c>
      <c r="P154" t="e">
        <f>AND(tecantrop!V475,"AAAAAHV7bg8=")</f>
        <v>#VALUE!</v>
      </c>
      <c r="Q154" t="e">
        <f>AND(tecantrop!W475,"AAAAAHV7bhA=")</f>
        <v>#VALUE!</v>
      </c>
      <c r="R154" t="e">
        <f>AND(tecantrop!X475,"AAAAAHV7bhE=")</f>
        <v>#VALUE!</v>
      </c>
      <c r="S154">
        <f>IF(tecantrop!476:476,"AAAAAHV7bhI=",0)</f>
        <v>0</v>
      </c>
      <c r="T154" t="e">
        <f>AND(tecantrop!A476,"AAAAAHV7bhM=")</f>
        <v>#VALUE!</v>
      </c>
      <c r="U154" t="e">
        <f>AND(tecantrop!B476,"AAAAAHV7bhQ=")</f>
        <v>#VALUE!</v>
      </c>
      <c r="V154" t="e">
        <f>AND(tecantrop!C476,"AAAAAHV7bhU=")</f>
        <v>#VALUE!</v>
      </c>
      <c r="W154" t="e">
        <f>AND(tecantrop!D476,"AAAAAHV7bhY=")</f>
        <v>#VALUE!</v>
      </c>
      <c r="X154" t="e">
        <f>AND(tecantrop!E476,"AAAAAHV7bhc=")</f>
        <v>#VALUE!</v>
      </c>
      <c r="Y154" t="e">
        <f>AND(tecantrop!F476,"AAAAAHV7bhg=")</f>
        <v>#VALUE!</v>
      </c>
      <c r="Z154" t="e">
        <f>AND(tecantrop!G476,"AAAAAHV7bhk=")</f>
        <v>#VALUE!</v>
      </c>
      <c r="AA154" t="e">
        <f>AND(tecantrop!H476,"AAAAAHV7bho=")</f>
        <v>#VALUE!</v>
      </c>
      <c r="AB154" t="e">
        <f>AND(tecantrop!I476,"AAAAAHV7bhs=")</f>
        <v>#VALUE!</v>
      </c>
      <c r="AC154" t="e">
        <f>AND(tecantrop!J476,"AAAAAHV7bhw=")</f>
        <v>#VALUE!</v>
      </c>
      <c r="AD154" t="e">
        <f>AND(tecantrop!K476,"AAAAAHV7bh0=")</f>
        <v>#VALUE!</v>
      </c>
      <c r="AE154" t="e">
        <f>AND(tecantrop!L476,"AAAAAHV7bh4=")</f>
        <v>#VALUE!</v>
      </c>
      <c r="AF154" t="e">
        <f>AND(tecantrop!M476,"AAAAAHV7bh8=")</f>
        <v>#VALUE!</v>
      </c>
      <c r="AG154" t="e">
        <f>AND(tecantrop!N476,"AAAAAHV7biA=")</f>
        <v>#VALUE!</v>
      </c>
      <c r="AH154" t="e">
        <f>AND(tecantrop!O476,"AAAAAHV7biE=")</f>
        <v>#VALUE!</v>
      </c>
      <c r="AI154" t="e">
        <f>AND(tecantrop!P476,"AAAAAHV7biI=")</f>
        <v>#VALUE!</v>
      </c>
      <c r="AJ154" t="e">
        <f>AND(tecantrop!Q476,"AAAAAHV7biM=")</f>
        <v>#VALUE!</v>
      </c>
      <c r="AK154" t="e">
        <f>AND(tecantrop!R476,"AAAAAHV7biQ=")</f>
        <v>#VALUE!</v>
      </c>
      <c r="AL154" t="e">
        <f>AND(tecantrop!S476,"AAAAAHV7biU=")</f>
        <v>#VALUE!</v>
      </c>
      <c r="AM154" t="e">
        <f>AND(tecantrop!T476,"AAAAAHV7biY=")</f>
        <v>#VALUE!</v>
      </c>
      <c r="AN154" t="e">
        <f>AND(tecantrop!U476,"AAAAAHV7bic=")</f>
        <v>#VALUE!</v>
      </c>
      <c r="AO154" t="e">
        <f>AND(tecantrop!V476,"AAAAAHV7big=")</f>
        <v>#VALUE!</v>
      </c>
      <c r="AP154" t="e">
        <f>AND(tecantrop!W476,"AAAAAHV7bik=")</f>
        <v>#VALUE!</v>
      </c>
      <c r="AQ154" t="e">
        <f>AND(tecantrop!X476,"AAAAAHV7bio=")</f>
        <v>#VALUE!</v>
      </c>
      <c r="AR154">
        <f>IF(tecantrop!477:477,"AAAAAHV7bis=",0)</f>
        <v>0</v>
      </c>
      <c r="AS154" t="e">
        <f>AND(tecantrop!A477,"AAAAAHV7biw=")</f>
        <v>#VALUE!</v>
      </c>
      <c r="AT154" t="e">
        <f>AND(tecantrop!B477,"AAAAAHV7bi0=")</f>
        <v>#VALUE!</v>
      </c>
      <c r="AU154" t="e">
        <f>AND(tecantrop!C477,"AAAAAHV7bi4=")</f>
        <v>#VALUE!</v>
      </c>
      <c r="AV154" t="e">
        <f>AND(tecantrop!D477,"AAAAAHV7bi8=")</f>
        <v>#VALUE!</v>
      </c>
      <c r="AW154" t="e">
        <f>AND(tecantrop!E477,"AAAAAHV7bjA=")</f>
        <v>#VALUE!</v>
      </c>
      <c r="AX154" t="e">
        <f>AND(tecantrop!F477,"AAAAAHV7bjE=")</f>
        <v>#VALUE!</v>
      </c>
      <c r="AY154" t="e">
        <f>AND(tecantrop!G477,"AAAAAHV7bjI=")</f>
        <v>#VALUE!</v>
      </c>
      <c r="AZ154" t="e">
        <f>AND(tecantrop!H477,"AAAAAHV7bjM=")</f>
        <v>#VALUE!</v>
      </c>
      <c r="BA154" t="e">
        <f>AND(tecantrop!I477,"AAAAAHV7bjQ=")</f>
        <v>#VALUE!</v>
      </c>
      <c r="BB154" t="e">
        <f>AND(tecantrop!J477,"AAAAAHV7bjU=")</f>
        <v>#VALUE!</v>
      </c>
      <c r="BC154" t="e">
        <f>AND(tecantrop!K477,"AAAAAHV7bjY=")</f>
        <v>#VALUE!</v>
      </c>
      <c r="BD154" t="e">
        <f>AND(tecantrop!L477,"AAAAAHV7bjc=")</f>
        <v>#VALUE!</v>
      </c>
      <c r="BE154" t="e">
        <f>AND(tecantrop!M477,"AAAAAHV7bjg=")</f>
        <v>#VALUE!</v>
      </c>
      <c r="BF154" t="e">
        <f>AND(tecantrop!N477,"AAAAAHV7bjk=")</f>
        <v>#VALUE!</v>
      </c>
      <c r="BG154" t="e">
        <f>AND(tecantrop!O477,"AAAAAHV7bjo=")</f>
        <v>#VALUE!</v>
      </c>
      <c r="BH154" t="e">
        <f>AND(tecantrop!P477,"AAAAAHV7bjs=")</f>
        <v>#VALUE!</v>
      </c>
      <c r="BI154" t="e">
        <f>AND(tecantrop!Q477,"AAAAAHV7bjw=")</f>
        <v>#VALUE!</v>
      </c>
      <c r="BJ154" t="e">
        <f>AND(tecantrop!R477,"AAAAAHV7bj0=")</f>
        <v>#VALUE!</v>
      </c>
      <c r="BK154" t="e">
        <f>AND(tecantrop!S477,"AAAAAHV7bj4=")</f>
        <v>#VALUE!</v>
      </c>
      <c r="BL154" t="e">
        <f>AND(tecantrop!T477,"AAAAAHV7bj8=")</f>
        <v>#VALUE!</v>
      </c>
      <c r="BM154" t="e">
        <f>AND(tecantrop!U477,"AAAAAHV7bkA=")</f>
        <v>#VALUE!</v>
      </c>
      <c r="BN154" t="e">
        <f>AND(tecantrop!V477,"AAAAAHV7bkE=")</f>
        <v>#VALUE!</v>
      </c>
      <c r="BO154" t="e">
        <f>AND(tecantrop!W477,"AAAAAHV7bkI=")</f>
        <v>#VALUE!</v>
      </c>
      <c r="BP154" t="e">
        <f>AND(tecantrop!X477,"AAAAAHV7bkM=")</f>
        <v>#VALUE!</v>
      </c>
      <c r="BQ154">
        <f>IF(tecantrop!478:478,"AAAAAHV7bkQ=",0)</f>
        <v>0</v>
      </c>
      <c r="BR154" t="e">
        <f>AND(tecantrop!A478,"AAAAAHV7bkU=")</f>
        <v>#VALUE!</v>
      </c>
      <c r="BS154" t="e">
        <f>AND(tecantrop!B478,"AAAAAHV7bkY=")</f>
        <v>#VALUE!</v>
      </c>
      <c r="BT154" t="e">
        <f>AND(tecantrop!C478,"AAAAAHV7bkc=")</f>
        <v>#VALUE!</v>
      </c>
      <c r="BU154" t="e">
        <f>AND(tecantrop!D478,"AAAAAHV7bkg=")</f>
        <v>#VALUE!</v>
      </c>
      <c r="BV154" t="e">
        <f>AND(tecantrop!E478,"AAAAAHV7bkk=")</f>
        <v>#VALUE!</v>
      </c>
      <c r="BW154" t="e">
        <f>AND(tecantrop!F478,"AAAAAHV7bko=")</f>
        <v>#VALUE!</v>
      </c>
      <c r="BX154" t="e">
        <f>AND(tecantrop!G478,"AAAAAHV7bks=")</f>
        <v>#VALUE!</v>
      </c>
      <c r="BY154" t="e">
        <f>AND(tecantrop!H478,"AAAAAHV7bkw=")</f>
        <v>#VALUE!</v>
      </c>
      <c r="BZ154" t="e">
        <f>AND(tecantrop!I478,"AAAAAHV7bk0=")</f>
        <v>#VALUE!</v>
      </c>
      <c r="CA154" t="e">
        <f>AND(tecantrop!J478,"AAAAAHV7bk4=")</f>
        <v>#VALUE!</v>
      </c>
      <c r="CB154" t="e">
        <f>AND(tecantrop!K478,"AAAAAHV7bk8=")</f>
        <v>#VALUE!</v>
      </c>
      <c r="CC154" t="e">
        <f>AND(tecantrop!L478,"AAAAAHV7blA=")</f>
        <v>#VALUE!</v>
      </c>
      <c r="CD154" t="e">
        <f>AND(tecantrop!M478,"AAAAAHV7blE=")</f>
        <v>#VALUE!</v>
      </c>
      <c r="CE154" t="e">
        <f>AND(tecantrop!N478,"AAAAAHV7blI=")</f>
        <v>#VALUE!</v>
      </c>
      <c r="CF154" t="e">
        <f>AND(tecantrop!O478,"AAAAAHV7blM=")</f>
        <v>#VALUE!</v>
      </c>
      <c r="CG154" t="e">
        <f>AND(tecantrop!P478,"AAAAAHV7blQ=")</f>
        <v>#VALUE!</v>
      </c>
      <c r="CH154" t="e">
        <f>AND(tecantrop!Q478,"AAAAAHV7blU=")</f>
        <v>#VALUE!</v>
      </c>
      <c r="CI154" t="e">
        <f>AND(tecantrop!R478,"AAAAAHV7blY=")</f>
        <v>#VALUE!</v>
      </c>
      <c r="CJ154" t="e">
        <f>AND(tecantrop!S478,"AAAAAHV7blc=")</f>
        <v>#VALUE!</v>
      </c>
      <c r="CK154" t="e">
        <f>AND(tecantrop!T478,"AAAAAHV7blg=")</f>
        <v>#VALUE!</v>
      </c>
      <c r="CL154" t="e">
        <f>AND(tecantrop!U478,"AAAAAHV7blk=")</f>
        <v>#VALUE!</v>
      </c>
      <c r="CM154" t="e">
        <f>AND(tecantrop!V478,"AAAAAHV7blo=")</f>
        <v>#VALUE!</v>
      </c>
      <c r="CN154" t="e">
        <f>AND(tecantrop!W478,"AAAAAHV7bls=")</f>
        <v>#VALUE!</v>
      </c>
      <c r="CO154" t="e">
        <f>AND(tecantrop!X478,"AAAAAHV7blw=")</f>
        <v>#VALUE!</v>
      </c>
      <c r="CP154">
        <f>IF(tecantrop!479:479,"AAAAAHV7bl0=",0)</f>
        <v>0</v>
      </c>
      <c r="CQ154" t="e">
        <f>AND(tecantrop!A479,"AAAAAHV7bl4=")</f>
        <v>#VALUE!</v>
      </c>
      <c r="CR154" t="e">
        <f>AND(tecantrop!B479,"AAAAAHV7bl8=")</f>
        <v>#VALUE!</v>
      </c>
      <c r="CS154" t="e">
        <f>AND(tecantrop!C479,"AAAAAHV7bmA=")</f>
        <v>#VALUE!</v>
      </c>
      <c r="CT154" t="e">
        <f>AND(tecantrop!D479,"AAAAAHV7bmE=")</f>
        <v>#VALUE!</v>
      </c>
      <c r="CU154" t="e">
        <f>AND(tecantrop!E479,"AAAAAHV7bmI=")</f>
        <v>#VALUE!</v>
      </c>
      <c r="CV154" t="e">
        <f>AND(tecantrop!F479,"AAAAAHV7bmM=")</f>
        <v>#VALUE!</v>
      </c>
      <c r="CW154" t="e">
        <f>AND(tecantrop!G479,"AAAAAHV7bmQ=")</f>
        <v>#VALUE!</v>
      </c>
      <c r="CX154" t="e">
        <f>AND(tecantrop!H479,"AAAAAHV7bmU=")</f>
        <v>#VALUE!</v>
      </c>
      <c r="CY154" t="e">
        <f>AND(tecantrop!I479,"AAAAAHV7bmY=")</f>
        <v>#VALUE!</v>
      </c>
      <c r="CZ154" t="e">
        <f>AND(tecantrop!J479,"AAAAAHV7bmc=")</f>
        <v>#VALUE!</v>
      </c>
      <c r="DA154" t="e">
        <f>AND(tecantrop!K479,"AAAAAHV7bmg=")</f>
        <v>#VALUE!</v>
      </c>
      <c r="DB154" t="e">
        <f>AND(tecantrop!L479,"AAAAAHV7bmk=")</f>
        <v>#VALUE!</v>
      </c>
      <c r="DC154" t="e">
        <f>AND(tecantrop!M479,"AAAAAHV7bmo=")</f>
        <v>#VALUE!</v>
      </c>
      <c r="DD154" t="e">
        <f>AND(tecantrop!N479,"AAAAAHV7bms=")</f>
        <v>#VALUE!</v>
      </c>
      <c r="DE154" t="e">
        <f>AND(tecantrop!O479,"AAAAAHV7bmw=")</f>
        <v>#VALUE!</v>
      </c>
      <c r="DF154" t="e">
        <f>AND(tecantrop!P479,"AAAAAHV7bm0=")</f>
        <v>#VALUE!</v>
      </c>
      <c r="DG154" t="e">
        <f>AND(tecantrop!Q479,"AAAAAHV7bm4=")</f>
        <v>#VALUE!</v>
      </c>
      <c r="DH154" t="e">
        <f>AND(tecantrop!R479,"AAAAAHV7bm8=")</f>
        <v>#VALUE!</v>
      </c>
      <c r="DI154" t="e">
        <f>AND(tecantrop!S479,"AAAAAHV7bnA=")</f>
        <v>#VALUE!</v>
      </c>
      <c r="DJ154" t="e">
        <f>AND(tecantrop!T479,"AAAAAHV7bnE=")</f>
        <v>#VALUE!</v>
      </c>
      <c r="DK154" t="e">
        <f>AND(tecantrop!U479,"AAAAAHV7bnI=")</f>
        <v>#VALUE!</v>
      </c>
      <c r="DL154" t="e">
        <f>AND(tecantrop!V479,"AAAAAHV7bnM=")</f>
        <v>#VALUE!</v>
      </c>
      <c r="DM154" t="e">
        <f>AND(tecantrop!W479,"AAAAAHV7bnQ=")</f>
        <v>#VALUE!</v>
      </c>
      <c r="DN154" t="e">
        <f>AND(tecantrop!X479,"AAAAAHV7bnU=")</f>
        <v>#VALUE!</v>
      </c>
      <c r="DO154">
        <f>IF(tecantrop!480:480,"AAAAAHV7bnY=",0)</f>
        <v>0</v>
      </c>
      <c r="DP154" t="e">
        <f>AND(tecantrop!A480,"AAAAAHV7bnc=")</f>
        <v>#VALUE!</v>
      </c>
      <c r="DQ154" t="e">
        <f>AND(tecantrop!B480,"AAAAAHV7bng=")</f>
        <v>#VALUE!</v>
      </c>
      <c r="DR154" t="e">
        <f>AND(tecantrop!C480,"AAAAAHV7bnk=")</f>
        <v>#VALUE!</v>
      </c>
      <c r="DS154" t="e">
        <f>AND(tecantrop!D480,"AAAAAHV7bno=")</f>
        <v>#VALUE!</v>
      </c>
      <c r="DT154" t="e">
        <f>AND(tecantrop!E480,"AAAAAHV7bns=")</f>
        <v>#VALUE!</v>
      </c>
      <c r="DU154" t="e">
        <f>AND(tecantrop!F480,"AAAAAHV7bnw=")</f>
        <v>#VALUE!</v>
      </c>
      <c r="DV154" t="e">
        <f>AND(tecantrop!G480,"AAAAAHV7bn0=")</f>
        <v>#VALUE!</v>
      </c>
      <c r="DW154" t="e">
        <f>AND(tecantrop!H480,"AAAAAHV7bn4=")</f>
        <v>#VALUE!</v>
      </c>
      <c r="DX154" t="e">
        <f>AND(tecantrop!I480,"AAAAAHV7bn8=")</f>
        <v>#VALUE!</v>
      </c>
      <c r="DY154" t="e">
        <f>AND(tecantrop!J480,"AAAAAHV7boA=")</f>
        <v>#VALUE!</v>
      </c>
      <c r="DZ154" t="e">
        <f>AND(tecantrop!K480,"AAAAAHV7boE=")</f>
        <v>#VALUE!</v>
      </c>
      <c r="EA154" t="e">
        <f>AND(tecantrop!L480,"AAAAAHV7boI=")</f>
        <v>#VALUE!</v>
      </c>
      <c r="EB154" t="e">
        <f>AND(tecantrop!M480,"AAAAAHV7boM=")</f>
        <v>#VALUE!</v>
      </c>
      <c r="EC154" t="e">
        <f>AND(tecantrop!N480,"AAAAAHV7boQ=")</f>
        <v>#VALUE!</v>
      </c>
      <c r="ED154" t="e">
        <f>AND(tecantrop!O480,"AAAAAHV7boU=")</f>
        <v>#VALUE!</v>
      </c>
      <c r="EE154" t="e">
        <f>AND(tecantrop!P480,"AAAAAHV7boY=")</f>
        <v>#VALUE!</v>
      </c>
      <c r="EF154" t="e">
        <f>AND(tecantrop!Q480,"AAAAAHV7boc=")</f>
        <v>#VALUE!</v>
      </c>
      <c r="EG154" t="e">
        <f>AND(tecantrop!R480,"AAAAAHV7bog=")</f>
        <v>#VALUE!</v>
      </c>
      <c r="EH154" t="e">
        <f>AND(tecantrop!S480,"AAAAAHV7bok=")</f>
        <v>#VALUE!</v>
      </c>
      <c r="EI154" t="e">
        <f>AND(tecantrop!T480,"AAAAAHV7boo=")</f>
        <v>#VALUE!</v>
      </c>
      <c r="EJ154" t="e">
        <f>AND(tecantrop!U480,"AAAAAHV7bos=")</f>
        <v>#VALUE!</v>
      </c>
      <c r="EK154" t="e">
        <f>AND(tecantrop!V480,"AAAAAHV7bow=")</f>
        <v>#VALUE!</v>
      </c>
      <c r="EL154" t="e">
        <f>AND(tecantrop!W480,"AAAAAHV7bo0=")</f>
        <v>#VALUE!</v>
      </c>
      <c r="EM154" t="e">
        <f>AND(tecantrop!X480,"AAAAAHV7bo4=")</f>
        <v>#VALUE!</v>
      </c>
      <c r="EN154">
        <f>IF(tecantrop!481:481,"AAAAAHV7bo8=",0)</f>
        <v>0</v>
      </c>
      <c r="EO154" t="e">
        <f>AND(tecantrop!A481,"AAAAAHV7bpA=")</f>
        <v>#VALUE!</v>
      </c>
      <c r="EP154" t="e">
        <f>AND(tecantrop!B481,"AAAAAHV7bpE=")</f>
        <v>#VALUE!</v>
      </c>
      <c r="EQ154" t="e">
        <f>AND(tecantrop!C481,"AAAAAHV7bpI=")</f>
        <v>#VALUE!</v>
      </c>
      <c r="ER154" t="e">
        <f>AND(tecantrop!D481,"AAAAAHV7bpM=")</f>
        <v>#VALUE!</v>
      </c>
      <c r="ES154" t="e">
        <f>AND(tecantrop!E481,"AAAAAHV7bpQ=")</f>
        <v>#VALUE!</v>
      </c>
      <c r="ET154" t="e">
        <f>AND(tecantrop!F481,"AAAAAHV7bpU=")</f>
        <v>#VALUE!</v>
      </c>
      <c r="EU154" t="e">
        <f>AND(tecantrop!G481,"AAAAAHV7bpY=")</f>
        <v>#VALUE!</v>
      </c>
      <c r="EV154" t="e">
        <f>AND(tecantrop!H481,"AAAAAHV7bpc=")</f>
        <v>#VALUE!</v>
      </c>
      <c r="EW154" t="e">
        <f>AND(tecantrop!I481,"AAAAAHV7bpg=")</f>
        <v>#VALUE!</v>
      </c>
      <c r="EX154" t="e">
        <f>AND(tecantrop!J481,"AAAAAHV7bpk=")</f>
        <v>#VALUE!</v>
      </c>
      <c r="EY154" t="e">
        <f>AND(tecantrop!K481,"AAAAAHV7bpo=")</f>
        <v>#VALUE!</v>
      </c>
      <c r="EZ154" t="e">
        <f>AND(tecantrop!L481,"AAAAAHV7bps=")</f>
        <v>#VALUE!</v>
      </c>
      <c r="FA154" t="e">
        <f>AND(tecantrop!M481,"AAAAAHV7bpw=")</f>
        <v>#VALUE!</v>
      </c>
      <c r="FB154" t="e">
        <f>AND(tecantrop!N481,"AAAAAHV7bp0=")</f>
        <v>#VALUE!</v>
      </c>
      <c r="FC154" t="e">
        <f>AND(tecantrop!O481,"AAAAAHV7bp4=")</f>
        <v>#VALUE!</v>
      </c>
      <c r="FD154" t="e">
        <f>AND(tecantrop!P481,"AAAAAHV7bp8=")</f>
        <v>#VALUE!</v>
      </c>
      <c r="FE154" t="e">
        <f>AND(tecantrop!Q481,"AAAAAHV7bqA=")</f>
        <v>#VALUE!</v>
      </c>
      <c r="FF154" t="e">
        <f>AND(tecantrop!R481,"AAAAAHV7bqE=")</f>
        <v>#VALUE!</v>
      </c>
      <c r="FG154" t="e">
        <f>AND(tecantrop!S481,"AAAAAHV7bqI=")</f>
        <v>#VALUE!</v>
      </c>
      <c r="FH154" t="e">
        <f>AND(tecantrop!T481,"AAAAAHV7bqM=")</f>
        <v>#VALUE!</v>
      </c>
      <c r="FI154" t="e">
        <f>AND(tecantrop!U481,"AAAAAHV7bqQ=")</f>
        <v>#VALUE!</v>
      </c>
      <c r="FJ154" t="e">
        <f>AND(tecantrop!V481,"AAAAAHV7bqU=")</f>
        <v>#VALUE!</v>
      </c>
      <c r="FK154" t="e">
        <f>AND(tecantrop!W481,"AAAAAHV7bqY=")</f>
        <v>#VALUE!</v>
      </c>
      <c r="FL154" t="e">
        <f>AND(tecantrop!X481,"AAAAAHV7bqc=")</f>
        <v>#VALUE!</v>
      </c>
      <c r="FM154">
        <f>IF(tecantrop!482:482,"AAAAAHV7bqg=",0)</f>
        <v>0</v>
      </c>
      <c r="FN154" t="e">
        <f>AND(tecantrop!A482,"AAAAAHV7bqk=")</f>
        <v>#VALUE!</v>
      </c>
      <c r="FO154" t="e">
        <f>AND(tecantrop!B482,"AAAAAHV7bqo=")</f>
        <v>#VALUE!</v>
      </c>
      <c r="FP154" t="e">
        <f>AND(tecantrop!C482,"AAAAAHV7bqs=")</f>
        <v>#VALUE!</v>
      </c>
      <c r="FQ154" t="e">
        <f>AND(tecantrop!D482,"AAAAAHV7bqw=")</f>
        <v>#VALUE!</v>
      </c>
      <c r="FR154" t="e">
        <f>AND(tecantrop!E482,"AAAAAHV7bq0=")</f>
        <v>#VALUE!</v>
      </c>
      <c r="FS154" t="e">
        <f>AND(tecantrop!F482,"AAAAAHV7bq4=")</f>
        <v>#VALUE!</v>
      </c>
      <c r="FT154" t="e">
        <f>AND(tecantrop!G482,"AAAAAHV7bq8=")</f>
        <v>#VALUE!</v>
      </c>
      <c r="FU154" t="e">
        <f>AND(tecantrop!H482,"AAAAAHV7brA=")</f>
        <v>#VALUE!</v>
      </c>
      <c r="FV154" t="e">
        <f>AND(tecantrop!I482,"AAAAAHV7brE=")</f>
        <v>#VALUE!</v>
      </c>
      <c r="FW154" t="e">
        <f>AND(tecantrop!J482,"AAAAAHV7brI=")</f>
        <v>#VALUE!</v>
      </c>
      <c r="FX154" t="e">
        <f>AND(tecantrop!K482,"AAAAAHV7brM=")</f>
        <v>#VALUE!</v>
      </c>
      <c r="FY154" t="e">
        <f>AND(tecantrop!L482,"AAAAAHV7brQ=")</f>
        <v>#VALUE!</v>
      </c>
      <c r="FZ154" t="e">
        <f>AND(tecantrop!M482,"AAAAAHV7brU=")</f>
        <v>#VALUE!</v>
      </c>
      <c r="GA154" t="e">
        <f>AND(tecantrop!N482,"AAAAAHV7brY=")</f>
        <v>#VALUE!</v>
      </c>
      <c r="GB154" t="e">
        <f>AND(tecantrop!O482,"AAAAAHV7brc=")</f>
        <v>#VALUE!</v>
      </c>
      <c r="GC154" t="e">
        <f>AND(tecantrop!P482,"AAAAAHV7brg=")</f>
        <v>#VALUE!</v>
      </c>
      <c r="GD154" t="e">
        <f>AND(tecantrop!Q482,"AAAAAHV7brk=")</f>
        <v>#VALUE!</v>
      </c>
      <c r="GE154" t="e">
        <f>AND(tecantrop!R482,"AAAAAHV7bro=")</f>
        <v>#VALUE!</v>
      </c>
      <c r="GF154" t="e">
        <f>AND(tecantrop!S482,"AAAAAHV7brs=")</f>
        <v>#VALUE!</v>
      </c>
      <c r="GG154" t="e">
        <f>AND(tecantrop!T482,"AAAAAHV7brw=")</f>
        <v>#VALUE!</v>
      </c>
      <c r="GH154" t="e">
        <f>AND(tecantrop!U482,"AAAAAHV7br0=")</f>
        <v>#VALUE!</v>
      </c>
      <c r="GI154" t="e">
        <f>AND(tecantrop!V482,"AAAAAHV7br4=")</f>
        <v>#VALUE!</v>
      </c>
      <c r="GJ154" t="e">
        <f>AND(tecantrop!W482,"AAAAAHV7br8=")</f>
        <v>#VALUE!</v>
      </c>
      <c r="GK154" t="e">
        <f>AND(tecantrop!X482,"AAAAAHV7bsA=")</f>
        <v>#VALUE!</v>
      </c>
      <c r="GL154">
        <f>IF(tecantrop!483:483,"AAAAAHV7bsE=",0)</f>
        <v>0</v>
      </c>
      <c r="GM154" t="e">
        <f>AND(tecantrop!A483,"AAAAAHV7bsI=")</f>
        <v>#VALUE!</v>
      </c>
      <c r="GN154" t="e">
        <f>AND(tecantrop!B483,"AAAAAHV7bsM=")</f>
        <v>#VALUE!</v>
      </c>
      <c r="GO154" t="e">
        <f>AND(tecantrop!C483,"AAAAAHV7bsQ=")</f>
        <v>#VALUE!</v>
      </c>
      <c r="GP154" t="e">
        <f>AND(tecantrop!D483,"AAAAAHV7bsU=")</f>
        <v>#VALUE!</v>
      </c>
      <c r="GQ154" t="e">
        <f>AND(tecantrop!E483,"AAAAAHV7bsY=")</f>
        <v>#VALUE!</v>
      </c>
      <c r="GR154" t="e">
        <f>AND(tecantrop!F483,"AAAAAHV7bsc=")</f>
        <v>#VALUE!</v>
      </c>
      <c r="GS154" t="e">
        <f>AND(tecantrop!G483,"AAAAAHV7bsg=")</f>
        <v>#VALUE!</v>
      </c>
      <c r="GT154" t="e">
        <f>AND(tecantrop!H483,"AAAAAHV7bsk=")</f>
        <v>#VALUE!</v>
      </c>
      <c r="GU154" t="e">
        <f>AND(tecantrop!I483,"AAAAAHV7bso=")</f>
        <v>#VALUE!</v>
      </c>
      <c r="GV154" t="e">
        <f>AND(tecantrop!J483,"AAAAAHV7bss=")</f>
        <v>#VALUE!</v>
      </c>
      <c r="GW154" t="e">
        <f>AND(tecantrop!K483,"AAAAAHV7bsw=")</f>
        <v>#VALUE!</v>
      </c>
      <c r="GX154" t="e">
        <f>AND(tecantrop!L483,"AAAAAHV7bs0=")</f>
        <v>#VALUE!</v>
      </c>
      <c r="GY154" t="e">
        <f>AND(tecantrop!M483,"AAAAAHV7bs4=")</f>
        <v>#VALUE!</v>
      </c>
      <c r="GZ154" t="e">
        <f>AND(tecantrop!N483,"AAAAAHV7bs8=")</f>
        <v>#VALUE!</v>
      </c>
      <c r="HA154" t="e">
        <f>AND(tecantrop!O483,"AAAAAHV7btA=")</f>
        <v>#VALUE!</v>
      </c>
      <c r="HB154" t="e">
        <f>AND(tecantrop!P483,"AAAAAHV7btE=")</f>
        <v>#VALUE!</v>
      </c>
      <c r="HC154" t="e">
        <f>AND(tecantrop!Q483,"AAAAAHV7btI=")</f>
        <v>#VALUE!</v>
      </c>
      <c r="HD154" t="e">
        <f>AND(tecantrop!R483,"AAAAAHV7btM=")</f>
        <v>#VALUE!</v>
      </c>
      <c r="HE154" t="e">
        <f>AND(tecantrop!S483,"AAAAAHV7btQ=")</f>
        <v>#VALUE!</v>
      </c>
      <c r="HF154" t="e">
        <f>AND(tecantrop!T483,"AAAAAHV7btU=")</f>
        <v>#VALUE!</v>
      </c>
      <c r="HG154" t="e">
        <f>AND(tecantrop!U483,"AAAAAHV7btY=")</f>
        <v>#VALUE!</v>
      </c>
      <c r="HH154" t="e">
        <f>AND(tecantrop!V483,"AAAAAHV7btc=")</f>
        <v>#VALUE!</v>
      </c>
      <c r="HI154" t="e">
        <f>AND(tecantrop!W483,"AAAAAHV7btg=")</f>
        <v>#VALUE!</v>
      </c>
      <c r="HJ154" t="e">
        <f>AND(tecantrop!X483,"AAAAAHV7btk=")</f>
        <v>#VALUE!</v>
      </c>
      <c r="HK154">
        <f>IF(tecantrop!484:484,"AAAAAHV7bto=",0)</f>
        <v>0</v>
      </c>
      <c r="HL154" t="e">
        <f>AND(tecantrop!A484,"AAAAAHV7bts=")</f>
        <v>#VALUE!</v>
      </c>
      <c r="HM154" t="e">
        <f>AND(tecantrop!B484,"AAAAAHV7btw=")</f>
        <v>#VALUE!</v>
      </c>
      <c r="HN154" t="e">
        <f>AND(tecantrop!C484,"AAAAAHV7bt0=")</f>
        <v>#VALUE!</v>
      </c>
      <c r="HO154" t="e">
        <f>AND(tecantrop!D484,"AAAAAHV7bt4=")</f>
        <v>#VALUE!</v>
      </c>
      <c r="HP154" t="e">
        <f>AND(tecantrop!E484,"AAAAAHV7bt8=")</f>
        <v>#VALUE!</v>
      </c>
      <c r="HQ154" t="e">
        <f>AND(tecantrop!F484,"AAAAAHV7buA=")</f>
        <v>#VALUE!</v>
      </c>
      <c r="HR154" t="e">
        <f>AND(tecantrop!G484,"AAAAAHV7buE=")</f>
        <v>#VALUE!</v>
      </c>
      <c r="HS154" t="e">
        <f>AND(tecantrop!H484,"AAAAAHV7buI=")</f>
        <v>#VALUE!</v>
      </c>
      <c r="HT154" t="e">
        <f>AND(tecantrop!I484,"AAAAAHV7buM=")</f>
        <v>#VALUE!</v>
      </c>
      <c r="HU154" t="e">
        <f>AND(tecantrop!J484,"AAAAAHV7buQ=")</f>
        <v>#VALUE!</v>
      </c>
      <c r="HV154" t="e">
        <f>AND(tecantrop!K484,"AAAAAHV7buU=")</f>
        <v>#VALUE!</v>
      </c>
      <c r="HW154" t="e">
        <f>AND(tecantrop!L484,"AAAAAHV7buY=")</f>
        <v>#VALUE!</v>
      </c>
      <c r="HX154" t="e">
        <f>AND(tecantrop!M484,"AAAAAHV7buc=")</f>
        <v>#VALUE!</v>
      </c>
      <c r="HY154" t="e">
        <f>AND(tecantrop!N484,"AAAAAHV7bug=")</f>
        <v>#VALUE!</v>
      </c>
      <c r="HZ154" t="e">
        <f>AND(tecantrop!O484,"AAAAAHV7buk=")</f>
        <v>#VALUE!</v>
      </c>
      <c r="IA154" t="e">
        <f>AND(tecantrop!P484,"AAAAAHV7buo=")</f>
        <v>#VALUE!</v>
      </c>
      <c r="IB154" t="e">
        <f>AND(tecantrop!Q484,"AAAAAHV7bus=")</f>
        <v>#VALUE!</v>
      </c>
      <c r="IC154" t="e">
        <f>AND(tecantrop!R484,"AAAAAHV7buw=")</f>
        <v>#VALUE!</v>
      </c>
      <c r="ID154" t="e">
        <f>AND(tecantrop!S484,"AAAAAHV7bu0=")</f>
        <v>#VALUE!</v>
      </c>
      <c r="IE154" t="e">
        <f>AND(tecantrop!T484,"AAAAAHV7bu4=")</f>
        <v>#VALUE!</v>
      </c>
      <c r="IF154" t="e">
        <f>AND(tecantrop!U484,"AAAAAHV7bu8=")</f>
        <v>#VALUE!</v>
      </c>
      <c r="IG154" t="e">
        <f>AND(tecantrop!V484,"AAAAAHV7bvA=")</f>
        <v>#VALUE!</v>
      </c>
      <c r="IH154" t="e">
        <f>AND(tecantrop!W484,"AAAAAHV7bvE=")</f>
        <v>#VALUE!</v>
      </c>
      <c r="II154" t="e">
        <f>AND(tecantrop!X484,"AAAAAHV7bvI=")</f>
        <v>#VALUE!</v>
      </c>
      <c r="IJ154">
        <f>IF(tecantrop!485:485,"AAAAAHV7bvM=",0)</f>
        <v>0</v>
      </c>
      <c r="IK154" t="e">
        <f>AND(tecantrop!A485,"AAAAAHV7bvQ=")</f>
        <v>#VALUE!</v>
      </c>
      <c r="IL154" t="e">
        <f>AND(tecantrop!B485,"AAAAAHV7bvU=")</f>
        <v>#VALUE!</v>
      </c>
      <c r="IM154" t="e">
        <f>AND(tecantrop!C485,"AAAAAHV7bvY=")</f>
        <v>#VALUE!</v>
      </c>
      <c r="IN154" t="e">
        <f>AND(tecantrop!D485,"AAAAAHV7bvc=")</f>
        <v>#VALUE!</v>
      </c>
      <c r="IO154" t="e">
        <f>AND(tecantrop!E485,"AAAAAHV7bvg=")</f>
        <v>#VALUE!</v>
      </c>
      <c r="IP154" t="e">
        <f>AND(tecantrop!F485,"AAAAAHV7bvk=")</f>
        <v>#VALUE!</v>
      </c>
      <c r="IQ154" t="e">
        <f>AND(tecantrop!G485,"AAAAAHV7bvo=")</f>
        <v>#VALUE!</v>
      </c>
      <c r="IR154" t="e">
        <f>AND(tecantrop!H485,"AAAAAHV7bvs=")</f>
        <v>#VALUE!</v>
      </c>
      <c r="IS154" t="e">
        <f>AND(tecantrop!I485,"AAAAAHV7bvw=")</f>
        <v>#VALUE!</v>
      </c>
      <c r="IT154" t="e">
        <f>AND(tecantrop!J485,"AAAAAHV7bv0=")</f>
        <v>#VALUE!</v>
      </c>
      <c r="IU154" t="e">
        <f>AND(tecantrop!K485,"AAAAAHV7bv4=")</f>
        <v>#VALUE!</v>
      </c>
      <c r="IV154" t="e">
        <f>AND(tecantrop!L485,"AAAAAHV7bv8=")</f>
        <v>#VALUE!</v>
      </c>
    </row>
    <row r="155" spans="1:256" x14ac:dyDescent="0.2">
      <c r="A155" t="e">
        <f>AND(tecantrop!M485,"AAAAAE7/zAA=")</f>
        <v>#VALUE!</v>
      </c>
      <c r="B155" t="e">
        <f>AND(tecantrop!N485,"AAAAAE7/zAE=")</f>
        <v>#VALUE!</v>
      </c>
      <c r="C155" t="e">
        <f>AND(tecantrop!O485,"AAAAAE7/zAI=")</f>
        <v>#VALUE!</v>
      </c>
      <c r="D155" t="e">
        <f>AND(tecantrop!P485,"AAAAAE7/zAM=")</f>
        <v>#VALUE!</v>
      </c>
      <c r="E155" t="e">
        <f>AND(tecantrop!Q485,"AAAAAE7/zAQ=")</f>
        <v>#VALUE!</v>
      </c>
      <c r="F155" t="e">
        <f>AND(tecantrop!R485,"AAAAAE7/zAU=")</f>
        <v>#VALUE!</v>
      </c>
      <c r="G155" t="e">
        <f>AND(tecantrop!S485,"AAAAAE7/zAY=")</f>
        <v>#VALUE!</v>
      </c>
      <c r="H155" t="e">
        <f>AND(tecantrop!T485,"AAAAAE7/zAc=")</f>
        <v>#VALUE!</v>
      </c>
      <c r="I155" t="e">
        <f>AND(tecantrop!U485,"AAAAAE7/zAg=")</f>
        <v>#VALUE!</v>
      </c>
      <c r="J155" t="e">
        <f>AND(tecantrop!V485,"AAAAAE7/zAk=")</f>
        <v>#VALUE!</v>
      </c>
      <c r="K155" t="e">
        <f>AND(tecantrop!W485,"AAAAAE7/zAo=")</f>
        <v>#VALUE!</v>
      </c>
      <c r="L155" t="e">
        <f>AND(tecantrop!X485,"AAAAAE7/zAs=")</f>
        <v>#VALUE!</v>
      </c>
      <c r="M155">
        <f>IF(tecantrop!486:486,"AAAAAE7/zAw=",0)</f>
        <v>0</v>
      </c>
      <c r="N155" t="e">
        <f>AND(tecantrop!A486,"AAAAAE7/zA0=")</f>
        <v>#VALUE!</v>
      </c>
      <c r="O155" t="e">
        <f>AND(tecantrop!B486,"AAAAAE7/zA4=")</f>
        <v>#VALUE!</v>
      </c>
      <c r="P155" t="e">
        <f>AND(tecantrop!C486,"AAAAAE7/zA8=")</f>
        <v>#VALUE!</v>
      </c>
      <c r="Q155" t="e">
        <f>AND(tecantrop!D486,"AAAAAE7/zBA=")</f>
        <v>#VALUE!</v>
      </c>
      <c r="R155" t="e">
        <f>AND(tecantrop!E486,"AAAAAE7/zBE=")</f>
        <v>#VALUE!</v>
      </c>
      <c r="S155" t="e">
        <f>AND(tecantrop!F486,"AAAAAE7/zBI=")</f>
        <v>#VALUE!</v>
      </c>
      <c r="T155" t="e">
        <f>AND(tecantrop!G486,"AAAAAE7/zBM=")</f>
        <v>#VALUE!</v>
      </c>
      <c r="U155" t="e">
        <f>AND(tecantrop!H486,"AAAAAE7/zBQ=")</f>
        <v>#VALUE!</v>
      </c>
      <c r="V155" t="e">
        <f>AND(tecantrop!I486,"AAAAAE7/zBU=")</f>
        <v>#VALUE!</v>
      </c>
      <c r="W155" t="e">
        <f>AND(tecantrop!J486,"AAAAAE7/zBY=")</f>
        <v>#VALUE!</v>
      </c>
      <c r="X155" t="e">
        <f>AND(tecantrop!K486,"AAAAAE7/zBc=")</f>
        <v>#VALUE!</v>
      </c>
      <c r="Y155" t="e">
        <f>AND(tecantrop!L486,"AAAAAE7/zBg=")</f>
        <v>#VALUE!</v>
      </c>
      <c r="Z155" t="e">
        <f>AND(tecantrop!M486,"AAAAAE7/zBk=")</f>
        <v>#VALUE!</v>
      </c>
      <c r="AA155" t="e">
        <f>AND(tecantrop!N486,"AAAAAE7/zBo=")</f>
        <v>#VALUE!</v>
      </c>
      <c r="AB155" t="e">
        <f>AND(tecantrop!O486,"AAAAAE7/zBs=")</f>
        <v>#VALUE!</v>
      </c>
      <c r="AC155" t="e">
        <f>AND(tecantrop!P486,"AAAAAE7/zBw=")</f>
        <v>#VALUE!</v>
      </c>
      <c r="AD155" t="e">
        <f>AND(tecantrop!Q486,"AAAAAE7/zB0=")</f>
        <v>#VALUE!</v>
      </c>
      <c r="AE155" t="e">
        <f>AND(tecantrop!R486,"AAAAAE7/zB4=")</f>
        <v>#VALUE!</v>
      </c>
      <c r="AF155" t="e">
        <f>AND(tecantrop!S486,"AAAAAE7/zB8=")</f>
        <v>#VALUE!</v>
      </c>
      <c r="AG155" t="e">
        <f>AND(tecantrop!T486,"AAAAAE7/zCA=")</f>
        <v>#VALUE!</v>
      </c>
      <c r="AH155" t="e">
        <f>AND(tecantrop!U486,"AAAAAE7/zCE=")</f>
        <v>#VALUE!</v>
      </c>
      <c r="AI155" t="e">
        <f>AND(tecantrop!V486,"AAAAAE7/zCI=")</f>
        <v>#VALUE!</v>
      </c>
      <c r="AJ155" t="e">
        <f>AND(tecantrop!W486,"AAAAAE7/zCM=")</f>
        <v>#VALUE!</v>
      </c>
      <c r="AK155" t="e">
        <f>AND(tecantrop!X486,"AAAAAE7/zCQ=")</f>
        <v>#VALUE!</v>
      </c>
      <c r="AL155">
        <f>IF(tecantrop!487:487,"AAAAAE7/zCU=",0)</f>
        <v>0</v>
      </c>
      <c r="AM155" t="e">
        <f>AND(tecantrop!A487,"AAAAAE7/zCY=")</f>
        <v>#VALUE!</v>
      </c>
      <c r="AN155" t="e">
        <f>AND(tecantrop!B487,"AAAAAE7/zCc=")</f>
        <v>#VALUE!</v>
      </c>
      <c r="AO155" t="e">
        <f>AND(tecantrop!C487,"AAAAAE7/zCg=")</f>
        <v>#VALUE!</v>
      </c>
      <c r="AP155" t="e">
        <f>AND(tecantrop!D487,"AAAAAE7/zCk=")</f>
        <v>#VALUE!</v>
      </c>
      <c r="AQ155" t="e">
        <f>AND(tecantrop!E487,"AAAAAE7/zCo=")</f>
        <v>#VALUE!</v>
      </c>
      <c r="AR155" t="e">
        <f>AND(tecantrop!F487,"AAAAAE7/zCs=")</f>
        <v>#VALUE!</v>
      </c>
      <c r="AS155" t="e">
        <f>AND(tecantrop!G487,"AAAAAE7/zCw=")</f>
        <v>#VALUE!</v>
      </c>
      <c r="AT155" t="e">
        <f>AND(tecantrop!H487,"AAAAAE7/zC0=")</f>
        <v>#VALUE!</v>
      </c>
      <c r="AU155" t="e">
        <f>AND(tecantrop!I487,"AAAAAE7/zC4=")</f>
        <v>#VALUE!</v>
      </c>
      <c r="AV155" t="e">
        <f>AND(tecantrop!J487,"AAAAAE7/zC8=")</f>
        <v>#VALUE!</v>
      </c>
      <c r="AW155" t="e">
        <f>AND(tecantrop!K487,"AAAAAE7/zDA=")</f>
        <v>#VALUE!</v>
      </c>
      <c r="AX155" t="e">
        <f>AND(tecantrop!L487,"AAAAAE7/zDE=")</f>
        <v>#VALUE!</v>
      </c>
      <c r="AY155" t="e">
        <f>AND(tecantrop!M487,"AAAAAE7/zDI=")</f>
        <v>#VALUE!</v>
      </c>
      <c r="AZ155" t="e">
        <f>AND(tecantrop!N487,"AAAAAE7/zDM=")</f>
        <v>#VALUE!</v>
      </c>
      <c r="BA155" t="e">
        <f>AND(tecantrop!O487,"AAAAAE7/zDQ=")</f>
        <v>#VALUE!</v>
      </c>
      <c r="BB155" t="e">
        <f>AND(tecantrop!P487,"AAAAAE7/zDU=")</f>
        <v>#VALUE!</v>
      </c>
      <c r="BC155" t="e">
        <f>AND(tecantrop!Q487,"AAAAAE7/zDY=")</f>
        <v>#VALUE!</v>
      </c>
      <c r="BD155" t="e">
        <f>AND(tecantrop!R487,"AAAAAE7/zDc=")</f>
        <v>#VALUE!</v>
      </c>
      <c r="BE155" t="e">
        <f>AND(tecantrop!S487,"AAAAAE7/zDg=")</f>
        <v>#VALUE!</v>
      </c>
      <c r="BF155" t="e">
        <f>AND(tecantrop!T487,"AAAAAE7/zDk=")</f>
        <v>#VALUE!</v>
      </c>
      <c r="BG155" t="e">
        <f>AND(tecantrop!U487,"AAAAAE7/zDo=")</f>
        <v>#VALUE!</v>
      </c>
      <c r="BH155" t="e">
        <f>AND(tecantrop!V487,"AAAAAE7/zDs=")</f>
        <v>#VALUE!</v>
      </c>
      <c r="BI155" t="e">
        <f>AND(tecantrop!W487,"AAAAAE7/zDw=")</f>
        <v>#VALUE!</v>
      </c>
      <c r="BJ155" t="e">
        <f>AND(tecantrop!X487,"AAAAAE7/zD0=")</f>
        <v>#VALUE!</v>
      </c>
      <c r="BK155">
        <f>IF(tecantrop!488:488,"AAAAAE7/zD4=",0)</f>
        <v>0</v>
      </c>
      <c r="BL155" t="e">
        <f>AND(tecantrop!A488,"AAAAAE7/zD8=")</f>
        <v>#VALUE!</v>
      </c>
      <c r="BM155" t="e">
        <f>AND(tecantrop!B488,"AAAAAE7/zEA=")</f>
        <v>#VALUE!</v>
      </c>
      <c r="BN155" t="e">
        <f>AND(tecantrop!C488,"AAAAAE7/zEE=")</f>
        <v>#VALUE!</v>
      </c>
      <c r="BO155" t="e">
        <f>AND(tecantrop!D488,"AAAAAE7/zEI=")</f>
        <v>#VALUE!</v>
      </c>
      <c r="BP155" t="e">
        <f>AND(tecantrop!E488,"AAAAAE7/zEM=")</f>
        <v>#VALUE!</v>
      </c>
      <c r="BQ155" t="e">
        <f>AND(tecantrop!F488,"AAAAAE7/zEQ=")</f>
        <v>#VALUE!</v>
      </c>
      <c r="BR155" t="e">
        <f>AND(tecantrop!G488,"AAAAAE7/zEU=")</f>
        <v>#VALUE!</v>
      </c>
      <c r="BS155" t="e">
        <f>AND(tecantrop!H488,"AAAAAE7/zEY=")</f>
        <v>#VALUE!</v>
      </c>
      <c r="BT155" t="e">
        <f>AND(tecantrop!I488,"AAAAAE7/zEc=")</f>
        <v>#VALUE!</v>
      </c>
      <c r="BU155" t="e">
        <f>AND(tecantrop!J488,"AAAAAE7/zEg=")</f>
        <v>#VALUE!</v>
      </c>
      <c r="BV155" t="e">
        <f>AND(tecantrop!K488,"AAAAAE7/zEk=")</f>
        <v>#VALUE!</v>
      </c>
      <c r="BW155" t="e">
        <f>AND(tecantrop!L488,"AAAAAE7/zEo=")</f>
        <v>#VALUE!</v>
      </c>
      <c r="BX155" t="e">
        <f>AND(tecantrop!M488,"AAAAAE7/zEs=")</f>
        <v>#VALUE!</v>
      </c>
      <c r="BY155" t="e">
        <f>AND(tecantrop!N488,"AAAAAE7/zEw=")</f>
        <v>#VALUE!</v>
      </c>
      <c r="BZ155" t="e">
        <f>AND(tecantrop!O488,"AAAAAE7/zE0=")</f>
        <v>#VALUE!</v>
      </c>
      <c r="CA155" t="e">
        <f>AND(tecantrop!P488,"AAAAAE7/zE4=")</f>
        <v>#VALUE!</v>
      </c>
      <c r="CB155" t="e">
        <f>AND(tecantrop!Q488,"AAAAAE7/zE8=")</f>
        <v>#VALUE!</v>
      </c>
      <c r="CC155" t="e">
        <f>AND(tecantrop!R488,"AAAAAE7/zFA=")</f>
        <v>#VALUE!</v>
      </c>
      <c r="CD155" t="e">
        <f>AND(tecantrop!S488,"AAAAAE7/zFE=")</f>
        <v>#VALUE!</v>
      </c>
      <c r="CE155" t="e">
        <f>AND(tecantrop!T488,"AAAAAE7/zFI=")</f>
        <v>#VALUE!</v>
      </c>
      <c r="CF155" t="e">
        <f>AND(tecantrop!U488,"AAAAAE7/zFM=")</f>
        <v>#VALUE!</v>
      </c>
      <c r="CG155" t="e">
        <f>AND(tecantrop!V488,"AAAAAE7/zFQ=")</f>
        <v>#VALUE!</v>
      </c>
      <c r="CH155" t="e">
        <f>AND(tecantrop!W488,"AAAAAE7/zFU=")</f>
        <v>#VALUE!</v>
      </c>
      <c r="CI155" t="e">
        <f>AND(tecantrop!X488,"AAAAAE7/zFY=")</f>
        <v>#VALUE!</v>
      </c>
      <c r="CJ155">
        <f>IF(tecantrop!489:489,"AAAAAE7/zFc=",0)</f>
        <v>0</v>
      </c>
      <c r="CK155" t="e">
        <f>AND(tecantrop!A489,"AAAAAE7/zFg=")</f>
        <v>#VALUE!</v>
      </c>
      <c r="CL155" t="e">
        <f>AND(tecantrop!B489,"AAAAAE7/zFk=")</f>
        <v>#VALUE!</v>
      </c>
      <c r="CM155" t="e">
        <f>AND(tecantrop!C489,"AAAAAE7/zFo=")</f>
        <v>#VALUE!</v>
      </c>
      <c r="CN155" t="e">
        <f>AND(tecantrop!D489,"AAAAAE7/zFs=")</f>
        <v>#VALUE!</v>
      </c>
      <c r="CO155" t="e">
        <f>AND(tecantrop!E489,"AAAAAE7/zFw=")</f>
        <v>#VALUE!</v>
      </c>
      <c r="CP155" t="e">
        <f>AND(tecantrop!F489,"AAAAAE7/zF0=")</f>
        <v>#VALUE!</v>
      </c>
      <c r="CQ155" t="e">
        <f>AND(tecantrop!G489,"AAAAAE7/zF4=")</f>
        <v>#VALUE!</v>
      </c>
      <c r="CR155" t="e">
        <f>AND(tecantrop!H489,"AAAAAE7/zF8=")</f>
        <v>#VALUE!</v>
      </c>
      <c r="CS155" t="e">
        <f>AND(tecantrop!I489,"AAAAAE7/zGA=")</f>
        <v>#VALUE!</v>
      </c>
      <c r="CT155" t="e">
        <f>AND(tecantrop!J489,"AAAAAE7/zGE=")</f>
        <v>#VALUE!</v>
      </c>
      <c r="CU155" t="e">
        <f>AND(tecantrop!K489,"AAAAAE7/zGI=")</f>
        <v>#VALUE!</v>
      </c>
      <c r="CV155" t="e">
        <f>AND(tecantrop!L489,"AAAAAE7/zGM=")</f>
        <v>#VALUE!</v>
      </c>
      <c r="CW155" t="e">
        <f>AND(tecantrop!M489,"AAAAAE7/zGQ=")</f>
        <v>#VALUE!</v>
      </c>
      <c r="CX155" t="e">
        <f>AND(tecantrop!N489,"AAAAAE7/zGU=")</f>
        <v>#VALUE!</v>
      </c>
      <c r="CY155" t="e">
        <f>AND(tecantrop!O489,"AAAAAE7/zGY=")</f>
        <v>#VALUE!</v>
      </c>
      <c r="CZ155" t="e">
        <f>AND(tecantrop!P489,"AAAAAE7/zGc=")</f>
        <v>#VALUE!</v>
      </c>
      <c r="DA155" t="e">
        <f>AND(tecantrop!Q489,"AAAAAE7/zGg=")</f>
        <v>#VALUE!</v>
      </c>
      <c r="DB155" t="e">
        <f>AND(tecantrop!R489,"AAAAAE7/zGk=")</f>
        <v>#VALUE!</v>
      </c>
      <c r="DC155" t="e">
        <f>AND(tecantrop!S489,"AAAAAE7/zGo=")</f>
        <v>#VALUE!</v>
      </c>
      <c r="DD155" t="e">
        <f>AND(tecantrop!T489,"AAAAAE7/zGs=")</f>
        <v>#VALUE!</v>
      </c>
      <c r="DE155" t="e">
        <f>AND(tecantrop!U489,"AAAAAE7/zGw=")</f>
        <v>#VALUE!</v>
      </c>
      <c r="DF155" t="e">
        <f>AND(tecantrop!V489,"AAAAAE7/zG0=")</f>
        <v>#VALUE!</v>
      </c>
      <c r="DG155" t="e">
        <f>AND(tecantrop!W489,"AAAAAE7/zG4=")</f>
        <v>#VALUE!</v>
      </c>
      <c r="DH155" t="e">
        <f>AND(tecantrop!X489,"AAAAAE7/zG8=")</f>
        <v>#VALUE!</v>
      </c>
      <c r="DI155">
        <f>IF(tecantrop!490:490,"AAAAAE7/zHA=",0)</f>
        <v>0</v>
      </c>
      <c r="DJ155" t="e">
        <f>AND(tecantrop!A490,"AAAAAE7/zHE=")</f>
        <v>#VALUE!</v>
      </c>
      <c r="DK155" t="e">
        <f>AND(tecantrop!B490,"AAAAAE7/zHI=")</f>
        <v>#VALUE!</v>
      </c>
      <c r="DL155" t="e">
        <f>AND(tecantrop!C490,"AAAAAE7/zHM=")</f>
        <v>#VALUE!</v>
      </c>
      <c r="DM155" t="e">
        <f>AND(tecantrop!D490,"AAAAAE7/zHQ=")</f>
        <v>#VALUE!</v>
      </c>
      <c r="DN155" t="e">
        <f>AND(tecantrop!E490,"AAAAAE7/zHU=")</f>
        <v>#VALUE!</v>
      </c>
      <c r="DO155" t="e">
        <f>AND(tecantrop!F490,"AAAAAE7/zHY=")</f>
        <v>#VALUE!</v>
      </c>
      <c r="DP155" t="e">
        <f>AND(tecantrop!G490,"AAAAAE7/zHc=")</f>
        <v>#VALUE!</v>
      </c>
      <c r="DQ155" t="e">
        <f>AND(tecantrop!H490,"AAAAAE7/zHg=")</f>
        <v>#VALUE!</v>
      </c>
      <c r="DR155" t="e">
        <f>AND(tecantrop!I490,"AAAAAE7/zHk=")</f>
        <v>#VALUE!</v>
      </c>
      <c r="DS155" t="e">
        <f>AND(tecantrop!J490,"AAAAAE7/zHo=")</f>
        <v>#VALUE!</v>
      </c>
      <c r="DT155" t="e">
        <f>AND(tecantrop!K490,"AAAAAE7/zHs=")</f>
        <v>#VALUE!</v>
      </c>
      <c r="DU155" t="e">
        <f>AND(tecantrop!L490,"AAAAAE7/zHw=")</f>
        <v>#VALUE!</v>
      </c>
      <c r="DV155" t="e">
        <f>AND(tecantrop!M490,"AAAAAE7/zH0=")</f>
        <v>#VALUE!</v>
      </c>
      <c r="DW155" t="e">
        <f>AND(tecantrop!N490,"AAAAAE7/zH4=")</f>
        <v>#VALUE!</v>
      </c>
      <c r="DX155" t="e">
        <f>AND(tecantrop!O490,"AAAAAE7/zH8=")</f>
        <v>#VALUE!</v>
      </c>
      <c r="DY155" t="e">
        <f>AND(tecantrop!P490,"AAAAAE7/zIA=")</f>
        <v>#VALUE!</v>
      </c>
      <c r="DZ155" t="e">
        <f>AND(tecantrop!Q490,"AAAAAE7/zIE=")</f>
        <v>#VALUE!</v>
      </c>
      <c r="EA155" t="e">
        <f>AND(tecantrop!R490,"AAAAAE7/zII=")</f>
        <v>#VALUE!</v>
      </c>
      <c r="EB155" t="e">
        <f>AND(tecantrop!S490,"AAAAAE7/zIM=")</f>
        <v>#VALUE!</v>
      </c>
      <c r="EC155" t="e">
        <f>AND(tecantrop!T490,"AAAAAE7/zIQ=")</f>
        <v>#VALUE!</v>
      </c>
      <c r="ED155" t="e">
        <f>AND(tecantrop!U490,"AAAAAE7/zIU=")</f>
        <v>#VALUE!</v>
      </c>
      <c r="EE155" t="e">
        <f>AND(tecantrop!V490,"AAAAAE7/zIY=")</f>
        <v>#VALUE!</v>
      </c>
      <c r="EF155" t="e">
        <f>AND(tecantrop!W490,"AAAAAE7/zIc=")</f>
        <v>#VALUE!</v>
      </c>
      <c r="EG155" t="e">
        <f>AND(tecantrop!X490,"AAAAAE7/zIg=")</f>
        <v>#VALUE!</v>
      </c>
      <c r="EH155">
        <f>IF(tecantrop!491:491,"AAAAAE7/zIk=",0)</f>
        <v>0</v>
      </c>
      <c r="EI155" t="e">
        <f>AND(tecantrop!A491,"AAAAAE7/zIo=")</f>
        <v>#VALUE!</v>
      </c>
      <c r="EJ155" t="e">
        <f>AND(tecantrop!B491,"AAAAAE7/zIs=")</f>
        <v>#VALUE!</v>
      </c>
      <c r="EK155" t="e">
        <f>AND(tecantrop!C491,"AAAAAE7/zIw=")</f>
        <v>#VALUE!</v>
      </c>
      <c r="EL155" t="e">
        <f>AND(tecantrop!D491,"AAAAAE7/zI0=")</f>
        <v>#VALUE!</v>
      </c>
      <c r="EM155" t="e">
        <f>AND(tecantrop!E491,"AAAAAE7/zI4=")</f>
        <v>#VALUE!</v>
      </c>
      <c r="EN155" t="e">
        <f>AND(tecantrop!F491,"AAAAAE7/zI8=")</f>
        <v>#VALUE!</v>
      </c>
      <c r="EO155" t="e">
        <f>AND(tecantrop!G491,"AAAAAE7/zJA=")</f>
        <v>#VALUE!</v>
      </c>
      <c r="EP155" t="e">
        <f>AND(tecantrop!H491,"AAAAAE7/zJE=")</f>
        <v>#VALUE!</v>
      </c>
      <c r="EQ155" t="e">
        <f>AND(tecantrop!I491,"AAAAAE7/zJI=")</f>
        <v>#VALUE!</v>
      </c>
      <c r="ER155" t="e">
        <f>AND(tecantrop!J491,"AAAAAE7/zJM=")</f>
        <v>#VALUE!</v>
      </c>
      <c r="ES155" t="e">
        <f>AND(tecantrop!K491,"AAAAAE7/zJQ=")</f>
        <v>#VALUE!</v>
      </c>
      <c r="ET155" t="e">
        <f>AND(tecantrop!L491,"AAAAAE7/zJU=")</f>
        <v>#VALUE!</v>
      </c>
      <c r="EU155" t="e">
        <f>AND(tecantrop!M491,"AAAAAE7/zJY=")</f>
        <v>#VALUE!</v>
      </c>
      <c r="EV155" t="e">
        <f>AND(tecantrop!N491,"AAAAAE7/zJc=")</f>
        <v>#VALUE!</v>
      </c>
      <c r="EW155" t="e">
        <f>AND(tecantrop!O491,"AAAAAE7/zJg=")</f>
        <v>#VALUE!</v>
      </c>
      <c r="EX155" t="e">
        <f>AND(tecantrop!P491,"AAAAAE7/zJk=")</f>
        <v>#VALUE!</v>
      </c>
      <c r="EY155" t="e">
        <f>AND(tecantrop!Q491,"AAAAAE7/zJo=")</f>
        <v>#VALUE!</v>
      </c>
      <c r="EZ155" t="e">
        <f>AND(tecantrop!R491,"AAAAAE7/zJs=")</f>
        <v>#VALUE!</v>
      </c>
      <c r="FA155" t="e">
        <f>AND(tecantrop!S491,"AAAAAE7/zJw=")</f>
        <v>#VALUE!</v>
      </c>
      <c r="FB155" t="e">
        <f>AND(tecantrop!T491,"AAAAAE7/zJ0=")</f>
        <v>#VALUE!</v>
      </c>
      <c r="FC155" t="e">
        <f>AND(tecantrop!U491,"AAAAAE7/zJ4=")</f>
        <v>#VALUE!</v>
      </c>
      <c r="FD155" t="e">
        <f>AND(tecantrop!V491,"AAAAAE7/zJ8=")</f>
        <v>#VALUE!</v>
      </c>
      <c r="FE155" t="e">
        <f>AND(tecantrop!W491,"AAAAAE7/zKA=")</f>
        <v>#VALUE!</v>
      </c>
      <c r="FF155" t="e">
        <f>AND(tecantrop!X491,"AAAAAE7/zKE=")</f>
        <v>#VALUE!</v>
      </c>
      <c r="FG155">
        <f>IF(tecantrop!492:492,"AAAAAE7/zKI=",0)</f>
        <v>0</v>
      </c>
      <c r="FH155" t="e">
        <f>AND(tecantrop!A492,"AAAAAE7/zKM=")</f>
        <v>#VALUE!</v>
      </c>
      <c r="FI155" t="e">
        <f>AND(tecantrop!B492,"AAAAAE7/zKQ=")</f>
        <v>#VALUE!</v>
      </c>
      <c r="FJ155" t="e">
        <f>AND(tecantrop!C492,"AAAAAE7/zKU=")</f>
        <v>#VALUE!</v>
      </c>
      <c r="FK155" t="e">
        <f>AND(tecantrop!D492,"AAAAAE7/zKY=")</f>
        <v>#VALUE!</v>
      </c>
      <c r="FL155" t="e">
        <f>AND(tecantrop!E492,"AAAAAE7/zKc=")</f>
        <v>#VALUE!</v>
      </c>
      <c r="FM155" t="e">
        <f>AND(tecantrop!F492,"AAAAAE7/zKg=")</f>
        <v>#VALUE!</v>
      </c>
      <c r="FN155" t="e">
        <f>AND(tecantrop!G492,"AAAAAE7/zKk=")</f>
        <v>#VALUE!</v>
      </c>
      <c r="FO155" t="e">
        <f>AND(tecantrop!H492,"AAAAAE7/zKo=")</f>
        <v>#VALUE!</v>
      </c>
      <c r="FP155" t="e">
        <f>AND(tecantrop!I492,"AAAAAE7/zKs=")</f>
        <v>#VALUE!</v>
      </c>
      <c r="FQ155" t="e">
        <f>AND(tecantrop!J492,"AAAAAE7/zKw=")</f>
        <v>#VALUE!</v>
      </c>
      <c r="FR155" t="e">
        <f>AND(tecantrop!K492,"AAAAAE7/zK0=")</f>
        <v>#VALUE!</v>
      </c>
      <c r="FS155" t="e">
        <f>AND(tecantrop!L492,"AAAAAE7/zK4=")</f>
        <v>#VALUE!</v>
      </c>
      <c r="FT155" t="e">
        <f>AND(tecantrop!M492,"AAAAAE7/zK8=")</f>
        <v>#VALUE!</v>
      </c>
      <c r="FU155" t="e">
        <f>AND(tecantrop!N492,"AAAAAE7/zLA=")</f>
        <v>#VALUE!</v>
      </c>
      <c r="FV155" t="e">
        <f>AND(tecantrop!O492,"AAAAAE7/zLE=")</f>
        <v>#VALUE!</v>
      </c>
      <c r="FW155" t="e">
        <f>AND(tecantrop!P492,"AAAAAE7/zLI=")</f>
        <v>#VALUE!</v>
      </c>
      <c r="FX155" t="e">
        <f>AND(tecantrop!Q492,"AAAAAE7/zLM=")</f>
        <v>#VALUE!</v>
      </c>
      <c r="FY155" t="e">
        <f>AND(tecantrop!R492,"AAAAAE7/zLQ=")</f>
        <v>#VALUE!</v>
      </c>
      <c r="FZ155" t="e">
        <f>AND(tecantrop!S492,"AAAAAE7/zLU=")</f>
        <v>#VALUE!</v>
      </c>
      <c r="GA155" t="e">
        <f>AND(tecantrop!T492,"AAAAAE7/zLY=")</f>
        <v>#VALUE!</v>
      </c>
      <c r="GB155" t="e">
        <f>AND(tecantrop!U492,"AAAAAE7/zLc=")</f>
        <v>#VALUE!</v>
      </c>
      <c r="GC155" t="e">
        <f>AND(tecantrop!V492,"AAAAAE7/zLg=")</f>
        <v>#VALUE!</v>
      </c>
      <c r="GD155" t="e">
        <f>AND(tecantrop!W492,"AAAAAE7/zLk=")</f>
        <v>#VALUE!</v>
      </c>
      <c r="GE155" t="e">
        <f>AND(tecantrop!X492,"AAAAAE7/zLo=")</f>
        <v>#VALUE!</v>
      </c>
      <c r="GF155">
        <f>IF(tecantrop!493:493,"AAAAAE7/zLs=",0)</f>
        <v>0</v>
      </c>
      <c r="GG155" t="e">
        <f>AND(tecantrop!A493,"AAAAAE7/zLw=")</f>
        <v>#VALUE!</v>
      </c>
      <c r="GH155" t="e">
        <f>AND(tecantrop!B493,"AAAAAE7/zL0=")</f>
        <v>#VALUE!</v>
      </c>
      <c r="GI155" t="e">
        <f>AND(tecantrop!C493,"AAAAAE7/zL4=")</f>
        <v>#VALUE!</v>
      </c>
      <c r="GJ155" t="e">
        <f>AND(tecantrop!D493,"AAAAAE7/zL8=")</f>
        <v>#VALUE!</v>
      </c>
      <c r="GK155" t="e">
        <f>AND(tecantrop!E493,"AAAAAE7/zMA=")</f>
        <v>#VALUE!</v>
      </c>
      <c r="GL155" t="e">
        <f>AND(tecantrop!F493,"AAAAAE7/zME=")</f>
        <v>#VALUE!</v>
      </c>
      <c r="GM155" t="e">
        <f>AND(tecantrop!G493,"AAAAAE7/zMI=")</f>
        <v>#VALUE!</v>
      </c>
      <c r="GN155" t="e">
        <f>AND(tecantrop!H493,"AAAAAE7/zMM=")</f>
        <v>#VALUE!</v>
      </c>
      <c r="GO155" t="e">
        <f>AND(tecantrop!I493,"AAAAAE7/zMQ=")</f>
        <v>#VALUE!</v>
      </c>
      <c r="GP155" t="e">
        <f>AND(tecantrop!J493,"AAAAAE7/zMU=")</f>
        <v>#VALUE!</v>
      </c>
      <c r="GQ155" t="e">
        <f>AND(tecantrop!K493,"AAAAAE7/zMY=")</f>
        <v>#VALUE!</v>
      </c>
      <c r="GR155" t="e">
        <f>AND(tecantrop!L493,"AAAAAE7/zMc=")</f>
        <v>#VALUE!</v>
      </c>
      <c r="GS155" t="e">
        <f>AND(tecantrop!M493,"AAAAAE7/zMg=")</f>
        <v>#VALUE!</v>
      </c>
      <c r="GT155" t="e">
        <f>AND(tecantrop!N493,"AAAAAE7/zMk=")</f>
        <v>#VALUE!</v>
      </c>
      <c r="GU155" t="e">
        <f>AND(tecantrop!O493,"AAAAAE7/zMo=")</f>
        <v>#VALUE!</v>
      </c>
      <c r="GV155" t="e">
        <f>AND(tecantrop!P493,"AAAAAE7/zMs=")</f>
        <v>#VALUE!</v>
      </c>
      <c r="GW155" t="e">
        <f>AND(tecantrop!Q493,"AAAAAE7/zMw=")</f>
        <v>#VALUE!</v>
      </c>
      <c r="GX155" t="e">
        <f>AND(tecantrop!R493,"AAAAAE7/zM0=")</f>
        <v>#VALUE!</v>
      </c>
      <c r="GY155" t="e">
        <f>AND(tecantrop!S493,"AAAAAE7/zM4=")</f>
        <v>#VALUE!</v>
      </c>
      <c r="GZ155" t="e">
        <f>AND(tecantrop!T493,"AAAAAE7/zM8=")</f>
        <v>#VALUE!</v>
      </c>
      <c r="HA155" t="e">
        <f>AND(tecantrop!U493,"AAAAAE7/zNA=")</f>
        <v>#VALUE!</v>
      </c>
      <c r="HB155" t="e">
        <f>AND(tecantrop!V493,"AAAAAE7/zNE=")</f>
        <v>#VALUE!</v>
      </c>
      <c r="HC155" t="e">
        <f>AND(tecantrop!W493,"AAAAAE7/zNI=")</f>
        <v>#VALUE!</v>
      </c>
      <c r="HD155" t="e">
        <f>AND(tecantrop!X493,"AAAAAE7/zNM=")</f>
        <v>#VALUE!</v>
      </c>
      <c r="HE155">
        <f>IF(tecantrop!494:494,"AAAAAE7/zNQ=",0)</f>
        <v>0</v>
      </c>
      <c r="HF155" t="e">
        <f>AND(tecantrop!A494,"AAAAAE7/zNU=")</f>
        <v>#VALUE!</v>
      </c>
      <c r="HG155" t="e">
        <f>AND(tecantrop!B494,"AAAAAE7/zNY=")</f>
        <v>#VALUE!</v>
      </c>
      <c r="HH155" t="e">
        <f>AND(tecantrop!C494,"AAAAAE7/zNc=")</f>
        <v>#VALUE!</v>
      </c>
      <c r="HI155" t="e">
        <f>AND(tecantrop!D494,"AAAAAE7/zNg=")</f>
        <v>#VALUE!</v>
      </c>
      <c r="HJ155" t="e">
        <f>AND(tecantrop!E494,"AAAAAE7/zNk=")</f>
        <v>#VALUE!</v>
      </c>
      <c r="HK155" t="e">
        <f>AND(tecantrop!F494,"AAAAAE7/zNo=")</f>
        <v>#VALUE!</v>
      </c>
      <c r="HL155" t="e">
        <f>AND(tecantrop!G494,"AAAAAE7/zNs=")</f>
        <v>#VALUE!</v>
      </c>
      <c r="HM155" t="e">
        <f>AND(tecantrop!H494,"AAAAAE7/zNw=")</f>
        <v>#VALUE!</v>
      </c>
      <c r="HN155" t="e">
        <f>AND(tecantrop!I494,"AAAAAE7/zN0=")</f>
        <v>#VALUE!</v>
      </c>
      <c r="HO155" t="e">
        <f>AND(tecantrop!J494,"AAAAAE7/zN4=")</f>
        <v>#VALUE!</v>
      </c>
      <c r="HP155" t="e">
        <f>AND(tecantrop!K494,"AAAAAE7/zN8=")</f>
        <v>#VALUE!</v>
      </c>
      <c r="HQ155" t="e">
        <f>AND(tecantrop!L494,"AAAAAE7/zOA=")</f>
        <v>#VALUE!</v>
      </c>
      <c r="HR155" t="e">
        <f>AND(tecantrop!M494,"AAAAAE7/zOE=")</f>
        <v>#VALUE!</v>
      </c>
      <c r="HS155" t="e">
        <f>AND(tecantrop!N494,"AAAAAE7/zOI=")</f>
        <v>#VALUE!</v>
      </c>
      <c r="HT155" t="e">
        <f>AND(tecantrop!O494,"AAAAAE7/zOM=")</f>
        <v>#VALUE!</v>
      </c>
      <c r="HU155" t="e">
        <f>AND(tecantrop!P494,"AAAAAE7/zOQ=")</f>
        <v>#VALUE!</v>
      </c>
      <c r="HV155" t="e">
        <f>AND(tecantrop!Q494,"AAAAAE7/zOU=")</f>
        <v>#VALUE!</v>
      </c>
      <c r="HW155" t="e">
        <f>AND(tecantrop!R494,"AAAAAE7/zOY=")</f>
        <v>#VALUE!</v>
      </c>
      <c r="HX155" t="e">
        <f>AND(tecantrop!S494,"AAAAAE7/zOc=")</f>
        <v>#VALUE!</v>
      </c>
      <c r="HY155" t="e">
        <f>AND(tecantrop!T494,"AAAAAE7/zOg=")</f>
        <v>#VALUE!</v>
      </c>
      <c r="HZ155" t="e">
        <f>AND(tecantrop!U494,"AAAAAE7/zOk=")</f>
        <v>#VALUE!</v>
      </c>
      <c r="IA155" t="e">
        <f>AND(tecantrop!V494,"AAAAAE7/zOo=")</f>
        <v>#VALUE!</v>
      </c>
      <c r="IB155" t="e">
        <f>AND(tecantrop!W494,"AAAAAE7/zOs=")</f>
        <v>#VALUE!</v>
      </c>
      <c r="IC155" t="e">
        <f>AND(tecantrop!X494,"AAAAAE7/zOw=")</f>
        <v>#VALUE!</v>
      </c>
      <c r="ID155">
        <f>IF(tecantrop!495:495,"AAAAAE7/zO0=",0)</f>
        <v>0</v>
      </c>
      <c r="IE155" t="e">
        <f>AND(tecantrop!A495,"AAAAAE7/zO4=")</f>
        <v>#VALUE!</v>
      </c>
      <c r="IF155" t="e">
        <f>AND(tecantrop!B495,"AAAAAE7/zO8=")</f>
        <v>#VALUE!</v>
      </c>
      <c r="IG155" t="e">
        <f>AND(tecantrop!C495,"AAAAAE7/zPA=")</f>
        <v>#VALUE!</v>
      </c>
      <c r="IH155" t="e">
        <f>AND(tecantrop!D495,"AAAAAE7/zPE=")</f>
        <v>#VALUE!</v>
      </c>
      <c r="II155" t="e">
        <f>AND(tecantrop!E495,"AAAAAE7/zPI=")</f>
        <v>#VALUE!</v>
      </c>
      <c r="IJ155" t="e">
        <f>AND(tecantrop!F495,"AAAAAE7/zPM=")</f>
        <v>#VALUE!</v>
      </c>
      <c r="IK155" t="e">
        <f>AND(tecantrop!G495,"AAAAAE7/zPQ=")</f>
        <v>#VALUE!</v>
      </c>
      <c r="IL155" t="e">
        <f>AND(tecantrop!H495,"AAAAAE7/zPU=")</f>
        <v>#VALUE!</v>
      </c>
      <c r="IM155" t="e">
        <f>AND(tecantrop!I495,"AAAAAE7/zPY=")</f>
        <v>#VALUE!</v>
      </c>
      <c r="IN155" t="e">
        <f>AND(tecantrop!J495,"AAAAAE7/zPc=")</f>
        <v>#VALUE!</v>
      </c>
      <c r="IO155" t="e">
        <f>AND(tecantrop!K495,"AAAAAE7/zPg=")</f>
        <v>#VALUE!</v>
      </c>
      <c r="IP155" t="e">
        <f>AND(tecantrop!L495,"AAAAAE7/zPk=")</f>
        <v>#VALUE!</v>
      </c>
      <c r="IQ155" t="e">
        <f>AND(tecantrop!M495,"AAAAAE7/zPo=")</f>
        <v>#VALUE!</v>
      </c>
      <c r="IR155" t="e">
        <f>AND(tecantrop!N495,"AAAAAE7/zPs=")</f>
        <v>#VALUE!</v>
      </c>
      <c r="IS155" t="e">
        <f>AND(tecantrop!O495,"AAAAAE7/zPw=")</f>
        <v>#VALUE!</v>
      </c>
      <c r="IT155" t="e">
        <f>AND(tecantrop!P495,"AAAAAE7/zP0=")</f>
        <v>#VALUE!</v>
      </c>
      <c r="IU155" t="e">
        <f>AND(tecantrop!Q495,"AAAAAE7/zP4=")</f>
        <v>#VALUE!</v>
      </c>
      <c r="IV155" t="e">
        <f>AND(tecantrop!R495,"AAAAAE7/zP8=")</f>
        <v>#VALUE!</v>
      </c>
    </row>
    <row r="156" spans="1:256" x14ac:dyDescent="0.2">
      <c r="A156" t="e">
        <f>AND(tecantrop!S495,"AAAAAD220AA=")</f>
        <v>#VALUE!</v>
      </c>
      <c r="B156" t="e">
        <f>AND(tecantrop!T495,"AAAAAD220AE=")</f>
        <v>#VALUE!</v>
      </c>
      <c r="C156" t="e">
        <f>AND(tecantrop!U495,"AAAAAD220AI=")</f>
        <v>#VALUE!</v>
      </c>
      <c r="D156" t="e">
        <f>AND(tecantrop!V495,"AAAAAD220AM=")</f>
        <v>#VALUE!</v>
      </c>
      <c r="E156" t="e">
        <f>AND(tecantrop!W495,"AAAAAD220AQ=")</f>
        <v>#VALUE!</v>
      </c>
      <c r="F156" t="e">
        <f>AND(tecantrop!X495,"AAAAAD220AU=")</f>
        <v>#VALUE!</v>
      </c>
      <c r="G156">
        <f>IF(tecantrop!496:496,"AAAAAD220AY=",0)</f>
        <v>0</v>
      </c>
      <c r="H156" t="e">
        <f>AND(tecantrop!A496,"AAAAAD220Ac=")</f>
        <v>#VALUE!</v>
      </c>
      <c r="I156" t="e">
        <f>AND(tecantrop!B496,"AAAAAD220Ag=")</f>
        <v>#VALUE!</v>
      </c>
      <c r="J156" t="e">
        <f>AND(tecantrop!C496,"AAAAAD220Ak=")</f>
        <v>#VALUE!</v>
      </c>
      <c r="K156" t="e">
        <f>AND(tecantrop!D496,"AAAAAD220Ao=")</f>
        <v>#VALUE!</v>
      </c>
      <c r="L156" t="e">
        <f>AND(tecantrop!E496,"AAAAAD220As=")</f>
        <v>#VALUE!</v>
      </c>
      <c r="M156" t="e">
        <f>AND(tecantrop!F496,"AAAAAD220Aw=")</f>
        <v>#VALUE!</v>
      </c>
      <c r="N156" t="e">
        <f>AND(tecantrop!G496,"AAAAAD220A0=")</f>
        <v>#VALUE!</v>
      </c>
      <c r="O156" t="e">
        <f>AND(tecantrop!H496,"AAAAAD220A4=")</f>
        <v>#VALUE!</v>
      </c>
      <c r="P156" t="e">
        <f>AND(tecantrop!I496,"AAAAAD220A8=")</f>
        <v>#VALUE!</v>
      </c>
      <c r="Q156" t="e">
        <f>AND(tecantrop!J496,"AAAAAD220BA=")</f>
        <v>#VALUE!</v>
      </c>
      <c r="R156" t="e">
        <f>AND(tecantrop!K496,"AAAAAD220BE=")</f>
        <v>#VALUE!</v>
      </c>
      <c r="S156" t="e">
        <f>AND(tecantrop!L496,"AAAAAD220BI=")</f>
        <v>#VALUE!</v>
      </c>
      <c r="T156" t="e">
        <f>AND(tecantrop!M496,"AAAAAD220BM=")</f>
        <v>#VALUE!</v>
      </c>
      <c r="U156" t="e">
        <f>AND(tecantrop!N496,"AAAAAD220BQ=")</f>
        <v>#VALUE!</v>
      </c>
      <c r="V156" t="e">
        <f>AND(tecantrop!O496,"AAAAAD220BU=")</f>
        <v>#VALUE!</v>
      </c>
      <c r="W156" t="e">
        <f>AND(tecantrop!P496,"AAAAAD220BY=")</f>
        <v>#VALUE!</v>
      </c>
      <c r="X156" t="e">
        <f>AND(tecantrop!Q496,"AAAAAD220Bc=")</f>
        <v>#VALUE!</v>
      </c>
      <c r="Y156" t="e">
        <f>AND(tecantrop!R496,"AAAAAD220Bg=")</f>
        <v>#VALUE!</v>
      </c>
      <c r="Z156" t="e">
        <f>AND(tecantrop!S496,"AAAAAD220Bk=")</f>
        <v>#VALUE!</v>
      </c>
      <c r="AA156" t="e">
        <f>AND(tecantrop!T496,"AAAAAD220Bo=")</f>
        <v>#VALUE!</v>
      </c>
      <c r="AB156" t="e">
        <f>AND(tecantrop!U496,"AAAAAD220Bs=")</f>
        <v>#VALUE!</v>
      </c>
      <c r="AC156" t="e">
        <f>AND(tecantrop!V496,"AAAAAD220Bw=")</f>
        <v>#VALUE!</v>
      </c>
      <c r="AD156" t="e">
        <f>AND(tecantrop!W496,"AAAAAD220B0=")</f>
        <v>#VALUE!</v>
      </c>
      <c r="AE156" t="e">
        <f>AND(tecantrop!X496,"AAAAAD220B4=")</f>
        <v>#VALUE!</v>
      </c>
      <c r="AF156">
        <f>IF(tecantrop!497:497,"AAAAAD220B8=",0)</f>
        <v>0</v>
      </c>
      <c r="AG156" t="e">
        <f>AND(tecantrop!A497,"AAAAAD220CA=")</f>
        <v>#VALUE!</v>
      </c>
      <c r="AH156" t="e">
        <f>AND(tecantrop!B497,"AAAAAD220CE=")</f>
        <v>#VALUE!</v>
      </c>
      <c r="AI156" t="e">
        <f>AND(tecantrop!C497,"AAAAAD220CI=")</f>
        <v>#VALUE!</v>
      </c>
      <c r="AJ156" t="e">
        <f>AND(tecantrop!D497,"AAAAAD220CM=")</f>
        <v>#VALUE!</v>
      </c>
      <c r="AK156" t="e">
        <f>AND(tecantrop!E497,"AAAAAD220CQ=")</f>
        <v>#VALUE!</v>
      </c>
      <c r="AL156" t="e">
        <f>AND(tecantrop!F497,"AAAAAD220CU=")</f>
        <v>#VALUE!</v>
      </c>
      <c r="AM156" t="e">
        <f>AND(tecantrop!G497,"AAAAAD220CY=")</f>
        <v>#VALUE!</v>
      </c>
      <c r="AN156" t="e">
        <f>AND(tecantrop!H497,"AAAAAD220Cc=")</f>
        <v>#VALUE!</v>
      </c>
      <c r="AO156" t="e">
        <f>AND(tecantrop!I497,"AAAAAD220Cg=")</f>
        <v>#VALUE!</v>
      </c>
      <c r="AP156" t="e">
        <f>AND(tecantrop!J497,"AAAAAD220Ck=")</f>
        <v>#VALUE!</v>
      </c>
      <c r="AQ156" t="e">
        <f>AND(tecantrop!K497,"AAAAAD220Co=")</f>
        <v>#VALUE!</v>
      </c>
      <c r="AR156" t="e">
        <f>AND(tecantrop!L497,"AAAAAD220Cs=")</f>
        <v>#VALUE!</v>
      </c>
      <c r="AS156" t="e">
        <f>AND(tecantrop!M497,"AAAAAD220Cw=")</f>
        <v>#VALUE!</v>
      </c>
      <c r="AT156" t="e">
        <f>AND(tecantrop!N497,"AAAAAD220C0=")</f>
        <v>#VALUE!</v>
      </c>
      <c r="AU156" t="e">
        <f>AND(tecantrop!O497,"AAAAAD220C4=")</f>
        <v>#VALUE!</v>
      </c>
      <c r="AV156" t="e">
        <f>AND(tecantrop!P497,"AAAAAD220C8=")</f>
        <v>#VALUE!</v>
      </c>
      <c r="AW156" t="e">
        <f>AND(tecantrop!Q497,"AAAAAD220DA=")</f>
        <v>#VALUE!</v>
      </c>
      <c r="AX156" t="e">
        <f>AND(tecantrop!R497,"AAAAAD220DE=")</f>
        <v>#VALUE!</v>
      </c>
      <c r="AY156" t="e">
        <f>AND(tecantrop!S497,"AAAAAD220DI=")</f>
        <v>#VALUE!</v>
      </c>
      <c r="AZ156" t="e">
        <f>AND(tecantrop!T497,"AAAAAD220DM=")</f>
        <v>#VALUE!</v>
      </c>
      <c r="BA156" t="e">
        <f>AND(tecantrop!U497,"AAAAAD220DQ=")</f>
        <v>#VALUE!</v>
      </c>
      <c r="BB156" t="e">
        <f>AND(tecantrop!V497,"AAAAAD220DU=")</f>
        <v>#VALUE!</v>
      </c>
      <c r="BC156" t="e">
        <f>AND(tecantrop!W497,"AAAAAD220DY=")</f>
        <v>#VALUE!</v>
      </c>
      <c r="BD156" t="e">
        <f>AND(tecantrop!X497,"AAAAAD220Dc=")</f>
        <v>#VALUE!</v>
      </c>
      <c r="BE156">
        <f>IF(tecantrop!498:498,"AAAAAD220Dg=",0)</f>
        <v>0</v>
      </c>
      <c r="BF156" t="e">
        <f>AND(tecantrop!A498,"AAAAAD220Dk=")</f>
        <v>#VALUE!</v>
      </c>
      <c r="BG156" t="e">
        <f>AND(tecantrop!B498,"AAAAAD220Do=")</f>
        <v>#VALUE!</v>
      </c>
      <c r="BH156" t="e">
        <f>AND(tecantrop!C498,"AAAAAD220Ds=")</f>
        <v>#VALUE!</v>
      </c>
      <c r="BI156" t="e">
        <f>AND(tecantrop!D498,"AAAAAD220Dw=")</f>
        <v>#VALUE!</v>
      </c>
      <c r="BJ156" t="e">
        <f>AND(tecantrop!E498,"AAAAAD220D0=")</f>
        <v>#VALUE!</v>
      </c>
      <c r="BK156" t="e">
        <f>AND(tecantrop!F498,"AAAAAD220D4=")</f>
        <v>#VALUE!</v>
      </c>
      <c r="BL156" t="e">
        <f>AND(tecantrop!G498,"AAAAAD220D8=")</f>
        <v>#VALUE!</v>
      </c>
      <c r="BM156" t="e">
        <f>AND(tecantrop!H498,"AAAAAD220EA=")</f>
        <v>#VALUE!</v>
      </c>
      <c r="BN156" t="e">
        <f>AND(tecantrop!I498,"AAAAAD220EE=")</f>
        <v>#VALUE!</v>
      </c>
      <c r="BO156" t="e">
        <f>AND(tecantrop!J498,"AAAAAD220EI=")</f>
        <v>#VALUE!</v>
      </c>
      <c r="BP156" t="e">
        <f>AND(tecantrop!K498,"AAAAAD220EM=")</f>
        <v>#VALUE!</v>
      </c>
      <c r="BQ156" t="e">
        <f>AND(tecantrop!L498,"AAAAAD220EQ=")</f>
        <v>#VALUE!</v>
      </c>
      <c r="BR156" t="e">
        <f>AND(tecantrop!M498,"AAAAAD220EU=")</f>
        <v>#VALUE!</v>
      </c>
      <c r="BS156" t="e">
        <f>AND(tecantrop!N498,"AAAAAD220EY=")</f>
        <v>#VALUE!</v>
      </c>
      <c r="BT156" t="e">
        <f>AND(tecantrop!O498,"AAAAAD220Ec=")</f>
        <v>#VALUE!</v>
      </c>
      <c r="BU156" t="e">
        <f>AND(tecantrop!P498,"AAAAAD220Eg=")</f>
        <v>#VALUE!</v>
      </c>
      <c r="BV156" t="e">
        <f>AND(tecantrop!Q498,"AAAAAD220Ek=")</f>
        <v>#VALUE!</v>
      </c>
      <c r="BW156" t="e">
        <f>AND(tecantrop!R498,"AAAAAD220Eo=")</f>
        <v>#VALUE!</v>
      </c>
      <c r="BX156" t="e">
        <f>AND(tecantrop!S498,"AAAAAD220Es=")</f>
        <v>#VALUE!</v>
      </c>
      <c r="BY156" t="e">
        <f>AND(tecantrop!T498,"AAAAAD220Ew=")</f>
        <v>#VALUE!</v>
      </c>
      <c r="BZ156" t="e">
        <f>AND(tecantrop!U498,"AAAAAD220E0=")</f>
        <v>#VALUE!</v>
      </c>
      <c r="CA156" t="e">
        <f>AND(tecantrop!V498,"AAAAAD220E4=")</f>
        <v>#VALUE!</v>
      </c>
      <c r="CB156" t="e">
        <f>AND(tecantrop!W498,"AAAAAD220E8=")</f>
        <v>#VALUE!</v>
      </c>
      <c r="CC156" t="e">
        <f>AND(tecantrop!X498,"AAAAAD220FA=")</f>
        <v>#VALUE!</v>
      </c>
      <c r="CD156">
        <f>IF(tecantrop!499:499,"AAAAAD220FE=",0)</f>
        <v>0</v>
      </c>
      <c r="CE156" t="e">
        <f>AND(tecantrop!A499,"AAAAAD220FI=")</f>
        <v>#VALUE!</v>
      </c>
      <c r="CF156" t="e">
        <f>AND(tecantrop!B499,"AAAAAD220FM=")</f>
        <v>#VALUE!</v>
      </c>
      <c r="CG156" t="e">
        <f>AND(tecantrop!C499,"AAAAAD220FQ=")</f>
        <v>#VALUE!</v>
      </c>
      <c r="CH156" t="e">
        <f>AND(tecantrop!D499,"AAAAAD220FU=")</f>
        <v>#VALUE!</v>
      </c>
      <c r="CI156" t="e">
        <f>AND(tecantrop!E499,"AAAAAD220FY=")</f>
        <v>#VALUE!</v>
      </c>
      <c r="CJ156" t="e">
        <f>AND(tecantrop!F499,"AAAAAD220Fc=")</f>
        <v>#VALUE!</v>
      </c>
      <c r="CK156" t="e">
        <f>AND(tecantrop!G499,"AAAAAD220Fg=")</f>
        <v>#VALUE!</v>
      </c>
      <c r="CL156" t="e">
        <f>AND(tecantrop!H499,"AAAAAD220Fk=")</f>
        <v>#VALUE!</v>
      </c>
      <c r="CM156" t="e">
        <f>AND(tecantrop!I499,"AAAAAD220Fo=")</f>
        <v>#VALUE!</v>
      </c>
      <c r="CN156" t="e">
        <f>AND(tecantrop!J499,"AAAAAD220Fs=")</f>
        <v>#VALUE!</v>
      </c>
      <c r="CO156" t="e">
        <f>AND(tecantrop!K499,"AAAAAD220Fw=")</f>
        <v>#VALUE!</v>
      </c>
      <c r="CP156" t="e">
        <f>AND(tecantrop!L499,"AAAAAD220F0=")</f>
        <v>#VALUE!</v>
      </c>
      <c r="CQ156" t="e">
        <f>AND(tecantrop!M499,"AAAAAD220F4=")</f>
        <v>#VALUE!</v>
      </c>
      <c r="CR156" t="e">
        <f>AND(tecantrop!N499,"AAAAAD220F8=")</f>
        <v>#VALUE!</v>
      </c>
      <c r="CS156" t="e">
        <f>AND(tecantrop!O499,"AAAAAD220GA=")</f>
        <v>#VALUE!</v>
      </c>
      <c r="CT156" t="e">
        <f>AND(tecantrop!P499,"AAAAAD220GE=")</f>
        <v>#VALUE!</v>
      </c>
      <c r="CU156" t="e">
        <f>AND(tecantrop!Q499,"AAAAAD220GI=")</f>
        <v>#VALUE!</v>
      </c>
      <c r="CV156" t="e">
        <f>AND(tecantrop!R499,"AAAAAD220GM=")</f>
        <v>#VALUE!</v>
      </c>
      <c r="CW156" t="e">
        <f>AND(tecantrop!S499,"AAAAAD220GQ=")</f>
        <v>#VALUE!</v>
      </c>
      <c r="CX156" t="e">
        <f>AND(tecantrop!T499,"AAAAAD220GU=")</f>
        <v>#VALUE!</v>
      </c>
      <c r="CY156" t="e">
        <f>AND(tecantrop!U499,"AAAAAD220GY=")</f>
        <v>#VALUE!</v>
      </c>
      <c r="CZ156" t="e">
        <f>AND(tecantrop!V499,"AAAAAD220Gc=")</f>
        <v>#VALUE!</v>
      </c>
      <c r="DA156" t="e">
        <f>AND(tecantrop!W499,"AAAAAD220Gg=")</f>
        <v>#VALUE!</v>
      </c>
      <c r="DB156" t="e">
        <f>AND(tecantrop!X499,"AAAAAD220Gk=")</f>
        <v>#VALUE!</v>
      </c>
      <c r="DC156">
        <f>IF(tecantrop!500:500,"AAAAAD220Go=",0)</f>
        <v>0</v>
      </c>
      <c r="DD156" t="e">
        <f>AND(tecantrop!A500,"AAAAAD220Gs=")</f>
        <v>#VALUE!</v>
      </c>
      <c r="DE156" t="e">
        <f>AND(tecantrop!B500,"AAAAAD220Gw=")</f>
        <v>#VALUE!</v>
      </c>
      <c r="DF156" t="e">
        <f>AND(tecantrop!C500,"AAAAAD220G0=")</f>
        <v>#VALUE!</v>
      </c>
      <c r="DG156" t="e">
        <f>AND(tecantrop!D500,"AAAAAD220G4=")</f>
        <v>#VALUE!</v>
      </c>
      <c r="DH156" t="e">
        <f>AND(tecantrop!E500,"AAAAAD220G8=")</f>
        <v>#VALUE!</v>
      </c>
      <c r="DI156" t="e">
        <f>AND(tecantrop!F500,"AAAAAD220HA=")</f>
        <v>#VALUE!</v>
      </c>
      <c r="DJ156" t="e">
        <f>AND(tecantrop!G500,"AAAAAD220HE=")</f>
        <v>#VALUE!</v>
      </c>
      <c r="DK156" t="e">
        <f>AND(tecantrop!H500,"AAAAAD220HI=")</f>
        <v>#VALUE!</v>
      </c>
      <c r="DL156" t="e">
        <f>AND(tecantrop!I500,"AAAAAD220HM=")</f>
        <v>#VALUE!</v>
      </c>
      <c r="DM156" t="e">
        <f>AND(tecantrop!J500,"AAAAAD220HQ=")</f>
        <v>#VALUE!</v>
      </c>
      <c r="DN156" t="e">
        <f>AND(tecantrop!K500,"AAAAAD220HU=")</f>
        <v>#VALUE!</v>
      </c>
      <c r="DO156" t="e">
        <f>AND(tecantrop!L500,"AAAAAD220HY=")</f>
        <v>#VALUE!</v>
      </c>
      <c r="DP156" t="e">
        <f>AND(tecantrop!M500,"AAAAAD220Hc=")</f>
        <v>#VALUE!</v>
      </c>
      <c r="DQ156" t="e">
        <f>AND(tecantrop!N500,"AAAAAD220Hg=")</f>
        <v>#VALUE!</v>
      </c>
      <c r="DR156" t="e">
        <f>AND(tecantrop!O500,"AAAAAD220Hk=")</f>
        <v>#VALUE!</v>
      </c>
      <c r="DS156" t="e">
        <f>AND(tecantrop!P500,"AAAAAD220Ho=")</f>
        <v>#VALUE!</v>
      </c>
      <c r="DT156" t="e">
        <f>AND(tecantrop!Q500,"AAAAAD220Hs=")</f>
        <v>#VALUE!</v>
      </c>
      <c r="DU156" t="e">
        <f>AND(tecantrop!R500,"AAAAAD220Hw=")</f>
        <v>#VALUE!</v>
      </c>
      <c r="DV156" t="e">
        <f>AND(tecantrop!S500,"AAAAAD220H0=")</f>
        <v>#VALUE!</v>
      </c>
      <c r="DW156" t="e">
        <f>AND(tecantrop!T500,"AAAAAD220H4=")</f>
        <v>#VALUE!</v>
      </c>
      <c r="DX156" t="e">
        <f>AND(tecantrop!U500,"AAAAAD220H8=")</f>
        <v>#VALUE!</v>
      </c>
      <c r="DY156" t="e">
        <f>AND(tecantrop!V500,"AAAAAD220IA=")</f>
        <v>#VALUE!</v>
      </c>
      <c r="DZ156" t="e">
        <f>AND(tecantrop!W500,"AAAAAD220IE=")</f>
        <v>#VALUE!</v>
      </c>
      <c r="EA156" t="e">
        <f>AND(tecantrop!X500,"AAAAAD220II=")</f>
        <v>#VALUE!</v>
      </c>
      <c r="EB156">
        <f>IF(tecantrop!501:501,"AAAAAD220IM=",0)</f>
        <v>0</v>
      </c>
      <c r="EC156" t="e">
        <f>AND(tecantrop!A501,"AAAAAD220IQ=")</f>
        <v>#VALUE!</v>
      </c>
      <c r="ED156" t="e">
        <f>AND(tecantrop!B501,"AAAAAD220IU=")</f>
        <v>#VALUE!</v>
      </c>
      <c r="EE156" t="e">
        <f>AND(tecantrop!C501,"AAAAAD220IY=")</f>
        <v>#VALUE!</v>
      </c>
      <c r="EF156" t="e">
        <f>AND(tecantrop!D501,"AAAAAD220Ic=")</f>
        <v>#VALUE!</v>
      </c>
      <c r="EG156" t="e">
        <f>AND(tecantrop!E501,"AAAAAD220Ig=")</f>
        <v>#VALUE!</v>
      </c>
      <c r="EH156" t="e">
        <f>AND(tecantrop!F501,"AAAAAD220Ik=")</f>
        <v>#VALUE!</v>
      </c>
      <c r="EI156" t="e">
        <f>AND(tecantrop!G501,"AAAAAD220Io=")</f>
        <v>#VALUE!</v>
      </c>
      <c r="EJ156" t="e">
        <f>AND(tecantrop!H501,"AAAAAD220Is=")</f>
        <v>#VALUE!</v>
      </c>
      <c r="EK156" t="e">
        <f>AND(tecantrop!I501,"AAAAAD220Iw=")</f>
        <v>#VALUE!</v>
      </c>
      <c r="EL156" t="e">
        <f>AND(tecantrop!J501,"AAAAAD220I0=")</f>
        <v>#VALUE!</v>
      </c>
      <c r="EM156" t="e">
        <f>AND(tecantrop!K501,"AAAAAD220I4=")</f>
        <v>#VALUE!</v>
      </c>
      <c r="EN156" t="e">
        <f>AND(tecantrop!L501,"AAAAAD220I8=")</f>
        <v>#VALUE!</v>
      </c>
      <c r="EO156" t="e">
        <f>AND(tecantrop!M501,"AAAAAD220JA=")</f>
        <v>#VALUE!</v>
      </c>
      <c r="EP156" t="e">
        <f>AND(tecantrop!N501,"AAAAAD220JE=")</f>
        <v>#VALUE!</v>
      </c>
      <c r="EQ156" t="e">
        <f>AND(tecantrop!O501,"AAAAAD220JI=")</f>
        <v>#VALUE!</v>
      </c>
      <c r="ER156" t="e">
        <f>AND(tecantrop!P501,"AAAAAD220JM=")</f>
        <v>#VALUE!</v>
      </c>
      <c r="ES156" t="e">
        <f>AND(tecantrop!Q501,"AAAAAD220JQ=")</f>
        <v>#VALUE!</v>
      </c>
      <c r="ET156" t="e">
        <f>AND(tecantrop!R501,"AAAAAD220JU=")</f>
        <v>#VALUE!</v>
      </c>
      <c r="EU156" t="e">
        <f>AND(tecantrop!S501,"AAAAAD220JY=")</f>
        <v>#VALUE!</v>
      </c>
      <c r="EV156" t="e">
        <f>AND(tecantrop!T501,"AAAAAD220Jc=")</f>
        <v>#VALUE!</v>
      </c>
      <c r="EW156" t="e">
        <f>AND(tecantrop!U501,"AAAAAD220Jg=")</f>
        <v>#VALUE!</v>
      </c>
      <c r="EX156" t="e">
        <f>AND(tecantrop!V501,"AAAAAD220Jk=")</f>
        <v>#VALUE!</v>
      </c>
      <c r="EY156" t="e">
        <f>AND(tecantrop!W501,"AAAAAD220Jo=")</f>
        <v>#VALUE!</v>
      </c>
      <c r="EZ156" t="e">
        <f>AND(tecantrop!X501,"AAAAAD220Js=")</f>
        <v>#VALUE!</v>
      </c>
      <c r="FA156">
        <f>IF(tecantrop!502:502,"AAAAAD220Jw=",0)</f>
        <v>0</v>
      </c>
      <c r="FB156" t="e">
        <f>AND(tecantrop!A502,"AAAAAD220J0=")</f>
        <v>#VALUE!</v>
      </c>
      <c r="FC156" t="e">
        <f>AND(tecantrop!B502,"AAAAAD220J4=")</f>
        <v>#VALUE!</v>
      </c>
      <c r="FD156" t="e">
        <f>AND(tecantrop!C502,"AAAAAD220J8=")</f>
        <v>#VALUE!</v>
      </c>
      <c r="FE156" t="e">
        <f>AND(tecantrop!D502,"AAAAAD220KA=")</f>
        <v>#VALUE!</v>
      </c>
      <c r="FF156" t="e">
        <f>AND(tecantrop!E502,"AAAAAD220KE=")</f>
        <v>#VALUE!</v>
      </c>
      <c r="FG156" t="e">
        <f>AND(tecantrop!F502,"AAAAAD220KI=")</f>
        <v>#VALUE!</v>
      </c>
      <c r="FH156" t="e">
        <f>AND(tecantrop!G502,"AAAAAD220KM=")</f>
        <v>#VALUE!</v>
      </c>
      <c r="FI156" t="e">
        <f>AND(tecantrop!H502,"AAAAAD220KQ=")</f>
        <v>#VALUE!</v>
      </c>
      <c r="FJ156" t="e">
        <f>AND(tecantrop!I502,"AAAAAD220KU=")</f>
        <v>#VALUE!</v>
      </c>
      <c r="FK156" t="e">
        <f>AND(tecantrop!J502,"AAAAAD220KY=")</f>
        <v>#VALUE!</v>
      </c>
      <c r="FL156" t="e">
        <f>AND(tecantrop!K502,"AAAAAD220Kc=")</f>
        <v>#VALUE!</v>
      </c>
      <c r="FM156" t="e">
        <f>AND(tecantrop!L502,"AAAAAD220Kg=")</f>
        <v>#VALUE!</v>
      </c>
      <c r="FN156" t="e">
        <f>AND(tecantrop!M502,"AAAAAD220Kk=")</f>
        <v>#VALUE!</v>
      </c>
      <c r="FO156" t="e">
        <f>AND(tecantrop!N502,"AAAAAD220Ko=")</f>
        <v>#VALUE!</v>
      </c>
      <c r="FP156" t="e">
        <f>AND(tecantrop!O502,"AAAAAD220Ks=")</f>
        <v>#VALUE!</v>
      </c>
      <c r="FQ156" t="e">
        <f>AND(tecantrop!P502,"AAAAAD220Kw=")</f>
        <v>#VALUE!</v>
      </c>
      <c r="FR156" t="e">
        <f>AND(tecantrop!Q502,"AAAAAD220K0=")</f>
        <v>#VALUE!</v>
      </c>
      <c r="FS156" t="e">
        <f>AND(tecantrop!R502,"AAAAAD220K4=")</f>
        <v>#VALUE!</v>
      </c>
      <c r="FT156" t="e">
        <f>AND(tecantrop!S502,"AAAAAD220K8=")</f>
        <v>#VALUE!</v>
      </c>
      <c r="FU156" t="e">
        <f>AND(tecantrop!T502,"AAAAAD220LA=")</f>
        <v>#VALUE!</v>
      </c>
      <c r="FV156" t="e">
        <f>AND(tecantrop!U502,"AAAAAD220LE=")</f>
        <v>#VALUE!</v>
      </c>
      <c r="FW156" t="e">
        <f>AND(tecantrop!V502,"AAAAAD220LI=")</f>
        <v>#VALUE!</v>
      </c>
      <c r="FX156" t="e">
        <f>AND(tecantrop!W502,"AAAAAD220LM=")</f>
        <v>#VALUE!</v>
      </c>
      <c r="FY156" t="e">
        <f>AND(tecantrop!X502,"AAAAAD220LQ=")</f>
        <v>#VALUE!</v>
      </c>
      <c r="FZ156">
        <f>IF(tecantrop!503:503,"AAAAAD220LU=",0)</f>
        <v>0</v>
      </c>
      <c r="GA156" t="e">
        <f>AND(tecantrop!A503,"AAAAAD220LY=")</f>
        <v>#VALUE!</v>
      </c>
      <c r="GB156" t="e">
        <f>AND(tecantrop!B503,"AAAAAD220Lc=")</f>
        <v>#VALUE!</v>
      </c>
      <c r="GC156" t="e">
        <f>AND(tecantrop!C503,"AAAAAD220Lg=")</f>
        <v>#VALUE!</v>
      </c>
      <c r="GD156" t="e">
        <f>AND(tecantrop!D503,"AAAAAD220Lk=")</f>
        <v>#VALUE!</v>
      </c>
      <c r="GE156" t="e">
        <f>AND(tecantrop!E503,"AAAAAD220Lo=")</f>
        <v>#VALUE!</v>
      </c>
      <c r="GF156" t="e">
        <f>AND(tecantrop!F503,"AAAAAD220Ls=")</f>
        <v>#VALUE!</v>
      </c>
      <c r="GG156" t="e">
        <f>AND(tecantrop!G503,"AAAAAD220Lw=")</f>
        <v>#VALUE!</v>
      </c>
      <c r="GH156" t="e">
        <f>AND(tecantrop!H503,"AAAAAD220L0=")</f>
        <v>#VALUE!</v>
      </c>
      <c r="GI156" t="e">
        <f>AND(tecantrop!I503,"AAAAAD220L4=")</f>
        <v>#VALUE!</v>
      </c>
      <c r="GJ156" t="e">
        <f>AND(tecantrop!J503,"AAAAAD220L8=")</f>
        <v>#VALUE!</v>
      </c>
      <c r="GK156" t="e">
        <f>AND(tecantrop!K503,"AAAAAD220MA=")</f>
        <v>#VALUE!</v>
      </c>
      <c r="GL156" t="e">
        <f>AND(tecantrop!L503,"AAAAAD220ME=")</f>
        <v>#VALUE!</v>
      </c>
      <c r="GM156" t="e">
        <f>AND(tecantrop!M503,"AAAAAD220MI=")</f>
        <v>#VALUE!</v>
      </c>
      <c r="GN156" t="e">
        <f>AND(tecantrop!N503,"AAAAAD220MM=")</f>
        <v>#VALUE!</v>
      </c>
      <c r="GO156" t="e">
        <f>AND(tecantrop!O503,"AAAAAD220MQ=")</f>
        <v>#VALUE!</v>
      </c>
      <c r="GP156" t="e">
        <f>AND(tecantrop!P503,"AAAAAD220MU=")</f>
        <v>#VALUE!</v>
      </c>
      <c r="GQ156" t="e">
        <f>AND(tecantrop!Q503,"AAAAAD220MY=")</f>
        <v>#VALUE!</v>
      </c>
      <c r="GR156" t="e">
        <f>AND(tecantrop!R503,"AAAAAD220Mc=")</f>
        <v>#VALUE!</v>
      </c>
      <c r="GS156" t="e">
        <f>AND(tecantrop!S503,"AAAAAD220Mg=")</f>
        <v>#VALUE!</v>
      </c>
      <c r="GT156" t="e">
        <f>AND(tecantrop!T503,"AAAAAD220Mk=")</f>
        <v>#VALUE!</v>
      </c>
      <c r="GU156" t="e">
        <f>AND(tecantrop!U503,"AAAAAD220Mo=")</f>
        <v>#VALUE!</v>
      </c>
      <c r="GV156" t="e">
        <f>AND(tecantrop!V503,"AAAAAD220Ms=")</f>
        <v>#VALUE!</v>
      </c>
      <c r="GW156" t="e">
        <f>AND(tecantrop!W503,"AAAAAD220Mw=")</f>
        <v>#VALUE!</v>
      </c>
      <c r="GX156" t="e">
        <f>AND(tecantrop!X503,"AAAAAD220M0=")</f>
        <v>#VALUE!</v>
      </c>
      <c r="GY156">
        <f>IF(tecantrop!504:504,"AAAAAD220M4=",0)</f>
        <v>0</v>
      </c>
      <c r="GZ156" t="e">
        <f>AND(tecantrop!A504,"AAAAAD220M8=")</f>
        <v>#VALUE!</v>
      </c>
      <c r="HA156" t="e">
        <f>AND(tecantrop!B504,"AAAAAD220NA=")</f>
        <v>#VALUE!</v>
      </c>
      <c r="HB156" t="e">
        <f>AND(tecantrop!C504,"AAAAAD220NE=")</f>
        <v>#VALUE!</v>
      </c>
      <c r="HC156" t="e">
        <f>AND(tecantrop!D504,"AAAAAD220NI=")</f>
        <v>#VALUE!</v>
      </c>
      <c r="HD156" t="e">
        <f>AND(tecantrop!E504,"AAAAAD220NM=")</f>
        <v>#VALUE!</v>
      </c>
      <c r="HE156" t="e">
        <f>AND(tecantrop!F504,"AAAAAD220NQ=")</f>
        <v>#VALUE!</v>
      </c>
      <c r="HF156" t="e">
        <f>AND(tecantrop!G504,"AAAAAD220NU=")</f>
        <v>#VALUE!</v>
      </c>
      <c r="HG156" t="e">
        <f>AND(tecantrop!H504,"AAAAAD220NY=")</f>
        <v>#VALUE!</v>
      </c>
      <c r="HH156" t="e">
        <f>AND(tecantrop!I504,"AAAAAD220Nc=")</f>
        <v>#VALUE!</v>
      </c>
      <c r="HI156" t="e">
        <f>AND(tecantrop!J504,"AAAAAD220Ng=")</f>
        <v>#VALUE!</v>
      </c>
      <c r="HJ156" t="e">
        <f>AND(tecantrop!K504,"AAAAAD220Nk=")</f>
        <v>#VALUE!</v>
      </c>
      <c r="HK156" t="e">
        <f>AND(tecantrop!L504,"AAAAAD220No=")</f>
        <v>#VALUE!</v>
      </c>
      <c r="HL156" t="e">
        <f>AND(tecantrop!M504,"AAAAAD220Ns=")</f>
        <v>#VALUE!</v>
      </c>
      <c r="HM156" t="e">
        <f>AND(tecantrop!N504,"AAAAAD220Nw=")</f>
        <v>#VALUE!</v>
      </c>
      <c r="HN156" t="e">
        <f>AND(tecantrop!O504,"AAAAAD220N0=")</f>
        <v>#VALUE!</v>
      </c>
      <c r="HO156" t="e">
        <f>AND(tecantrop!P504,"AAAAAD220N4=")</f>
        <v>#VALUE!</v>
      </c>
      <c r="HP156" t="e">
        <f>AND(tecantrop!Q504,"AAAAAD220N8=")</f>
        <v>#VALUE!</v>
      </c>
      <c r="HQ156" t="e">
        <f>AND(tecantrop!R504,"AAAAAD220OA=")</f>
        <v>#VALUE!</v>
      </c>
      <c r="HR156" t="e">
        <f>AND(tecantrop!S504,"AAAAAD220OE=")</f>
        <v>#VALUE!</v>
      </c>
      <c r="HS156" t="e">
        <f>AND(tecantrop!T504,"AAAAAD220OI=")</f>
        <v>#VALUE!</v>
      </c>
      <c r="HT156" t="e">
        <f>AND(tecantrop!U504,"AAAAAD220OM=")</f>
        <v>#VALUE!</v>
      </c>
      <c r="HU156" t="e">
        <f>AND(tecantrop!V504,"AAAAAD220OQ=")</f>
        <v>#VALUE!</v>
      </c>
      <c r="HV156" t="e">
        <f>AND(tecantrop!W504,"AAAAAD220OU=")</f>
        <v>#VALUE!</v>
      </c>
      <c r="HW156" t="e">
        <f>AND(tecantrop!X504,"AAAAAD220OY=")</f>
        <v>#VALUE!</v>
      </c>
      <c r="HX156">
        <f>IF(tecantrop!505:505,"AAAAAD220Oc=",0)</f>
        <v>0</v>
      </c>
      <c r="HY156" t="e">
        <f>AND(tecantrop!A505,"AAAAAD220Og=")</f>
        <v>#VALUE!</v>
      </c>
      <c r="HZ156" t="e">
        <f>AND(tecantrop!B505,"AAAAAD220Ok=")</f>
        <v>#VALUE!</v>
      </c>
      <c r="IA156" t="e">
        <f>AND(tecantrop!C505,"AAAAAD220Oo=")</f>
        <v>#VALUE!</v>
      </c>
      <c r="IB156" t="e">
        <f>AND(tecantrop!D505,"AAAAAD220Os=")</f>
        <v>#VALUE!</v>
      </c>
      <c r="IC156" t="e">
        <f>AND(tecantrop!E505,"AAAAAD220Ow=")</f>
        <v>#VALUE!</v>
      </c>
      <c r="ID156" t="e">
        <f>AND(tecantrop!F505,"AAAAAD220O0=")</f>
        <v>#VALUE!</v>
      </c>
      <c r="IE156" t="e">
        <f>AND(tecantrop!G505,"AAAAAD220O4=")</f>
        <v>#VALUE!</v>
      </c>
      <c r="IF156" t="e">
        <f>AND(tecantrop!H505,"AAAAAD220O8=")</f>
        <v>#VALUE!</v>
      </c>
      <c r="IG156" t="e">
        <f>AND(tecantrop!I505,"AAAAAD220PA=")</f>
        <v>#VALUE!</v>
      </c>
      <c r="IH156" t="e">
        <f>AND(tecantrop!J505,"AAAAAD220PE=")</f>
        <v>#VALUE!</v>
      </c>
      <c r="II156" t="e">
        <f>AND(tecantrop!K505,"AAAAAD220PI=")</f>
        <v>#VALUE!</v>
      </c>
      <c r="IJ156" t="e">
        <f>AND(tecantrop!L505,"AAAAAD220PM=")</f>
        <v>#VALUE!</v>
      </c>
      <c r="IK156" t="e">
        <f>AND(tecantrop!M505,"AAAAAD220PQ=")</f>
        <v>#VALUE!</v>
      </c>
      <c r="IL156" t="e">
        <f>AND(tecantrop!N505,"AAAAAD220PU=")</f>
        <v>#VALUE!</v>
      </c>
      <c r="IM156" t="e">
        <f>AND(tecantrop!O505,"AAAAAD220PY=")</f>
        <v>#VALUE!</v>
      </c>
      <c r="IN156" t="e">
        <f>AND(tecantrop!P505,"AAAAAD220Pc=")</f>
        <v>#VALUE!</v>
      </c>
      <c r="IO156" t="e">
        <f>AND(tecantrop!Q505,"AAAAAD220Pg=")</f>
        <v>#VALUE!</v>
      </c>
      <c r="IP156" t="e">
        <f>AND(tecantrop!R505,"AAAAAD220Pk=")</f>
        <v>#VALUE!</v>
      </c>
      <c r="IQ156" t="e">
        <f>AND(tecantrop!S505,"AAAAAD220Po=")</f>
        <v>#VALUE!</v>
      </c>
      <c r="IR156" t="e">
        <f>AND(tecantrop!T505,"AAAAAD220Ps=")</f>
        <v>#VALUE!</v>
      </c>
      <c r="IS156" t="e">
        <f>AND(tecantrop!U505,"AAAAAD220Pw=")</f>
        <v>#VALUE!</v>
      </c>
      <c r="IT156" t="e">
        <f>AND(tecantrop!V505,"AAAAAD220P0=")</f>
        <v>#VALUE!</v>
      </c>
      <c r="IU156" t="e">
        <f>AND(tecantrop!W505,"AAAAAD220P4=")</f>
        <v>#VALUE!</v>
      </c>
      <c r="IV156" t="e">
        <f>AND(tecantrop!X505,"AAAAAD220P8=")</f>
        <v>#VALUE!</v>
      </c>
    </row>
    <row r="157" spans="1:256" x14ac:dyDescent="0.2">
      <c r="A157">
        <f>IF(tecantrop!506:506,"AAAAAG3P3wA=",0)</f>
        <v>0</v>
      </c>
      <c r="B157" t="e">
        <f>AND(tecantrop!A506,"AAAAAG3P3wE=")</f>
        <v>#VALUE!</v>
      </c>
      <c r="C157" t="e">
        <f>AND(tecantrop!B506,"AAAAAG3P3wI=")</f>
        <v>#VALUE!</v>
      </c>
      <c r="D157" t="e">
        <f>AND(tecantrop!C506,"AAAAAG3P3wM=")</f>
        <v>#VALUE!</v>
      </c>
      <c r="E157" t="e">
        <f>AND(tecantrop!D506,"AAAAAG3P3wQ=")</f>
        <v>#VALUE!</v>
      </c>
      <c r="F157" t="e">
        <f>AND(tecantrop!E506,"AAAAAG3P3wU=")</f>
        <v>#VALUE!</v>
      </c>
      <c r="G157" t="e">
        <f>AND(tecantrop!F506,"AAAAAG3P3wY=")</f>
        <v>#VALUE!</v>
      </c>
      <c r="H157" t="e">
        <f>AND(tecantrop!G506,"AAAAAG3P3wc=")</f>
        <v>#VALUE!</v>
      </c>
      <c r="I157" t="e">
        <f>AND(tecantrop!H506,"AAAAAG3P3wg=")</f>
        <v>#VALUE!</v>
      </c>
      <c r="J157" t="e">
        <f>AND(tecantrop!I506,"AAAAAG3P3wk=")</f>
        <v>#VALUE!</v>
      </c>
      <c r="K157" t="e">
        <f>AND(tecantrop!J506,"AAAAAG3P3wo=")</f>
        <v>#VALUE!</v>
      </c>
      <c r="L157" t="e">
        <f>AND(tecantrop!K506,"AAAAAG3P3ws=")</f>
        <v>#VALUE!</v>
      </c>
      <c r="M157" t="e">
        <f>AND(tecantrop!L506,"AAAAAG3P3ww=")</f>
        <v>#VALUE!</v>
      </c>
      <c r="N157" t="e">
        <f>AND(tecantrop!M506,"AAAAAG3P3w0=")</f>
        <v>#VALUE!</v>
      </c>
      <c r="O157" t="e">
        <f>AND(tecantrop!N506,"AAAAAG3P3w4=")</f>
        <v>#VALUE!</v>
      </c>
      <c r="P157" t="e">
        <f>AND(tecantrop!O506,"AAAAAG3P3w8=")</f>
        <v>#VALUE!</v>
      </c>
      <c r="Q157" t="e">
        <f>AND(tecantrop!P506,"AAAAAG3P3xA=")</f>
        <v>#VALUE!</v>
      </c>
      <c r="R157" t="e">
        <f>AND(tecantrop!Q506,"AAAAAG3P3xE=")</f>
        <v>#VALUE!</v>
      </c>
      <c r="S157" t="e">
        <f>AND(tecantrop!R506,"AAAAAG3P3xI=")</f>
        <v>#VALUE!</v>
      </c>
      <c r="T157" t="e">
        <f>AND(tecantrop!S506,"AAAAAG3P3xM=")</f>
        <v>#VALUE!</v>
      </c>
      <c r="U157" t="e">
        <f>AND(tecantrop!T506,"AAAAAG3P3xQ=")</f>
        <v>#VALUE!</v>
      </c>
      <c r="V157" t="e">
        <f>AND(tecantrop!U506,"AAAAAG3P3xU=")</f>
        <v>#VALUE!</v>
      </c>
      <c r="W157" t="e">
        <f>AND(tecantrop!V506,"AAAAAG3P3xY=")</f>
        <v>#VALUE!</v>
      </c>
      <c r="X157" t="e">
        <f>AND(tecantrop!W506,"AAAAAG3P3xc=")</f>
        <v>#VALUE!</v>
      </c>
      <c r="Y157" t="e">
        <f>AND(tecantrop!X506,"AAAAAG3P3xg=")</f>
        <v>#VALUE!</v>
      </c>
      <c r="Z157">
        <f>IF(tecantrop!507:507,"AAAAAG3P3xk=",0)</f>
        <v>0</v>
      </c>
      <c r="AA157" t="e">
        <f>AND(tecantrop!A507,"AAAAAG3P3xo=")</f>
        <v>#VALUE!</v>
      </c>
      <c r="AB157" t="e">
        <f>AND(tecantrop!B507,"AAAAAG3P3xs=")</f>
        <v>#VALUE!</v>
      </c>
      <c r="AC157" t="e">
        <f>AND(tecantrop!C507,"AAAAAG3P3xw=")</f>
        <v>#VALUE!</v>
      </c>
      <c r="AD157" t="e">
        <f>AND(tecantrop!D507,"AAAAAG3P3x0=")</f>
        <v>#VALUE!</v>
      </c>
      <c r="AE157" t="e">
        <f>AND(tecantrop!E507,"AAAAAG3P3x4=")</f>
        <v>#VALUE!</v>
      </c>
      <c r="AF157" t="e">
        <f>AND(tecantrop!F507,"AAAAAG3P3x8=")</f>
        <v>#VALUE!</v>
      </c>
      <c r="AG157" t="e">
        <f>AND(tecantrop!G507,"AAAAAG3P3yA=")</f>
        <v>#VALUE!</v>
      </c>
      <c r="AH157" t="e">
        <f>AND(tecantrop!H507,"AAAAAG3P3yE=")</f>
        <v>#VALUE!</v>
      </c>
      <c r="AI157" t="e">
        <f>AND(tecantrop!I507,"AAAAAG3P3yI=")</f>
        <v>#VALUE!</v>
      </c>
      <c r="AJ157" t="e">
        <f>AND(tecantrop!J507,"AAAAAG3P3yM=")</f>
        <v>#VALUE!</v>
      </c>
      <c r="AK157" t="e">
        <f>AND(tecantrop!K507,"AAAAAG3P3yQ=")</f>
        <v>#VALUE!</v>
      </c>
      <c r="AL157" t="e">
        <f>AND(tecantrop!L507,"AAAAAG3P3yU=")</f>
        <v>#VALUE!</v>
      </c>
      <c r="AM157" t="e">
        <f>AND(tecantrop!M507,"AAAAAG3P3yY=")</f>
        <v>#VALUE!</v>
      </c>
      <c r="AN157" t="e">
        <f>AND(tecantrop!N507,"AAAAAG3P3yc=")</f>
        <v>#VALUE!</v>
      </c>
      <c r="AO157" t="e">
        <f>AND(tecantrop!O507,"AAAAAG3P3yg=")</f>
        <v>#VALUE!</v>
      </c>
      <c r="AP157" t="e">
        <f>AND(tecantrop!P507,"AAAAAG3P3yk=")</f>
        <v>#VALUE!</v>
      </c>
      <c r="AQ157" t="e">
        <f>AND(tecantrop!Q507,"AAAAAG3P3yo=")</f>
        <v>#VALUE!</v>
      </c>
      <c r="AR157" t="e">
        <f>AND(tecantrop!R507,"AAAAAG3P3ys=")</f>
        <v>#VALUE!</v>
      </c>
      <c r="AS157" t="e">
        <f>AND(tecantrop!S507,"AAAAAG3P3yw=")</f>
        <v>#VALUE!</v>
      </c>
      <c r="AT157" t="e">
        <f>AND(tecantrop!T507,"AAAAAG3P3y0=")</f>
        <v>#VALUE!</v>
      </c>
      <c r="AU157" t="e">
        <f>AND(tecantrop!U507,"AAAAAG3P3y4=")</f>
        <v>#VALUE!</v>
      </c>
      <c r="AV157" t="e">
        <f>AND(tecantrop!V507,"AAAAAG3P3y8=")</f>
        <v>#VALUE!</v>
      </c>
      <c r="AW157" t="e">
        <f>AND(tecantrop!W507,"AAAAAG3P3zA=")</f>
        <v>#VALUE!</v>
      </c>
      <c r="AX157" t="e">
        <f>AND(tecantrop!X507,"AAAAAG3P3zE=")</f>
        <v>#VALUE!</v>
      </c>
      <c r="AY157">
        <f>IF(tecantrop!508:508,"AAAAAG3P3zI=",0)</f>
        <v>0</v>
      </c>
      <c r="AZ157" t="e">
        <f>AND(tecantrop!A508,"AAAAAG3P3zM=")</f>
        <v>#VALUE!</v>
      </c>
      <c r="BA157" t="e">
        <f>AND(tecantrop!B508,"AAAAAG3P3zQ=")</f>
        <v>#VALUE!</v>
      </c>
      <c r="BB157" t="e">
        <f>AND(tecantrop!C508,"AAAAAG3P3zU=")</f>
        <v>#VALUE!</v>
      </c>
      <c r="BC157" t="e">
        <f>AND(tecantrop!D508,"AAAAAG3P3zY=")</f>
        <v>#VALUE!</v>
      </c>
      <c r="BD157" t="e">
        <f>AND(tecantrop!E508,"AAAAAG3P3zc=")</f>
        <v>#VALUE!</v>
      </c>
      <c r="BE157" t="e">
        <f>AND(tecantrop!F508,"AAAAAG3P3zg=")</f>
        <v>#VALUE!</v>
      </c>
      <c r="BF157" t="e">
        <f>AND(tecantrop!G508,"AAAAAG3P3zk=")</f>
        <v>#VALUE!</v>
      </c>
      <c r="BG157" t="e">
        <f>AND(tecantrop!H508,"AAAAAG3P3zo=")</f>
        <v>#VALUE!</v>
      </c>
      <c r="BH157" t="e">
        <f>AND(tecantrop!I508,"AAAAAG3P3zs=")</f>
        <v>#VALUE!</v>
      </c>
      <c r="BI157" t="e">
        <f>AND(tecantrop!J508,"AAAAAG3P3zw=")</f>
        <v>#VALUE!</v>
      </c>
      <c r="BJ157" t="e">
        <f>AND(tecantrop!K508,"AAAAAG3P3z0=")</f>
        <v>#VALUE!</v>
      </c>
      <c r="BK157" t="e">
        <f>AND(tecantrop!L508,"AAAAAG3P3z4=")</f>
        <v>#VALUE!</v>
      </c>
      <c r="BL157" t="e">
        <f>AND(tecantrop!M508,"AAAAAG3P3z8=")</f>
        <v>#VALUE!</v>
      </c>
      <c r="BM157" t="e">
        <f>AND(tecantrop!N508,"AAAAAG3P30A=")</f>
        <v>#VALUE!</v>
      </c>
      <c r="BN157" t="e">
        <f>AND(tecantrop!O508,"AAAAAG3P30E=")</f>
        <v>#VALUE!</v>
      </c>
      <c r="BO157" t="e">
        <f>AND(tecantrop!P508,"AAAAAG3P30I=")</f>
        <v>#VALUE!</v>
      </c>
      <c r="BP157" t="e">
        <f>AND(tecantrop!Q508,"AAAAAG3P30M=")</f>
        <v>#VALUE!</v>
      </c>
      <c r="BQ157" t="e">
        <f>AND(tecantrop!R508,"AAAAAG3P30Q=")</f>
        <v>#VALUE!</v>
      </c>
      <c r="BR157" t="e">
        <f>AND(tecantrop!S508,"AAAAAG3P30U=")</f>
        <v>#VALUE!</v>
      </c>
      <c r="BS157" t="e">
        <f>AND(tecantrop!T508,"AAAAAG3P30Y=")</f>
        <v>#VALUE!</v>
      </c>
      <c r="BT157" t="e">
        <f>AND(tecantrop!U508,"AAAAAG3P30c=")</f>
        <v>#VALUE!</v>
      </c>
      <c r="BU157" t="e">
        <f>AND(tecantrop!V508,"AAAAAG3P30g=")</f>
        <v>#VALUE!</v>
      </c>
      <c r="BV157" t="e">
        <f>AND(tecantrop!W508,"AAAAAG3P30k=")</f>
        <v>#VALUE!</v>
      </c>
      <c r="BW157" t="e">
        <f>AND(tecantrop!X508,"AAAAAG3P30o=")</f>
        <v>#VALUE!</v>
      </c>
      <c r="BX157">
        <f>IF(tecantrop!509:509,"AAAAAG3P30s=",0)</f>
        <v>0</v>
      </c>
      <c r="BY157" t="e">
        <f>AND(tecantrop!A509,"AAAAAG3P30w=")</f>
        <v>#VALUE!</v>
      </c>
      <c r="BZ157" t="e">
        <f>AND(tecantrop!B509,"AAAAAG3P300=")</f>
        <v>#VALUE!</v>
      </c>
      <c r="CA157" t="e">
        <f>AND(tecantrop!C509,"AAAAAG3P304=")</f>
        <v>#VALUE!</v>
      </c>
      <c r="CB157" t="e">
        <f>AND(tecantrop!D509,"AAAAAG3P308=")</f>
        <v>#VALUE!</v>
      </c>
      <c r="CC157" t="e">
        <f>AND(tecantrop!E509,"AAAAAG3P31A=")</f>
        <v>#VALUE!</v>
      </c>
      <c r="CD157" t="e">
        <f>AND(tecantrop!F509,"AAAAAG3P31E=")</f>
        <v>#VALUE!</v>
      </c>
      <c r="CE157" t="e">
        <f>AND(tecantrop!G509,"AAAAAG3P31I=")</f>
        <v>#VALUE!</v>
      </c>
      <c r="CF157" t="e">
        <f>AND(tecantrop!H509,"AAAAAG3P31M=")</f>
        <v>#VALUE!</v>
      </c>
      <c r="CG157" t="e">
        <f>AND(tecantrop!I509,"AAAAAG3P31Q=")</f>
        <v>#VALUE!</v>
      </c>
      <c r="CH157" t="e">
        <f>AND(tecantrop!J509,"AAAAAG3P31U=")</f>
        <v>#VALUE!</v>
      </c>
      <c r="CI157" t="e">
        <f>AND(tecantrop!K509,"AAAAAG3P31Y=")</f>
        <v>#VALUE!</v>
      </c>
      <c r="CJ157" t="e">
        <f>AND(tecantrop!L509,"AAAAAG3P31c=")</f>
        <v>#VALUE!</v>
      </c>
      <c r="CK157" t="e">
        <f>AND(tecantrop!M509,"AAAAAG3P31g=")</f>
        <v>#VALUE!</v>
      </c>
      <c r="CL157" t="e">
        <f>AND(tecantrop!N509,"AAAAAG3P31k=")</f>
        <v>#VALUE!</v>
      </c>
      <c r="CM157" t="e">
        <f>AND(tecantrop!O509,"AAAAAG3P31o=")</f>
        <v>#VALUE!</v>
      </c>
      <c r="CN157" t="e">
        <f>AND(tecantrop!P509,"AAAAAG3P31s=")</f>
        <v>#VALUE!</v>
      </c>
      <c r="CO157" t="e">
        <f>AND(tecantrop!Q509,"AAAAAG3P31w=")</f>
        <v>#VALUE!</v>
      </c>
      <c r="CP157" t="e">
        <f>AND(tecantrop!R509,"AAAAAG3P310=")</f>
        <v>#VALUE!</v>
      </c>
      <c r="CQ157" t="e">
        <f>AND(tecantrop!S509,"AAAAAG3P314=")</f>
        <v>#VALUE!</v>
      </c>
      <c r="CR157" t="e">
        <f>AND(tecantrop!T509,"AAAAAG3P318=")</f>
        <v>#VALUE!</v>
      </c>
      <c r="CS157" t="e">
        <f>AND(tecantrop!U509,"AAAAAG3P32A=")</f>
        <v>#VALUE!</v>
      </c>
      <c r="CT157" t="e">
        <f>AND(tecantrop!V509,"AAAAAG3P32E=")</f>
        <v>#VALUE!</v>
      </c>
      <c r="CU157" t="e">
        <f>AND(tecantrop!W509,"AAAAAG3P32I=")</f>
        <v>#VALUE!</v>
      </c>
      <c r="CV157" t="e">
        <f>AND(tecantrop!X509,"AAAAAG3P32M=")</f>
        <v>#VALUE!</v>
      </c>
      <c r="CW157">
        <f>IF(tecantrop!510:510,"AAAAAG3P32Q=",0)</f>
        <v>0</v>
      </c>
      <c r="CX157" t="e">
        <f>AND(tecantrop!A510,"AAAAAG3P32U=")</f>
        <v>#VALUE!</v>
      </c>
      <c r="CY157" t="e">
        <f>AND(tecantrop!B510,"AAAAAG3P32Y=")</f>
        <v>#VALUE!</v>
      </c>
      <c r="CZ157" t="e">
        <f>AND(tecantrop!C510,"AAAAAG3P32c=")</f>
        <v>#VALUE!</v>
      </c>
      <c r="DA157" t="e">
        <f>AND(tecantrop!D510,"AAAAAG3P32g=")</f>
        <v>#VALUE!</v>
      </c>
      <c r="DB157" t="e">
        <f>AND(tecantrop!E510,"AAAAAG3P32k=")</f>
        <v>#VALUE!</v>
      </c>
      <c r="DC157" t="e">
        <f>AND(tecantrop!F510,"AAAAAG3P32o=")</f>
        <v>#VALUE!</v>
      </c>
      <c r="DD157" t="e">
        <f>AND(tecantrop!G510,"AAAAAG3P32s=")</f>
        <v>#VALUE!</v>
      </c>
      <c r="DE157" t="e">
        <f>AND(tecantrop!H510,"AAAAAG3P32w=")</f>
        <v>#VALUE!</v>
      </c>
      <c r="DF157" t="e">
        <f>AND(tecantrop!I510,"AAAAAG3P320=")</f>
        <v>#VALUE!</v>
      </c>
      <c r="DG157" t="e">
        <f>AND(tecantrop!J510,"AAAAAG3P324=")</f>
        <v>#VALUE!</v>
      </c>
      <c r="DH157" t="e">
        <f>AND(tecantrop!K510,"AAAAAG3P328=")</f>
        <v>#VALUE!</v>
      </c>
      <c r="DI157" t="e">
        <f>AND(tecantrop!L510,"AAAAAG3P33A=")</f>
        <v>#VALUE!</v>
      </c>
      <c r="DJ157" t="e">
        <f>AND(tecantrop!M510,"AAAAAG3P33E=")</f>
        <v>#VALUE!</v>
      </c>
      <c r="DK157" t="e">
        <f>AND(tecantrop!N510,"AAAAAG3P33I=")</f>
        <v>#VALUE!</v>
      </c>
      <c r="DL157" t="e">
        <f>AND(tecantrop!O510,"AAAAAG3P33M=")</f>
        <v>#VALUE!</v>
      </c>
      <c r="DM157" t="e">
        <f>AND(tecantrop!P510,"AAAAAG3P33Q=")</f>
        <v>#VALUE!</v>
      </c>
      <c r="DN157" t="e">
        <f>AND(tecantrop!Q510,"AAAAAG3P33U=")</f>
        <v>#VALUE!</v>
      </c>
      <c r="DO157" t="e">
        <f>AND(tecantrop!R510,"AAAAAG3P33Y=")</f>
        <v>#VALUE!</v>
      </c>
      <c r="DP157" t="e">
        <f>AND(tecantrop!S510,"AAAAAG3P33c=")</f>
        <v>#VALUE!</v>
      </c>
      <c r="DQ157" t="e">
        <f>AND(tecantrop!T510,"AAAAAG3P33g=")</f>
        <v>#VALUE!</v>
      </c>
      <c r="DR157" t="e">
        <f>AND(tecantrop!U510,"AAAAAG3P33k=")</f>
        <v>#VALUE!</v>
      </c>
      <c r="DS157" t="e">
        <f>AND(tecantrop!V510,"AAAAAG3P33o=")</f>
        <v>#VALUE!</v>
      </c>
      <c r="DT157" t="e">
        <f>AND(tecantrop!W510,"AAAAAG3P33s=")</f>
        <v>#VALUE!</v>
      </c>
      <c r="DU157" t="e">
        <f>AND(tecantrop!X510,"AAAAAG3P33w=")</f>
        <v>#VALUE!</v>
      </c>
      <c r="DV157">
        <f>IF(tecantrop!511:511,"AAAAAG3P330=",0)</f>
        <v>0</v>
      </c>
      <c r="DW157" t="e">
        <f>AND(tecantrop!A511,"AAAAAG3P334=")</f>
        <v>#VALUE!</v>
      </c>
      <c r="DX157" t="e">
        <f>AND(tecantrop!B511,"AAAAAG3P338=")</f>
        <v>#VALUE!</v>
      </c>
      <c r="DY157" t="e">
        <f>AND(tecantrop!C511,"AAAAAG3P34A=")</f>
        <v>#VALUE!</v>
      </c>
      <c r="DZ157" t="e">
        <f>AND(tecantrop!D511,"AAAAAG3P34E=")</f>
        <v>#VALUE!</v>
      </c>
      <c r="EA157" t="e">
        <f>AND(tecantrop!E511,"AAAAAG3P34I=")</f>
        <v>#VALUE!</v>
      </c>
      <c r="EB157" t="e">
        <f>AND(tecantrop!F511,"AAAAAG3P34M=")</f>
        <v>#VALUE!</v>
      </c>
      <c r="EC157" t="e">
        <f>AND(tecantrop!G511,"AAAAAG3P34Q=")</f>
        <v>#VALUE!</v>
      </c>
      <c r="ED157" t="e">
        <f>AND(tecantrop!H511,"AAAAAG3P34U=")</f>
        <v>#VALUE!</v>
      </c>
      <c r="EE157" t="e">
        <f>AND(tecantrop!I511,"AAAAAG3P34Y=")</f>
        <v>#VALUE!</v>
      </c>
      <c r="EF157" t="e">
        <f>AND(tecantrop!J511,"AAAAAG3P34c=")</f>
        <v>#VALUE!</v>
      </c>
      <c r="EG157" t="e">
        <f>AND(tecantrop!K511,"AAAAAG3P34g=")</f>
        <v>#VALUE!</v>
      </c>
      <c r="EH157" t="e">
        <f>AND(tecantrop!L511,"AAAAAG3P34k=")</f>
        <v>#VALUE!</v>
      </c>
      <c r="EI157" t="e">
        <f>AND(tecantrop!M511,"AAAAAG3P34o=")</f>
        <v>#VALUE!</v>
      </c>
      <c r="EJ157" t="e">
        <f>AND(tecantrop!N511,"AAAAAG3P34s=")</f>
        <v>#VALUE!</v>
      </c>
      <c r="EK157" t="e">
        <f>AND(tecantrop!O511,"AAAAAG3P34w=")</f>
        <v>#VALUE!</v>
      </c>
      <c r="EL157" t="e">
        <f>AND(tecantrop!P511,"AAAAAG3P340=")</f>
        <v>#VALUE!</v>
      </c>
      <c r="EM157" t="e">
        <f>AND(tecantrop!Q511,"AAAAAG3P344=")</f>
        <v>#VALUE!</v>
      </c>
      <c r="EN157" t="e">
        <f>AND(tecantrop!R511,"AAAAAG3P348=")</f>
        <v>#VALUE!</v>
      </c>
      <c r="EO157" t="e">
        <f>AND(tecantrop!S511,"AAAAAG3P35A=")</f>
        <v>#VALUE!</v>
      </c>
      <c r="EP157" t="e">
        <f>AND(tecantrop!T511,"AAAAAG3P35E=")</f>
        <v>#VALUE!</v>
      </c>
      <c r="EQ157" t="e">
        <f>AND(tecantrop!U511,"AAAAAG3P35I=")</f>
        <v>#VALUE!</v>
      </c>
      <c r="ER157" t="e">
        <f>AND(tecantrop!V511,"AAAAAG3P35M=")</f>
        <v>#VALUE!</v>
      </c>
      <c r="ES157" t="e">
        <f>AND(tecantrop!W511,"AAAAAG3P35Q=")</f>
        <v>#VALUE!</v>
      </c>
      <c r="ET157" t="e">
        <f>AND(tecantrop!X511,"AAAAAG3P35U=")</f>
        <v>#VALUE!</v>
      </c>
      <c r="EU157">
        <f>IF(tecantrop!512:512,"AAAAAG3P35Y=",0)</f>
        <v>0</v>
      </c>
      <c r="EV157" t="e">
        <f>AND(tecantrop!A512,"AAAAAG3P35c=")</f>
        <v>#VALUE!</v>
      </c>
      <c r="EW157" t="e">
        <f>AND(tecantrop!B512,"AAAAAG3P35g=")</f>
        <v>#VALUE!</v>
      </c>
      <c r="EX157" t="e">
        <f>AND(tecantrop!C512,"AAAAAG3P35k=")</f>
        <v>#VALUE!</v>
      </c>
      <c r="EY157" t="e">
        <f>AND(tecantrop!D512,"AAAAAG3P35o=")</f>
        <v>#VALUE!</v>
      </c>
      <c r="EZ157" t="e">
        <f>AND(tecantrop!E512,"AAAAAG3P35s=")</f>
        <v>#VALUE!</v>
      </c>
      <c r="FA157" t="e">
        <f>AND(tecantrop!F512,"AAAAAG3P35w=")</f>
        <v>#VALUE!</v>
      </c>
      <c r="FB157" t="e">
        <f>AND(tecantrop!G512,"AAAAAG3P350=")</f>
        <v>#VALUE!</v>
      </c>
      <c r="FC157" t="e">
        <f>AND(tecantrop!H512,"AAAAAG3P354=")</f>
        <v>#VALUE!</v>
      </c>
      <c r="FD157" t="e">
        <f>AND(tecantrop!I512,"AAAAAG3P358=")</f>
        <v>#VALUE!</v>
      </c>
      <c r="FE157" t="e">
        <f>AND(tecantrop!J512,"AAAAAG3P36A=")</f>
        <v>#VALUE!</v>
      </c>
      <c r="FF157" t="e">
        <f>AND(tecantrop!K512,"AAAAAG3P36E=")</f>
        <v>#VALUE!</v>
      </c>
      <c r="FG157" t="e">
        <f>AND(tecantrop!L512,"AAAAAG3P36I=")</f>
        <v>#VALUE!</v>
      </c>
      <c r="FH157" t="e">
        <f>AND(tecantrop!M512,"AAAAAG3P36M=")</f>
        <v>#VALUE!</v>
      </c>
      <c r="FI157" t="e">
        <f>AND(tecantrop!N512,"AAAAAG3P36Q=")</f>
        <v>#VALUE!</v>
      </c>
      <c r="FJ157" t="e">
        <f>AND(tecantrop!O512,"AAAAAG3P36U=")</f>
        <v>#VALUE!</v>
      </c>
      <c r="FK157" t="e">
        <f>AND(tecantrop!P512,"AAAAAG3P36Y=")</f>
        <v>#VALUE!</v>
      </c>
      <c r="FL157" t="e">
        <f>AND(tecantrop!Q512,"AAAAAG3P36c=")</f>
        <v>#VALUE!</v>
      </c>
      <c r="FM157" t="e">
        <f>AND(tecantrop!R512,"AAAAAG3P36g=")</f>
        <v>#VALUE!</v>
      </c>
      <c r="FN157" t="e">
        <f>AND(tecantrop!S512,"AAAAAG3P36k=")</f>
        <v>#VALUE!</v>
      </c>
      <c r="FO157" t="e">
        <f>AND(tecantrop!T512,"AAAAAG3P36o=")</f>
        <v>#VALUE!</v>
      </c>
      <c r="FP157" t="e">
        <f>AND(tecantrop!U512,"AAAAAG3P36s=")</f>
        <v>#VALUE!</v>
      </c>
      <c r="FQ157" t="e">
        <f>AND(tecantrop!V512,"AAAAAG3P36w=")</f>
        <v>#VALUE!</v>
      </c>
      <c r="FR157" t="e">
        <f>AND(tecantrop!W512,"AAAAAG3P360=")</f>
        <v>#VALUE!</v>
      </c>
      <c r="FS157" t="e">
        <f>AND(tecantrop!X512,"AAAAAG3P364=")</f>
        <v>#VALUE!</v>
      </c>
      <c r="FT157">
        <f>IF(tecantrop!513:513,"AAAAAG3P368=",0)</f>
        <v>0</v>
      </c>
      <c r="FU157" t="e">
        <f>AND(tecantrop!A513,"AAAAAG3P37A=")</f>
        <v>#VALUE!</v>
      </c>
      <c r="FV157" t="e">
        <f>AND(tecantrop!B513,"AAAAAG3P37E=")</f>
        <v>#VALUE!</v>
      </c>
      <c r="FW157" t="e">
        <f>AND(tecantrop!C513,"AAAAAG3P37I=")</f>
        <v>#VALUE!</v>
      </c>
      <c r="FX157" t="e">
        <f>AND(tecantrop!D513,"AAAAAG3P37M=")</f>
        <v>#VALUE!</v>
      </c>
      <c r="FY157" t="e">
        <f>AND(tecantrop!E513,"AAAAAG3P37Q=")</f>
        <v>#VALUE!</v>
      </c>
      <c r="FZ157" t="e">
        <f>AND(tecantrop!F513,"AAAAAG3P37U=")</f>
        <v>#VALUE!</v>
      </c>
      <c r="GA157" t="e">
        <f>AND(tecantrop!G513,"AAAAAG3P37Y=")</f>
        <v>#VALUE!</v>
      </c>
      <c r="GB157" t="e">
        <f>AND(tecantrop!H513,"AAAAAG3P37c=")</f>
        <v>#VALUE!</v>
      </c>
      <c r="GC157" t="e">
        <f>AND(tecantrop!I513,"AAAAAG3P37g=")</f>
        <v>#VALUE!</v>
      </c>
      <c r="GD157" t="e">
        <f>AND(tecantrop!J513,"AAAAAG3P37k=")</f>
        <v>#VALUE!</v>
      </c>
      <c r="GE157" t="e">
        <f>AND(tecantrop!K513,"AAAAAG3P37o=")</f>
        <v>#VALUE!</v>
      </c>
      <c r="GF157" t="e">
        <f>AND(tecantrop!L513,"AAAAAG3P37s=")</f>
        <v>#VALUE!</v>
      </c>
      <c r="GG157" t="e">
        <f>AND(tecantrop!M513,"AAAAAG3P37w=")</f>
        <v>#VALUE!</v>
      </c>
      <c r="GH157" t="e">
        <f>AND(tecantrop!N513,"AAAAAG3P370=")</f>
        <v>#VALUE!</v>
      </c>
      <c r="GI157" t="e">
        <f>AND(tecantrop!O513,"AAAAAG3P374=")</f>
        <v>#VALUE!</v>
      </c>
      <c r="GJ157" t="e">
        <f>AND(tecantrop!P513,"AAAAAG3P378=")</f>
        <v>#VALUE!</v>
      </c>
      <c r="GK157" t="e">
        <f>AND(tecantrop!Q513,"AAAAAG3P38A=")</f>
        <v>#VALUE!</v>
      </c>
      <c r="GL157" t="e">
        <f>AND(tecantrop!R513,"AAAAAG3P38E=")</f>
        <v>#VALUE!</v>
      </c>
      <c r="GM157" t="e">
        <f>AND(tecantrop!S513,"AAAAAG3P38I=")</f>
        <v>#VALUE!</v>
      </c>
      <c r="GN157" t="e">
        <f>AND(tecantrop!T513,"AAAAAG3P38M=")</f>
        <v>#VALUE!</v>
      </c>
      <c r="GO157" t="e">
        <f>AND(tecantrop!U513,"AAAAAG3P38Q=")</f>
        <v>#VALUE!</v>
      </c>
      <c r="GP157" t="e">
        <f>AND(tecantrop!V513,"AAAAAG3P38U=")</f>
        <v>#VALUE!</v>
      </c>
      <c r="GQ157" t="e">
        <f>AND(tecantrop!W513,"AAAAAG3P38Y=")</f>
        <v>#VALUE!</v>
      </c>
      <c r="GR157" t="e">
        <f>AND(tecantrop!X513,"AAAAAG3P38c=")</f>
        <v>#VALUE!</v>
      </c>
      <c r="GS157">
        <f>IF(tecantrop!514:514,"AAAAAG3P38g=",0)</f>
        <v>0</v>
      </c>
      <c r="GT157" t="e">
        <f>AND(tecantrop!A514,"AAAAAG3P38k=")</f>
        <v>#VALUE!</v>
      </c>
      <c r="GU157" t="e">
        <f>AND(tecantrop!B514,"AAAAAG3P38o=")</f>
        <v>#VALUE!</v>
      </c>
      <c r="GV157" t="e">
        <f>AND(tecantrop!C514,"AAAAAG3P38s=")</f>
        <v>#VALUE!</v>
      </c>
      <c r="GW157" t="e">
        <f>AND(tecantrop!D514,"AAAAAG3P38w=")</f>
        <v>#VALUE!</v>
      </c>
      <c r="GX157" t="e">
        <f>AND(tecantrop!E514,"AAAAAG3P380=")</f>
        <v>#VALUE!</v>
      </c>
      <c r="GY157" t="e">
        <f>AND(tecantrop!F514,"AAAAAG3P384=")</f>
        <v>#VALUE!</v>
      </c>
      <c r="GZ157" t="e">
        <f>AND(tecantrop!G514,"AAAAAG3P388=")</f>
        <v>#VALUE!</v>
      </c>
      <c r="HA157" t="e">
        <f>AND(tecantrop!H514,"AAAAAG3P39A=")</f>
        <v>#VALUE!</v>
      </c>
      <c r="HB157" t="e">
        <f>AND(tecantrop!I514,"AAAAAG3P39E=")</f>
        <v>#VALUE!</v>
      </c>
      <c r="HC157" t="e">
        <f>AND(tecantrop!J514,"AAAAAG3P39I=")</f>
        <v>#VALUE!</v>
      </c>
      <c r="HD157" t="e">
        <f>AND(tecantrop!K514,"AAAAAG3P39M=")</f>
        <v>#VALUE!</v>
      </c>
      <c r="HE157" t="e">
        <f>AND(tecantrop!L514,"AAAAAG3P39Q=")</f>
        <v>#VALUE!</v>
      </c>
      <c r="HF157" t="e">
        <f>AND(tecantrop!M514,"AAAAAG3P39U=")</f>
        <v>#VALUE!</v>
      </c>
      <c r="HG157" t="e">
        <f>AND(tecantrop!N514,"AAAAAG3P39Y=")</f>
        <v>#VALUE!</v>
      </c>
      <c r="HH157" t="e">
        <f>AND(tecantrop!O514,"AAAAAG3P39c=")</f>
        <v>#VALUE!</v>
      </c>
      <c r="HI157" t="e">
        <f>AND(tecantrop!P514,"AAAAAG3P39g=")</f>
        <v>#VALUE!</v>
      </c>
      <c r="HJ157" t="e">
        <f>AND(tecantrop!Q514,"AAAAAG3P39k=")</f>
        <v>#VALUE!</v>
      </c>
      <c r="HK157" t="e">
        <f>AND(tecantrop!R514,"AAAAAG3P39o=")</f>
        <v>#VALUE!</v>
      </c>
      <c r="HL157" t="e">
        <f>AND(tecantrop!S514,"AAAAAG3P39s=")</f>
        <v>#VALUE!</v>
      </c>
      <c r="HM157" t="e">
        <f>AND(tecantrop!T514,"AAAAAG3P39w=")</f>
        <v>#VALUE!</v>
      </c>
      <c r="HN157" t="e">
        <f>AND(tecantrop!U514,"AAAAAG3P390=")</f>
        <v>#VALUE!</v>
      </c>
      <c r="HO157" t="e">
        <f>AND(tecantrop!V514,"AAAAAG3P394=")</f>
        <v>#VALUE!</v>
      </c>
      <c r="HP157" t="e">
        <f>AND(tecantrop!W514,"AAAAAG3P398=")</f>
        <v>#VALUE!</v>
      </c>
      <c r="HQ157" t="e">
        <f>AND(tecantrop!X514,"AAAAAG3P3+A=")</f>
        <v>#VALUE!</v>
      </c>
      <c r="HR157">
        <f>IF(tecantrop!515:515,"AAAAAG3P3+E=",0)</f>
        <v>0</v>
      </c>
      <c r="HS157" t="e">
        <f>AND(tecantrop!A515,"AAAAAG3P3+I=")</f>
        <v>#VALUE!</v>
      </c>
      <c r="HT157" t="e">
        <f>AND(tecantrop!B515,"AAAAAG3P3+M=")</f>
        <v>#VALUE!</v>
      </c>
      <c r="HU157" t="e">
        <f>AND(tecantrop!C515,"AAAAAG3P3+Q=")</f>
        <v>#VALUE!</v>
      </c>
      <c r="HV157" t="e">
        <f>AND(tecantrop!D515,"AAAAAG3P3+U=")</f>
        <v>#VALUE!</v>
      </c>
      <c r="HW157" t="e">
        <f>AND(tecantrop!E515,"AAAAAG3P3+Y=")</f>
        <v>#VALUE!</v>
      </c>
      <c r="HX157" t="e">
        <f>AND(tecantrop!F515,"AAAAAG3P3+c=")</f>
        <v>#VALUE!</v>
      </c>
      <c r="HY157" t="e">
        <f>AND(tecantrop!G515,"AAAAAG3P3+g=")</f>
        <v>#VALUE!</v>
      </c>
      <c r="HZ157" t="e">
        <f>AND(tecantrop!H515,"AAAAAG3P3+k=")</f>
        <v>#VALUE!</v>
      </c>
      <c r="IA157" t="e">
        <f>AND(tecantrop!I515,"AAAAAG3P3+o=")</f>
        <v>#VALUE!</v>
      </c>
      <c r="IB157" t="e">
        <f>AND(tecantrop!J515,"AAAAAG3P3+s=")</f>
        <v>#VALUE!</v>
      </c>
      <c r="IC157" t="e">
        <f>AND(tecantrop!K515,"AAAAAG3P3+w=")</f>
        <v>#VALUE!</v>
      </c>
      <c r="ID157" t="e">
        <f>AND(tecantrop!L515,"AAAAAG3P3+0=")</f>
        <v>#VALUE!</v>
      </c>
      <c r="IE157" t="e">
        <f>AND(tecantrop!M515,"AAAAAG3P3+4=")</f>
        <v>#VALUE!</v>
      </c>
      <c r="IF157" t="e">
        <f>AND(tecantrop!N515,"AAAAAG3P3+8=")</f>
        <v>#VALUE!</v>
      </c>
      <c r="IG157" t="e">
        <f>AND(tecantrop!O515,"AAAAAG3P3/A=")</f>
        <v>#VALUE!</v>
      </c>
      <c r="IH157" t="e">
        <f>AND(tecantrop!P515,"AAAAAG3P3/E=")</f>
        <v>#VALUE!</v>
      </c>
      <c r="II157" t="e">
        <f>AND(tecantrop!Q515,"AAAAAG3P3/I=")</f>
        <v>#VALUE!</v>
      </c>
      <c r="IJ157" t="e">
        <f>AND(tecantrop!R515,"AAAAAG3P3/M=")</f>
        <v>#VALUE!</v>
      </c>
      <c r="IK157" t="e">
        <f>AND(tecantrop!S515,"AAAAAG3P3/Q=")</f>
        <v>#VALUE!</v>
      </c>
      <c r="IL157" t="e">
        <f>AND(tecantrop!T515,"AAAAAG3P3/U=")</f>
        <v>#VALUE!</v>
      </c>
      <c r="IM157" t="e">
        <f>AND(tecantrop!U515,"AAAAAG3P3/Y=")</f>
        <v>#VALUE!</v>
      </c>
      <c r="IN157" t="e">
        <f>AND(tecantrop!V515,"AAAAAG3P3/c=")</f>
        <v>#VALUE!</v>
      </c>
      <c r="IO157" t="e">
        <f>AND(tecantrop!W515,"AAAAAG3P3/g=")</f>
        <v>#VALUE!</v>
      </c>
      <c r="IP157" t="e">
        <f>AND(tecantrop!X515,"AAAAAG3P3/k=")</f>
        <v>#VALUE!</v>
      </c>
      <c r="IQ157">
        <f>IF(tecantrop!516:516,"AAAAAG3P3/o=",0)</f>
        <v>0</v>
      </c>
      <c r="IR157" t="e">
        <f>AND(tecantrop!A516,"AAAAAG3P3/s=")</f>
        <v>#VALUE!</v>
      </c>
      <c r="IS157" t="e">
        <f>AND(tecantrop!B516,"AAAAAG3P3/w=")</f>
        <v>#VALUE!</v>
      </c>
      <c r="IT157" t="e">
        <f>AND(tecantrop!C516,"AAAAAG3P3/0=")</f>
        <v>#VALUE!</v>
      </c>
      <c r="IU157" t="e">
        <f>AND(tecantrop!D516,"AAAAAG3P3/4=")</f>
        <v>#VALUE!</v>
      </c>
      <c r="IV157" t="e">
        <f>AND(tecantrop!E516,"AAAAAG3P3/8=")</f>
        <v>#VALUE!</v>
      </c>
    </row>
    <row r="158" spans="1:256" x14ac:dyDescent="0.2">
      <c r="A158" t="e">
        <f>AND(tecantrop!F516,"AAAAAFz3/wA=")</f>
        <v>#VALUE!</v>
      </c>
      <c r="B158" t="e">
        <f>AND(tecantrop!G516,"AAAAAFz3/wE=")</f>
        <v>#VALUE!</v>
      </c>
      <c r="C158" t="e">
        <f>AND(tecantrop!H516,"AAAAAFz3/wI=")</f>
        <v>#VALUE!</v>
      </c>
      <c r="D158" t="e">
        <f>AND(tecantrop!I516,"AAAAAFz3/wM=")</f>
        <v>#VALUE!</v>
      </c>
      <c r="E158" t="e">
        <f>AND(tecantrop!J516,"AAAAAFz3/wQ=")</f>
        <v>#VALUE!</v>
      </c>
      <c r="F158" t="e">
        <f>AND(tecantrop!K516,"AAAAAFz3/wU=")</f>
        <v>#VALUE!</v>
      </c>
      <c r="G158" t="e">
        <f>AND(tecantrop!L516,"AAAAAFz3/wY=")</f>
        <v>#VALUE!</v>
      </c>
      <c r="H158" t="e">
        <f>AND(tecantrop!M516,"AAAAAFz3/wc=")</f>
        <v>#VALUE!</v>
      </c>
      <c r="I158" t="e">
        <f>AND(tecantrop!N516,"AAAAAFz3/wg=")</f>
        <v>#VALUE!</v>
      </c>
      <c r="J158" t="e">
        <f>AND(tecantrop!O516,"AAAAAFz3/wk=")</f>
        <v>#VALUE!</v>
      </c>
      <c r="K158" t="e">
        <f>AND(tecantrop!P516,"AAAAAFz3/wo=")</f>
        <v>#VALUE!</v>
      </c>
      <c r="L158" t="e">
        <f>AND(tecantrop!Q516,"AAAAAFz3/ws=")</f>
        <v>#VALUE!</v>
      </c>
      <c r="M158" t="e">
        <f>AND(tecantrop!R516,"AAAAAFz3/ww=")</f>
        <v>#VALUE!</v>
      </c>
      <c r="N158" t="e">
        <f>AND(tecantrop!S516,"AAAAAFz3/w0=")</f>
        <v>#VALUE!</v>
      </c>
      <c r="O158" t="e">
        <f>AND(tecantrop!T516,"AAAAAFz3/w4=")</f>
        <v>#VALUE!</v>
      </c>
      <c r="P158" t="e">
        <f>AND(tecantrop!U516,"AAAAAFz3/w8=")</f>
        <v>#VALUE!</v>
      </c>
      <c r="Q158" t="e">
        <f>AND(tecantrop!V516,"AAAAAFz3/xA=")</f>
        <v>#VALUE!</v>
      </c>
      <c r="R158" t="e">
        <f>AND(tecantrop!W516,"AAAAAFz3/xE=")</f>
        <v>#VALUE!</v>
      </c>
      <c r="S158" t="e">
        <f>AND(tecantrop!X516,"AAAAAFz3/xI=")</f>
        <v>#VALUE!</v>
      </c>
      <c r="T158">
        <f>IF(tecantrop!517:517,"AAAAAFz3/xM=",0)</f>
        <v>0</v>
      </c>
      <c r="U158" t="e">
        <f>AND(tecantrop!A517,"AAAAAFz3/xQ=")</f>
        <v>#VALUE!</v>
      </c>
      <c r="V158" t="e">
        <f>AND(tecantrop!B517,"AAAAAFz3/xU=")</f>
        <v>#VALUE!</v>
      </c>
      <c r="W158" t="e">
        <f>AND(tecantrop!C517,"AAAAAFz3/xY=")</f>
        <v>#VALUE!</v>
      </c>
      <c r="X158" t="e">
        <f>AND(tecantrop!D517,"AAAAAFz3/xc=")</f>
        <v>#VALUE!</v>
      </c>
      <c r="Y158" t="e">
        <f>AND(tecantrop!E517,"AAAAAFz3/xg=")</f>
        <v>#VALUE!</v>
      </c>
      <c r="Z158" t="e">
        <f>AND(tecantrop!F517,"AAAAAFz3/xk=")</f>
        <v>#VALUE!</v>
      </c>
      <c r="AA158" t="e">
        <f>AND(tecantrop!G517,"AAAAAFz3/xo=")</f>
        <v>#VALUE!</v>
      </c>
      <c r="AB158" t="e">
        <f>AND(tecantrop!H517,"AAAAAFz3/xs=")</f>
        <v>#VALUE!</v>
      </c>
      <c r="AC158" t="e">
        <f>AND(tecantrop!I517,"AAAAAFz3/xw=")</f>
        <v>#VALUE!</v>
      </c>
      <c r="AD158" t="e">
        <f>AND(tecantrop!J517,"AAAAAFz3/x0=")</f>
        <v>#VALUE!</v>
      </c>
      <c r="AE158" t="e">
        <f>AND(tecantrop!K517,"AAAAAFz3/x4=")</f>
        <v>#VALUE!</v>
      </c>
      <c r="AF158" t="e">
        <f>AND(tecantrop!L517,"AAAAAFz3/x8=")</f>
        <v>#VALUE!</v>
      </c>
      <c r="AG158" t="e">
        <f>AND(tecantrop!M517,"AAAAAFz3/yA=")</f>
        <v>#VALUE!</v>
      </c>
      <c r="AH158" t="e">
        <f>AND(tecantrop!N517,"AAAAAFz3/yE=")</f>
        <v>#VALUE!</v>
      </c>
      <c r="AI158" t="e">
        <f>AND(tecantrop!O517,"AAAAAFz3/yI=")</f>
        <v>#VALUE!</v>
      </c>
      <c r="AJ158" t="e">
        <f>AND(tecantrop!P517,"AAAAAFz3/yM=")</f>
        <v>#VALUE!</v>
      </c>
      <c r="AK158" t="e">
        <f>AND(tecantrop!Q517,"AAAAAFz3/yQ=")</f>
        <v>#VALUE!</v>
      </c>
      <c r="AL158" t="e">
        <f>AND(tecantrop!R517,"AAAAAFz3/yU=")</f>
        <v>#VALUE!</v>
      </c>
      <c r="AM158" t="e">
        <f>AND(tecantrop!S517,"AAAAAFz3/yY=")</f>
        <v>#VALUE!</v>
      </c>
      <c r="AN158" t="e">
        <f>AND(tecantrop!T517,"AAAAAFz3/yc=")</f>
        <v>#VALUE!</v>
      </c>
      <c r="AO158" t="e">
        <f>AND(tecantrop!U517,"AAAAAFz3/yg=")</f>
        <v>#VALUE!</v>
      </c>
      <c r="AP158" t="e">
        <f>AND(tecantrop!V517,"AAAAAFz3/yk=")</f>
        <v>#VALUE!</v>
      </c>
      <c r="AQ158" t="e">
        <f>AND(tecantrop!W517,"AAAAAFz3/yo=")</f>
        <v>#VALUE!</v>
      </c>
      <c r="AR158" t="e">
        <f>AND(tecantrop!X517,"AAAAAFz3/ys=")</f>
        <v>#VALUE!</v>
      </c>
      <c r="AS158">
        <f>IF(tecantrop!518:518,"AAAAAFz3/yw=",0)</f>
        <v>0</v>
      </c>
      <c r="AT158" t="e">
        <f>AND(tecantrop!A518,"AAAAAFz3/y0=")</f>
        <v>#VALUE!</v>
      </c>
      <c r="AU158" t="e">
        <f>AND(tecantrop!B518,"AAAAAFz3/y4=")</f>
        <v>#VALUE!</v>
      </c>
      <c r="AV158" t="e">
        <f>AND(tecantrop!C518,"AAAAAFz3/y8=")</f>
        <v>#VALUE!</v>
      </c>
      <c r="AW158" t="e">
        <f>AND(tecantrop!D518,"AAAAAFz3/zA=")</f>
        <v>#VALUE!</v>
      </c>
      <c r="AX158" t="e">
        <f>AND(tecantrop!E518,"AAAAAFz3/zE=")</f>
        <v>#VALUE!</v>
      </c>
      <c r="AY158" t="e">
        <f>AND(tecantrop!F518,"AAAAAFz3/zI=")</f>
        <v>#VALUE!</v>
      </c>
      <c r="AZ158" t="e">
        <f>AND(tecantrop!G518,"AAAAAFz3/zM=")</f>
        <v>#VALUE!</v>
      </c>
      <c r="BA158" t="e">
        <f>AND(tecantrop!H518,"AAAAAFz3/zQ=")</f>
        <v>#VALUE!</v>
      </c>
      <c r="BB158" t="e">
        <f>AND(tecantrop!I518,"AAAAAFz3/zU=")</f>
        <v>#VALUE!</v>
      </c>
      <c r="BC158" t="e">
        <f>AND(tecantrop!J518,"AAAAAFz3/zY=")</f>
        <v>#VALUE!</v>
      </c>
      <c r="BD158" t="e">
        <f>AND(tecantrop!K518,"AAAAAFz3/zc=")</f>
        <v>#VALUE!</v>
      </c>
      <c r="BE158" t="e">
        <f>AND(tecantrop!L518,"AAAAAFz3/zg=")</f>
        <v>#VALUE!</v>
      </c>
      <c r="BF158" t="e">
        <f>AND(tecantrop!M518,"AAAAAFz3/zk=")</f>
        <v>#VALUE!</v>
      </c>
      <c r="BG158" t="e">
        <f>AND(tecantrop!N518,"AAAAAFz3/zo=")</f>
        <v>#VALUE!</v>
      </c>
      <c r="BH158" t="e">
        <f>AND(tecantrop!O518,"AAAAAFz3/zs=")</f>
        <v>#VALUE!</v>
      </c>
      <c r="BI158" t="e">
        <f>AND(tecantrop!P518,"AAAAAFz3/zw=")</f>
        <v>#VALUE!</v>
      </c>
      <c r="BJ158" t="e">
        <f>AND(tecantrop!Q518,"AAAAAFz3/z0=")</f>
        <v>#VALUE!</v>
      </c>
      <c r="BK158" t="e">
        <f>AND(tecantrop!R518,"AAAAAFz3/z4=")</f>
        <v>#VALUE!</v>
      </c>
      <c r="BL158" t="e">
        <f>AND(tecantrop!S518,"AAAAAFz3/z8=")</f>
        <v>#VALUE!</v>
      </c>
      <c r="BM158" t="e">
        <f>AND(tecantrop!T518,"AAAAAFz3/0A=")</f>
        <v>#VALUE!</v>
      </c>
      <c r="BN158" t="e">
        <f>AND(tecantrop!U518,"AAAAAFz3/0E=")</f>
        <v>#VALUE!</v>
      </c>
      <c r="BO158" t="e">
        <f>AND(tecantrop!V518,"AAAAAFz3/0I=")</f>
        <v>#VALUE!</v>
      </c>
      <c r="BP158" t="e">
        <f>AND(tecantrop!W518,"AAAAAFz3/0M=")</f>
        <v>#VALUE!</v>
      </c>
      <c r="BQ158" t="e">
        <f>AND(tecantrop!X518,"AAAAAFz3/0Q=")</f>
        <v>#VALUE!</v>
      </c>
      <c r="BR158">
        <f>IF(tecantrop!519:519,"AAAAAFz3/0U=",0)</f>
        <v>0</v>
      </c>
      <c r="BS158" t="e">
        <f>AND(tecantrop!A519,"AAAAAFz3/0Y=")</f>
        <v>#VALUE!</v>
      </c>
      <c r="BT158" t="e">
        <f>AND(tecantrop!B519,"AAAAAFz3/0c=")</f>
        <v>#VALUE!</v>
      </c>
      <c r="BU158" t="e">
        <f>AND(tecantrop!C519,"AAAAAFz3/0g=")</f>
        <v>#VALUE!</v>
      </c>
      <c r="BV158" t="e">
        <f>AND(tecantrop!D519,"AAAAAFz3/0k=")</f>
        <v>#VALUE!</v>
      </c>
      <c r="BW158" t="e">
        <f>AND(tecantrop!E519,"AAAAAFz3/0o=")</f>
        <v>#VALUE!</v>
      </c>
      <c r="BX158" t="e">
        <f>AND(tecantrop!F519,"AAAAAFz3/0s=")</f>
        <v>#VALUE!</v>
      </c>
      <c r="BY158" t="e">
        <f>AND(tecantrop!G519,"AAAAAFz3/0w=")</f>
        <v>#VALUE!</v>
      </c>
      <c r="BZ158" t="e">
        <f>AND(tecantrop!H519,"AAAAAFz3/00=")</f>
        <v>#VALUE!</v>
      </c>
      <c r="CA158" t="e">
        <f>AND(tecantrop!I519,"AAAAAFz3/04=")</f>
        <v>#VALUE!</v>
      </c>
      <c r="CB158" t="e">
        <f>AND(tecantrop!J519,"AAAAAFz3/08=")</f>
        <v>#VALUE!</v>
      </c>
      <c r="CC158" t="e">
        <f>AND(tecantrop!K519,"AAAAAFz3/1A=")</f>
        <v>#VALUE!</v>
      </c>
      <c r="CD158" t="e">
        <f>AND(tecantrop!L519,"AAAAAFz3/1E=")</f>
        <v>#VALUE!</v>
      </c>
      <c r="CE158" t="e">
        <f>AND(tecantrop!M519,"AAAAAFz3/1I=")</f>
        <v>#VALUE!</v>
      </c>
      <c r="CF158" t="e">
        <f>AND(tecantrop!N519,"AAAAAFz3/1M=")</f>
        <v>#VALUE!</v>
      </c>
      <c r="CG158" t="e">
        <f>AND(tecantrop!O519,"AAAAAFz3/1Q=")</f>
        <v>#VALUE!</v>
      </c>
      <c r="CH158" t="e">
        <f>AND(tecantrop!P519,"AAAAAFz3/1U=")</f>
        <v>#VALUE!</v>
      </c>
      <c r="CI158" t="e">
        <f>AND(tecantrop!Q519,"AAAAAFz3/1Y=")</f>
        <v>#VALUE!</v>
      </c>
      <c r="CJ158" t="e">
        <f>AND(tecantrop!R519,"AAAAAFz3/1c=")</f>
        <v>#VALUE!</v>
      </c>
      <c r="CK158" t="e">
        <f>AND(tecantrop!S519,"AAAAAFz3/1g=")</f>
        <v>#VALUE!</v>
      </c>
      <c r="CL158" t="e">
        <f>AND(tecantrop!T519,"AAAAAFz3/1k=")</f>
        <v>#VALUE!</v>
      </c>
      <c r="CM158" t="e">
        <f>AND(tecantrop!U519,"AAAAAFz3/1o=")</f>
        <v>#VALUE!</v>
      </c>
      <c r="CN158" t="e">
        <f>AND(tecantrop!V519,"AAAAAFz3/1s=")</f>
        <v>#VALUE!</v>
      </c>
      <c r="CO158" t="e">
        <f>AND(tecantrop!W519,"AAAAAFz3/1w=")</f>
        <v>#VALUE!</v>
      </c>
      <c r="CP158" t="e">
        <f>AND(tecantrop!X519,"AAAAAFz3/10=")</f>
        <v>#VALUE!</v>
      </c>
      <c r="CQ158">
        <f>IF(tecantrop!520:520,"AAAAAFz3/14=",0)</f>
        <v>0</v>
      </c>
      <c r="CR158" t="e">
        <f>AND(tecantrop!A520,"AAAAAFz3/18=")</f>
        <v>#VALUE!</v>
      </c>
      <c r="CS158" t="e">
        <f>AND(tecantrop!B520,"AAAAAFz3/2A=")</f>
        <v>#VALUE!</v>
      </c>
      <c r="CT158" t="e">
        <f>AND(tecantrop!C520,"AAAAAFz3/2E=")</f>
        <v>#VALUE!</v>
      </c>
      <c r="CU158" t="e">
        <f>AND(tecantrop!D520,"AAAAAFz3/2I=")</f>
        <v>#VALUE!</v>
      </c>
      <c r="CV158" t="e">
        <f>AND(tecantrop!E520,"AAAAAFz3/2M=")</f>
        <v>#VALUE!</v>
      </c>
      <c r="CW158" t="e">
        <f>AND(tecantrop!F520,"AAAAAFz3/2Q=")</f>
        <v>#VALUE!</v>
      </c>
      <c r="CX158" t="e">
        <f>AND(tecantrop!G520,"AAAAAFz3/2U=")</f>
        <v>#VALUE!</v>
      </c>
      <c r="CY158" t="e">
        <f>AND(tecantrop!H520,"AAAAAFz3/2Y=")</f>
        <v>#VALUE!</v>
      </c>
      <c r="CZ158" t="e">
        <f>AND(tecantrop!I520,"AAAAAFz3/2c=")</f>
        <v>#VALUE!</v>
      </c>
      <c r="DA158" t="e">
        <f>AND(tecantrop!J520,"AAAAAFz3/2g=")</f>
        <v>#VALUE!</v>
      </c>
      <c r="DB158" t="e">
        <f>AND(tecantrop!K520,"AAAAAFz3/2k=")</f>
        <v>#VALUE!</v>
      </c>
      <c r="DC158" t="e">
        <f>AND(tecantrop!L520,"AAAAAFz3/2o=")</f>
        <v>#VALUE!</v>
      </c>
      <c r="DD158" t="e">
        <f>AND(tecantrop!M520,"AAAAAFz3/2s=")</f>
        <v>#VALUE!</v>
      </c>
      <c r="DE158" t="e">
        <f>AND(tecantrop!N520,"AAAAAFz3/2w=")</f>
        <v>#VALUE!</v>
      </c>
      <c r="DF158" t="e">
        <f>AND(tecantrop!O520,"AAAAAFz3/20=")</f>
        <v>#VALUE!</v>
      </c>
      <c r="DG158" t="e">
        <f>AND(tecantrop!P520,"AAAAAFz3/24=")</f>
        <v>#VALUE!</v>
      </c>
      <c r="DH158" t="e">
        <f>AND(tecantrop!Q520,"AAAAAFz3/28=")</f>
        <v>#VALUE!</v>
      </c>
      <c r="DI158" t="e">
        <f>AND(tecantrop!R520,"AAAAAFz3/3A=")</f>
        <v>#VALUE!</v>
      </c>
      <c r="DJ158" t="e">
        <f>AND(tecantrop!S520,"AAAAAFz3/3E=")</f>
        <v>#VALUE!</v>
      </c>
      <c r="DK158" t="e">
        <f>AND(tecantrop!T520,"AAAAAFz3/3I=")</f>
        <v>#VALUE!</v>
      </c>
      <c r="DL158" t="e">
        <f>AND(tecantrop!U520,"AAAAAFz3/3M=")</f>
        <v>#VALUE!</v>
      </c>
      <c r="DM158" t="e">
        <f>AND(tecantrop!V520,"AAAAAFz3/3Q=")</f>
        <v>#VALUE!</v>
      </c>
      <c r="DN158" t="e">
        <f>AND(tecantrop!W520,"AAAAAFz3/3U=")</f>
        <v>#VALUE!</v>
      </c>
      <c r="DO158" t="e">
        <f>AND(tecantrop!X520,"AAAAAFz3/3Y=")</f>
        <v>#VALUE!</v>
      </c>
      <c r="DP158">
        <f>IF(tecantrop!521:521,"AAAAAFz3/3c=",0)</f>
        <v>0</v>
      </c>
      <c r="DQ158" t="e">
        <f>AND(tecantrop!A521,"AAAAAFz3/3g=")</f>
        <v>#VALUE!</v>
      </c>
      <c r="DR158" t="e">
        <f>AND(tecantrop!B521,"AAAAAFz3/3k=")</f>
        <v>#VALUE!</v>
      </c>
      <c r="DS158" t="e">
        <f>AND(tecantrop!C521,"AAAAAFz3/3o=")</f>
        <v>#VALUE!</v>
      </c>
      <c r="DT158" t="e">
        <f>AND(tecantrop!D521,"AAAAAFz3/3s=")</f>
        <v>#VALUE!</v>
      </c>
      <c r="DU158" t="e">
        <f>AND(tecantrop!E521,"AAAAAFz3/3w=")</f>
        <v>#VALUE!</v>
      </c>
      <c r="DV158" t="e">
        <f>AND(tecantrop!F521,"AAAAAFz3/30=")</f>
        <v>#VALUE!</v>
      </c>
      <c r="DW158" t="e">
        <f>AND(tecantrop!G521,"AAAAAFz3/34=")</f>
        <v>#VALUE!</v>
      </c>
      <c r="DX158" t="e">
        <f>AND(tecantrop!H521,"AAAAAFz3/38=")</f>
        <v>#VALUE!</v>
      </c>
      <c r="DY158" t="e">
        <f>AND(tecantrop!I521,"AAAAAFz3/4A=")</f>
        <v>#VALUE!</v>
      </c>
      <c r="DZ158" t="e">
        <f>AND(tecantrop!J521,"AAAAAFz3/4E=")</f>
        <v>#VALUE!</v>
      </c>
      <c r="EA158" t="e">
        <f>AND(tecantrop!K521,"AAAAAFz3/4I=")</f>
        <v>#VALUE!</v>
      </c>
      <c r="EB158" t="e">
        <f>AND(tecantrop!L521,"AAAAAFz3/4M=")</f>
        <v>#VALUE!</v>
      </c>
      <c r="EC158" t="e">
        <f>AND(tecantrop!M521,"AAAAAFz3/4Q=")</f>
        <v>#VALUE!</v>
      </c>
      <c r="ED158" t="e">
        <f>AND(tecantrop!N521,"AAAAAFz3/4U=")</f>
        <v>#VALUE!</v>
      </c>
      <c r="EE158" t="e">
        <f>AND(tecantrop!O521,"AAAAAFz3/4Y=")</f>
        <v>#VALUE!</v>
      </c>
      <c r="EF158" t="e">
        <f>AND(tecantrop!P521,"AAAAAFz3/4c=")</f>
        <v>#VALUE!</v>
      </c>
      <c r="EG158" t="e">
        <f>AND(tecantrop!Q521,"AAAAAFz3/4g=")</f>
        <v>#VALUE!</v>
      </c>
      <c r="EH158" t="e">
        <f>AND(tecantrop!R521,"AAAAAFz3/4k=")</f>
        <v>#VALUE!</v>
      </c>
      <c r="EI158" t="e">
        <f>AND(tecantrop!S521,"AAAAAFz3/4o=")</f>
        <v>#VALUE!</v>
      </c>
      <c r="EJ158" t="e">
        <f>AND(tecantrop!T521,"AAAAAFz3/4s=")</f>
        <v>#VALUE!</v>
      </c>
      <c r="EK158" t="e">
        <f>AND(tecantrop!U521,"AAAAAFz3/4w=")</f>
        <v>#VALUE!</v>
      </c>
      <c r="EL158" t="e">
        <f>AND(tecantrop!V521,"AAAAAFz3/40=")</f>
        <v>#VALUE!</v>
      </c>
      <c r="EM158" t="e">
        <f>AND(tecantrop!W521,"AAAAAFz3/44=")</f>
        <v>#VALUE!</v>
      </c>
      <c r="EN158" t="e">
        <f>AND(tecantrop!X521,"AAAAAFz3/48=")</f>
        <v>#VALUE!</v>
      </c>
      <c r="EO158">
        <f>IF(tecantrop!522:522,"AAAAAFz3/5A=",0)</f>
        <v>0</v>
      </c>
      <c r="EP158" t="e">
        <f>AND(tecantrop!A522,"AAAAAFz3/5E=")</f>
        <v>#VALUE!</v>
      </c>
      <c r="EQ158" t="e">
        <f>AND(tecantrop!B522,"AAAAAFz3/5I=")</f>
        <v>#VALUE!</v>
      </c>
      <c r="ER158" t="e">
        <f>AND(tecantrop!C522,"AAAAAFz3/5M=")</f>
        <v>#VALUE!</v>
      </c>
      <c r="ES158" t="e">
        <f>AND(tecantrop!D522,"AAAAAFz3/5Q=")</f>
        <v>#VALUE!</v>
      </c>
      <c r="ET158" t="e">
        <f>AND(tecantrop!E522,"AAAAAFz3/5U=")</f>
        <v>#VALUE!</v>
      </c>
      <c r="EU158" t="e">
        <f>AND(tecantrop!F522,"AAAAAFz3/5Y=")</f>
        <v>#VALUE!</v>
      </c>
      <c r="EV158" t="e">
        <f>AND(tecantrop!G522,"AAAAAFz3/5c=")</f>
        <v>#VALUE!</v>
      </c>
      <c r="EW158" t="e">
        <f>AND(tecantrop!H522,"AAAAAFz3/5g=")</f>
        <v>#VALUE!</v>
      </c>
      <c r="EX158" t="e">
        <f>AND(tecantrop!I522,"AAAAAFz3/5k=")</f>
        <v>#VALUE!</v>
      </c>
      <c r="EY158" t="e">
        <f>AND(tecantrop!J522,"AAAAAFz3/5o=")</f>
        <v>#VALUE!</v>
      </c>
      <c r="EZ158" t="e">
        <f>AND(tecantrop!K522,"AAAAAFz3/5s=")</f>
        <v>#VALUE!</v>
      </c>
      <c r="FA158" t="e">
        <f>AND(tecantrop!L522,"AAAAAFz3/5w=")</f>
        <v>#VALUE!</v>
      </c>
      <c r="FB158" t="e">
        <f>AND(tecantrop!M522,"AAAAAFz3/50=")</f>
        <v>#VALUE!</v>
      </c>
      <c r="FC158" t="e">
        <f>AND(tecantrop!N522,"AAAAAFz3/54=")</f>
        <v>#VALUE!</v>
      </c>
      <c r="FD158" t="e">
        <f>AND(tecantrop!O522,"AAAAAFz3/58=")</f>
        <v>#VALUE!</v>
      </c>
      <c r="FE158" t="e">
        <f>AND(tecantrop!P522,"AAAAAFz3/6A=")</f>
        <v>#VALUE!</v>
      </c>
      <c r="FF158" t="e">
        <f>AND(tecantrop!Q522,"AAAAAFz3/6E=")</f>
        <v>#VALUE!</v>
      </c>
      <c r="FG158" t="e">
        <f>AND(tecantrop!R522,"AAAAAFz3/6I=")</f>
        <v>#VALUE!</v>
      </c>
      <c r="FH158" t="e">
        <f>AND(tecantrop!S522,"AAAAAFz3/6M=")</f>
        <v>#VALUE!</v>
      </c>
      <c r="FI158" t="e">
        <f>AND(tecantrop!T522,"AAAAAFz3/6Q=")</f>
        <v>#VALUE!</v>
      </c>
      <c r="FJ158" t="e">
        <f>AND(tecantrop!U522,"AAAAAFz3/6U=")</f>
        <v>#VALUE!</v>
      </c>
      <c r="FK158" t="e">
        <f>AND(tecantrop!V522,"AAAAAFz3/6Y=")</f>
        <v>#VALUE!</v>
      </c>
      <c r="FL158" t="e">
        <f>AND(tecantrop!W522,"AAAAAFz3/6c=")</f>
        <v>#VALUE!</v>
      </c>
      <c r="FM158" t="e">
        <f>AND(tecantrop!X522,"AAAAAFz3/6g=")</f>
        <v>#VALUE!</v>
      </c>
      <c r="FN158">
        <f>IF(tecantrop!523:523,"AAAAAFz3/6k=",0)</f>
        <v>0</v>
      </c>
      <c r="FO158" t="e">
        <f>AND(tecantrop!A523,"AAAAAFz3/6o=")</f>
        <v>#VALUE!</v>
      </c>
      <c r="FP158" t="e">
        <f>AND(tecantrop!B523,"AAAAAFz3/6s=")</f>
        <v>#VALUE!</v>
      </c>
      <c r="FQ158" t="e">
        <f>AND(tecantrop!C523,"AAAAAFz3/6w=")</f>
        <v>#VALUE!</v>
      </c>
      <c r="FR158" t="e">
        <f>AND(tecantrop!D523,"AAAAAFz3/60=")</f>
        <v>#VALUE!</v>
      </c>
      <c r="FS158" t="e">
        <f>AND(tecantrop!E523,"AAAAAFz3/64=")</f>
        <v>#VALUE!</v>
      </c>
      <c r="FT158" t="e">
        <f>AND(tecantrop!F523,"AAAAAFz3/68=")</f>
        <v>#VALUE!</v>
      </c>
      <c r="FU158" t="e">
        <f>AND(tecantrop!G523,"AAAAAFz3/7A=")</f>
        <v>#VALUE!</v>
      </c>
      <c r="FV158" t="e">
        <f>AND(tecantrop!H523,"AAAAAFz3/7E=")</f>
        <v>#VALUE!</v>
      </c>
      <c r="FW158" t="e">
        <f>AND(tecantrop!I523,"AAAAAFz3/7I=")</f>
        <v>#VALUE!</v>
      </c>
      <c r="FX158" t="e">
        <f>AND(tecantrop!J523,"AAAAAFz3/7M=")</f>
        <v>#VALUE!</v>
      </c>
      <c r="FY158" t="e">
        <f>AND(tecantrop!K523,"AAAAAFz3/7Q=")</f>
        <v>#VALUE!</v>
      </c>
      <c r="FZ158" t="e">
        <f>AND(tecantrop!L523,"AAAAAFz3/7U=")</f>
        <v>#VALUE!</v>
      </c>
      <c r="GA158" t="e">
        <f>AND(tecantrop!M523,"AAAAAFz3/7Y=")</f>
        <v>#VALUE!</v>
      </c>
      <c r="GB158" t="e">
        <f>AND(tecantrop!N523,"AAAAAFz3/7c=")</f>
        <v>#VALUE!</v>
      </c>
      <c r="GC158" t="e">
        <f>AND(tecantrop!O523,"AAAAAFz3/7g=")</f>
        <v>#VALUE!</v>
      </c>
      <c r="GD158" t="e">
        <f>AND(tecantrop!P523,"AAAAAFz3/7k=")</f>
        <v>#VALUE!</v>
      </c>
      <c r="GE158" t="e">
        <f>AND(tecantrop!Q523,"AAAAAFz3/7o=")</f>
        <v>#VALUE!</v>
      </c>
      <c r="GF158" t="e">
        <f>AND(tecantrop!R523,"AAAAAFz3/7s=")</f>
        <v>#VALUE!</v>
      </c>
      <c r="GG158" t="e">
        <f>AND(tecantrop!S523,"AAAAAFz3/7w=")</f>
        <v>#VALUE!</v>
      </c>
      <c r="GH158" t="e">
        <f>AND(tecantrop!T523,"AAAAAFz3/70=")</f>
        <v>#VALUE!</v>
      </c>
      <c r="GI158" t="e">
        <f>AND(tecantrop!U523,"AAAAAFz3/74=")</f>
        <v>#VALUE!</v>
      </c>
      <c r="GJ158" t="e">
        <f>AND(tecantrop!V523,"AAAAAFz3/78=")</f>
        <v>#VALUE!</v>
      </c>
      <c r="GK158" t="e">
        <f>AND(tecantrop!W523,"AAAAAFz3/8A=")</f>
        <v>#VALUE!</v>
      </c>
      <c r="GL158" t="e">
        <f>AND(tecantrop!X523,"AAAAAFz3/8E=")</f>
        <v>#VALUE!</v>
      </c>
      <c r="GM158">
        <f>IF(tecantrop!524:524,"AAAAAFz3/8I=",0)</f>
        <v>0</v>
      </c>
      <c r="GN158" t="e">
        <f>AND(tecantrop!A524,"AAAAAFz3/8M=")</f>
        <v>#VALUE!</v>
      </c>
      <c r="GO158" t="e">
        <f>AND(tecantrop!B524,"AAAAAFz3/8Q=")</f>
        <v>#VALUE!</v>
      </c>
      <c r="GP158" t="e">
        <f>AND(tecantrop!C524,"AAAAAFz3/8U=")</f>
        <v>#VALUE!</v>
      </c>
      <c r="GQ158" t="e">
        <f>AND(tecantrop!D524,"AAAAAFz3/8Y=")</f>
        <v>#VALUE!</v>
      </c>
      <c r="GR158" t="e">
        <f>AND(tecantrop!E524,"AAAAAFz3/8c=")</f>
        <v>#VALUE!</v>
      </c>
      <c r="GS158" t="e">
        <f>AND(tecantrop!F524,"AAAAAFz3/8g=")</f>
        <v>#VALUE!</v>
      </c>
      <c r="GT158" t="e">
        <f>AND(tecantrop!G524,"AAAAAFz3/8k=")</f>
        <v>#VALUE!</v>
      </c>
      <c r="GU158" t="e">
        <f>AND(tecantrop!H524,"AAAAAFz3/8o=")</f>
        <v>#VALUE!</v>
      </c>
      <c r="GV158" t="e">
        <f>AND(tecantrop!I524,"AAAAAFz3/8s=")</f>
        <v>#VALUE!</v>
      </c>
      <c r="GW158" t="e">
        <f>AND(tecantrop!J524,"AAAAAFz3/8w=")</f>
        <v>#VALUE!</v>
      </c>
      <c r="GX158" t="e">
        <f>AND(tecantrop!K524,"AAAAAFz3/80=")</f>
        <v>#VALUE!</v>
      </c>
      <c r="GY158" t="e">
        <f>AND(tecantrop!L524,"AAAAAFz3/84=")</f>
        <v>#VALUE!</v>
      </c>
      <c r="GZ158" t="e">
        <f>AND(tecantrop!M524,"AAAAAFz3/88=")</f>
        <v>#VALUE!</v>
      </c>
      <c r="HA158" t="e">
        <f>AND(tecantrop!N524,"AAAAAFz3/9A=")</f>
        <v>#VALUE!</v>
      </c>
      <c r="HB158" t="e">
        <f>AND(tecantrop!O524,"AAAAAFz3/9E=")</f>
        <v>#VALUE!</v>
      </c>
      <c r="HC158" t="e">
        <f>AND(tecantrop!P524,"AAAAAFz3/9I=")</f>
        <v>#VALUE!</v>
      </c>
      <c r="HD158" t="e">
        <f>AND(tecantrop!Q524,"AAAAAFz3/9M=")</f>
        <v>#VALUE!</v>
      </c>
      <c r="HE158" t="e">
        <f>AND(tecantrop!R524,"AAAAAFz3/9Q=")</f>
        <v>#VALUE!</v>
      </c>
      <c r="HF158" t="e">
        <f>AND(tecantrop!S524,"AAAAAFz3/9U=")</f>
        <v>#VALUE!</v>
      </c>
      <c r="HG158" t="e">
        <f>AND(tecantrop!T524,"AAAAAFz3/9Y=")</f>
        <v>#VALUE!</v>
      </c>
      <c r="HH158" t="e">
        <f>AND(tecantrop!U524,"AAAAAFz3/9c=")</f>
        <v>#VALUE!</v>
      </c>
      <c r="HI158" t="e">
        <f>AND(tecantrop!V524,"AAAAAFz3/9g=")</f>
        <v>#VALUE!</v>
      </c>
      <c r="HJ158" t="e">
        <f>AND(tecantrop!W524,"AAAAAFz3/9k=")</f>
        <v>#VALUE!</v>
      </c>
      <c r="HK158" t="e">
        <f>AND(tecantrop!X524,"AAAAAFz3/9o=")</f>
        <v>#VALUE!</v>
      </c>
      <c r="HL158">
        <f>IF(tecantrop!525:525,"AAAAAFz3/9s=",0)</f>
        <v>0</v>
      </c>
      <c r="HM158" t="e">
        <f>AND(tecantrop!A525,"AAAAAFz3/9w=")</f>
        <v>#VALUE!</v>
      </c>
      <c r="HN158" t="e">
        <f>AND(tecantrop!B525,"AAAAAFz3/90=")</f>
        <v>#VALUE!</v>
      </c>
      <c r="HO158" t="e">
        <f>AND(tecantrop!C525,"AAAAAFz3/94=")</f>
        <v>#VALUE!</v>
      </c>
      <c r="HP158" t="e">
        <f>AND(tecantrop!D525,"AAAAAFz3/98=")</f>
        <v>#VALUE!</v>
      </c>
      <c r="HQ158" t="e">
        <f>AND(tecantrop!E525,"AAAAAFz3/+A=")</f>
        <v>#VALUE!</v>
      </c>
      <c r="HR158" t="e">
        <f>AND(tecantrop!F525,"AAAAAFz3/+E=")</f>
        <v>#VALUE!</v>
      </c>
      <c r="HS158" t="e">
        <f>AND(tecantrop!G525,"AAAAAFz3/+I=")</f>
        <v>#VALUE!</v>
      </c>
      <c r="HT158" t="e">
        <f>AND(tecantrop!H525,"AAAAAFz3/+M=")</f>
        <v>#VALUE!</v>
      </c>
      <c r="HU158" t="e">
        <f>AND(tecantrop!I525,"AAAAAFz3/+Q=")</f>
        <v>#VALUE!</v>
      </c>
      <c r="HV158" t="e">
        <f>AND(tecantrop!J525,"AAAAAFz3/+U=")</f>
        <v>#VALUE!</v>
      </c>
      <c r="HW158" t="e">
        <f>AND(tecantrop!K525,"AAAAAFz3/+Y=")</f>
        <v>#VALUE!</v>
      </c>
      <c r="HX158" t="e">
        <f>AND(tecantrop!L525,"AAAAAFz3/+c=")</f>
        <v>#VALUE!</v>
      </c>
      <c r="HY158" t="e">
        <f>AND(tecantrop!M525,"AAAAAFz3/+g=")</f>
        <v>#VALUE!</v>
      </c>
      <c r="HZ158" t="e">
        <f>AND(tecantrop!N525,"AAAAAFz3/+k=")</f>
        <v>#VALUE!</v>
      </c>
      <c r="IA158" t="e">
        <f>AND(tecantrop!O525,"AAAAAFz3/+o=")</f>
        <v>#VALUE!</v>
      </c>
      <c r="IB158" t="e">
        <f>AND(tecantrop!P525,"AAAAAFz3/+s=")</f>
        <v>#VALUE!</v>
      </c>
      <c r="IC158" t="e">
        <f>AND(tecantrop!Q525,"AAAAAFz3/+w=")</f>
        <v>#VALUE!</v>
      </c>
      <c r="ID158" t="e">
        <f>AND(tecantrop!R525,"AAAAAFz3/+0=")</f>
        <v>#VALUE!</v>
      </c>
      <c r="IE158" t="e">
        <f>AND(tecantrop!S525,"AAAAAFz3/+4=")</f>
        <v>#VALUE!</v>
      </c>
      <c r="IF158" t="e">
        <f>AND(tecantrop!T525,"AAAAAFz3/+8=")</f>
        <v>#VALUE!</v>
      </c>
      <c r="IG158" t="e">
        <f>AND(tecantrop!U525,"AAAAAFz3//A=")</f>
        <v>#VALUE!</v>
      </c>
      <c r="IH158" t="e">
        <f>AND(tecantrop!V525,"AAAAAFz3//E=")</f>
        <v>#VALUE!</v>
      </c>
      <c r="II158" t="e">
        <f>AND(tecantrop!W525,"AAAAAFz3//I=")</f>
        <v>#VALUE!</v>
      </c>
      <c r="IJ158" t="e">
        <f>AND(tecantrop!X525,"AAAAAFz3//M=")</f>
        <v>#VALUE!</v>
      </c>
      <c r="IK158">
        <f>IF(tecantrop!526:526,"AAAAAFz3//Q=",0)</f>
        <v>0</v>
      </c>
      <c r="IL158" t="e">
        <f>AND(tecantrop!A526,"AAAAAFz3//U=")</f>
        <v>#VALUE!</v>
      </c>
      <c r="IM158" t="e">
        <f>AND(tecantrop!B526,"AAAAAFz3//Y=")</f>
        <v>#VALUE!</v>
      </c>
      <c r="IN158" t="e">
        <f>AND(tecantrop!C526,"AAAAAFz3//c=")</f>
        <v>#VALUE!</v>
      </c>
      <c r="IO158" t="e">
        <f>AND(tecantrop!D526,"AAAAAFz3//g=")</f>
        <v>#VALUE!</v>
      </c>
      <c r="IP158" t="e">
        <f>AND(tecantrop!E526,"AAAAAFz3//k=")</f>
        <v>#VALUE!</v>
      </c>
      <c r="IQ158" t="e">
        <f>AND(tecantrop!F526,"AAAAAFz3//o=")</f>
        <v>#VALUE!</v>
      </c>
      <c r="IR158" t="e">
        <f>AND(tecantrop!G526,"AAAAAFz3//s=")</f>
        <v>#VALUE!</v>
      </c>
      <c r="IS158" t="e">
        <f>AND(tecantrop!H526,"AAAAAFz3//w=")</f>
        <v>#VALUE!</v>
      </c>
      <c r="IT158" t="e">
        <f>AND(tecantrop!I526,"AAAAAFz3//0=")</f>
        <v>#VALUE!</v>
      </c>
      <c r="IU158" t="e">
        <f>AND(tecantrop!J526,"AAAAAFz3//4=")</f>
        <v>#VALUE!</v>
      </c>
      <c r="IV158" t="e">
        <f>AND(tecantrop!K526,"AAAAAFz3//8=")</f>
        <v>#VALUE!</v>
      </c>
    </row>
    <row r="159" spans="1:256" x14ac:dyDescent="0.2">
      <c r="A159" t="e">
        <f>AND(tecantrop!L526,"AAAAAG//bwA=")</f>
        <v>#VALUE!</v>
      </c>
      <c r="B159" t="e">
        <f>AND(tecantrop!M526,"AAAAAG//bwE=")</f>
        <v>#VALUE!</v>
      </c>
      <c r="C159" t="e">
        <f>AND(tecantrop!N526,"AAAAAG//bwI=")</f>
        <v>#VALUE!</v>
      </c>
      <c r="D159" t="e">
        <f>AND(tecantrop!O526,"AAAAAG//bwM=")</f>
        <v>#VALUE!</v>
      </c>
      <c r="E159" t="e">
        <f>AND(tecantrop!P526,"AAAAAG//bwQ=")</f>
        <v>#VALUE!</v>
      </c>
      <c r="F159" t="e">
        <f>AND(tecantrop!Q526,"AAAAAG//bwU=")</f>
        <v>#VALUE!</v>
      </c>
      <c r="G159" t="e">
        <f>AND(tecantrop!R526,"AAAAAG//bwY=")</f>
        <v>#VALUE!</v>
      </c>
      <c r="H159" t="e">
        <f>AND(tecantrop!S526,"AAAAAG//bwc=")</f>
        <v>#VALUE!</v>
      </c>
      <c r="I159" t="e">
        <f>AND(tecantrop!T526,"AAAAAG//bwg=")</f>
        <v>#VALUE!</v>
      </c>
      <c r="J159" t="e">
        <f>AND(tecantrop!U526,"AAAAAG//bwk=")</f>
        <v>#VALUE!</v>
      </c>
      <c r="K159" t="e">
        <f>AND(tecantrop!V526,"AAAAAG//bwo=")</f>
        <v>#VALUE!</v>
      </c>
      <c r="L159" t="e">
        <f>AND(tecantrop!W526,"AAAAAG//bws=")</f>
        <v>#VALUE!</v>
      </c>
      <c r="M159" t="e">
        <f>AND(tecantrop!X526,"AAAAAG//bww=")</f>
        <v>#VALUE!</v>
      </c>
      <c r="N159">
        <f>IF(tecantrop!527:527,"AAAAAG//bw0=",0)</f>
        <v>0</v>
      </c>
      <c r="O159" t="e">
        <f>AND(tecantrop!A527,"AAAAAG//bw4=")</f>
        <v>#VALUE!</v>
      </c>
      <c r="P159" t="e">
        <f>AND(tecantrop!B527,"AAAAAG//bw8=")</f>
        <v>#VALUE!</v>
      </c>
      <c r="Q159" t="e">
        <f>AND(tecantrop!C527,"AAAAAG//bxA=")</f>
        <v>#VALUE!</v>
      </c>
      <c r="R159" t="e">
        <f>AND(tecantrop!D527,"AAAAAG//bxE=")</f>
        <v>#VALUE!</v>
      </c>
      <c r="S159" t="e">
        <f>AND(tecantrop!E527,"AAAAAG//bxI=")</f>
        <v>#VALUE!</v>
      </c>
      <c r="T159" t="e">
        <f>AND(tecantrop!F527,"AAAAAG//bxM=")</f>
        <v>#VALUE!</v>
      </c>
      <c r="U159" t="e">
        <f>AND(tecantrop!G527,"AAAAAG//bxQ=")</f>
        <v>#VALUE!</v>
      </c>
      <c r="V159" t="e">
        <f>AND(tecantrop!H527,"AAAAAG//bxU=")</f>
        <v>#VALUE!</v>
      </c>
      <c r="W159" t="e">
        <f>AND(tecantrop!I527,"AAAAAG//bxY=")</f>
        <v>#VALUE!</v>
      </c>
      <c r="X159" t="e">
        <f>AND(tecantrop!J527,"AAAAAG//bxc=")</f>
        <v>#VALUE!</v>
      </c>
      <c r="Y159" t="e">
        <f>AND(tecantrop!K527,"AAAAAG//bxg=")</f>
        <v>#VALUE!</v>
      </c>
      <c r="Z159" t="e">
        <f>AND(tecantrop!L527,"AAAAAG//bxk=")</f>
        <v>#VALUE!</v>
      </c>
      <c r="AA159" t="e">
        <f>AND(tecantrop!M527,"AAAAAG//bxo=")</f>
        <v>#VALUE!</v>
      </c>
      <c r="AB159" t="e">
        <f>AND(tecantrop!N527,"AAAAAG//bxs=")</f>
        <v>#VALUE!</v>
      </c>
      <c r="AC159" t="e">
        <f>AND(tecantrop!O527,"AAAAAG//bxw=")</f>
        <v>#VALUE!</v>
      </c>
      <c r="AD159" t="e">
        <f>AND(tecantrop!P527,"AAAAAG//bx0=")</f>
        <v>#VALUE!</v>
      </c>
      <c r="AE159" t="e">
        <f>AND(tecantrop!Q527,"AAAAAG//bx4=")</f>
        <v>#VALUE!</v>
      </c>
      <c r="AF159" t="e">
        <f>AND(tecantrop!R527,"AAAAAG//bx8=")</f>
        <v>#VALUE!</v>
      </c>
      <c r="AG159" t="e">
        <f>AND(tecantrop!S527,"AAAAAG//byA=")</f>
        <v>#VALUE!</v>
      </c>
      <c r="AH159" t="e">
        <f>AND(tecantrop!T527,"AAAAAG//byE=")</f>
        <v>#VALUE!</v>
      </c>
      <c r="AI159" t="e">
        <f>AND(tecantrop!U527,"AAAAAG//byI=")</f>
        <v>#VALUE!</v>
      </c>
      <c r="AJ159" t="e">
        <f>AND(tecantrop!V527,"AAAAAG//byM=")</f>
        <v>#VALUE!</v>
      </c>
      <c r="AK159" t="e">
        <f>AND(tecantrop!W527,"AAAAAG//byQ=")</f>
        <v>#VALUE!</v>
      </c>
      <c r="AL159" t="e">
        <f>AND(tecantrop!X527,"AAAAAG//byU=")</f>
        <v>#VALUE!</v>
      </c>
      <c r="AM159">
        <f>IF(tecantrop!528:528,"AAAAAG//byY=",0)</f>
        <v>0</v>
      </c>
      <c r="AN159" t="e">
        <f>AND(tecantrop!A528,"AAAAAG//byc=")</f>
        <v>#VALUE!</v>
      </c>
      <c r="AO159" t="e">
        <f>AND(tecantrop!B528,"AAAAAG//byg=")</f>
        <v>#VALUE!</v>
      </c>
      <c r="AP159" t="e">
        <f>AND(tecantrop!C528,"AAAAAG//byk=")</f>
        <v>#VALUE!</v>
      </c>
      <c r="AQ159" t="e">
        <f>AND(tecantrop!D528,"AAAAAG//byo=")</f>
        <v>#VALUE!</v>
      </c>
      <c r="AR159" t="e">
        <f>AND(tecantrop!E528,"AAAAAG//bys=")</f>
        <v>#VALUE!</v>
      </c>
      <c r="AS159" t="e">
        <f>AND(tecantrop!F528,"AAAAAG//byw=")</f>
        <v>#VALUE!</v>
      </c>
      <c r="AT159" t="e">
        <f>AND(tecantrop!G528,"AAAAAG//by0=")</f>
        <v>#VALUE!</v>
      </c>
      <c r="AU159" t="e">
        <f>AND(tecantrop!H528,"AAAAAG//by4=")</f>
        <v>#VALUE!</v>
      </c>
      <c r="AV159" t="e">
        <f>AND(tecantrop!I528,"AAAAAG//by8=")</f>
        <v>#VALUE!</v>
      </c>
      <c r="AW159" t="e">
        <f>AND(tecantrop!J528,"AAAAAG//bzA=")</f>
        <v>#VALUE!</v>
      </c>
      <c r="AX159" t="e">
        <f>AND(tecantrop!K528,"AAAAAG//bzE=")</f>
        <v>#VALUE!</v>
      </c>
      <c r="AY159" t="e">
        <f>AND(tecantrop!L528,"AAAAAG//bzI=")</f>
        <v>#VALUE!</v>
      </c>
      <c r="AZ159" t="e">
        <f>AND(tecantrop!M528,"AAAAAG//bzM=")</f>
        <v>#VALUE!</v>
      </c>
      <c r="BA159" t="e">
        <f>AND(tecantrop!N528,"AAAAAG//bzQ=")</f>
        <v>#VALUE!</v>
      </c>
      <c r="BB159" t="e">
        <f>AND(tecantrop!O528,"AAAAAG//bzU=")</f>
        <v>#VALUE!</v>
      </c>
      <c r="BC159" t="e">
        <f>AND(tecantrop!P528,"AAAAAG//bzY=")</f>
        <v>#VALUE!</v>
      </c>
      <c r="BD159" t="e">
        <f>AND(tecantrop!Q528,"AAAAAG//bzc=")</f>
        <v>#VALUE!</v>
      </c>
      <c r="BE159" t="e">
        <f>AND(tecantrop!R528,"AAAAAG//bzg=")</f>
        <v>#VALUE!</v>
      </c>
      <c r="BF159" t="e">
        <f>AND(tecantrop!S528,"AAAAAG//bzk=")</f>
        <v>#VALUE!</v>
      </c>
      <c r="BG159" t="e">
        <f>AND(tecantrop!T528,"AAAAAG//bzo=")</f>
        <v>#VALUE!</v>
      </c>
      <c r="BH159" t="e">
        <f>AND(tecantrop!U528,"AAAAAG//bzs=")</f>
        <v>#VALUE!</v>
      </c>
      <c r="BI159" t="e">
        <f>AND(tecantrop!V528,"AAAAAG//bzw=")</f>
        <v>#VALUE!</v>
      </c>
      <c r="BJ159" t="e">
        <f>AND(tecantrop!W528,"AAAAAG//bz0=")</f>
        <v>#VALUE!</v>
      </c>
      <c r="BK159" t="e">
        <f>AND(tecantrop!X528,"AAAAAG//bz4=")</f>
        <v>#VALUE!</v>
      </c>
      <c r="BL159">
        <f>IF(tecantrop!529:529,"AAAAAG//bz8=",0)</f>
        <v>0</v>
      </c>
      <c r="BM159" t="e">
        <f>AND(tecantrop!A529,"AAAAAG//b0A=")</f>
        <v>#VALUE!</v>
      </c>
      <c r="BN159" t="e">
        <f>AND(tecantrop!B529,"AAAAAG//b0E=")</f>
        <v>#VALUE!</v>
      </c>
      <c r="BO159" t="e">
        <f>AND(tecantrop!C529,"AAAAAG//b0I=")</f>
        <v>#VALUE!</v>
      </c>
      <c r="BP159" t="e">
        <f>AND(tecantrop!D529,"AAAAAG//b0M=")</f>
        <v>#VALUE!</v>
      </c>
      <c r="BQ159" t="e">
        <f>AND(tecantrop!E529,"AAAAAG//b0Q=")</f>
        <v>#VALUE!</v>
      </c>
      <c r="BR159" t="e">
        <f>AND(tecantrop!F529,"AAAAAG//b0U=")</f>
        <v>#VALUE!</v>
      </c>
      <c r="BS159" t="e">
        <f>AND(tecantrop!G529,"AAAAAG//b0Y=")</f>
        <v>#VALUE!</v>
      </c>
      <c r="BT159" t="e">
        <f>AND(tecantrop!H529,"AAAAAG//b0c=")</f>
        <v>#VALUE!</v>
      </c>
      <c r="BU159" t="e">
        <f>AND(tecantrop!I529,"AAAAAG//b0g=")</f>
        <v>#VALUE!</v>
      </c>
      <c r="BV159" t="e">
        <f>AND(tecantrop!J529,"AAAAAG//b0k=")</f>
        <v>#VALUE!</v>
      </c>
      <c r="BW159" t="e">
        <f>AND(tecantrop!K529,"AAAAAG//b0o=")</f>
        <v>#VALUE!</v>
      </c>
      <c r="BX159" t="e">
        <f>AND(tecantrop!L529,"AAAAAG//b0s=")</f>
        <v>#VALUE!</v>
      </c>
      <c r="BY159" t="e">
        <f>AND(tecantrop!M529,"AAAAAG//b0w=")</f>
        <v>#VALUE!</v>
      </c>
      <c r="BZ159" t="e">
        <f>AND(tecantrop!N529,"AAAAAG//b00=")</f>
        <v>#VALUE!</v>
      </c>
      <c r="CA159" t="e">
        <f>AND(tecantrop!O529,"AAAAAG//b04=")</f>
        <v>#VALUE!</v>
      </c>
      <c r="CB159" t="e">
        <f>AND(tecantrop!P529,"AAAAAG//b08=")</f>
        <v>#VALUE!</v>
      </c>
      <c r="CC159" t="e">
        <f>AND(tecantrop!Q529,"AAAAAG//b1A=")</f>
        <v>#VALUE!</v>
      </c>
      <c r="CD159" t="e">
        <f>AND(tecantrop!R529,"AAAAAG//b1E=")</f>
        <v>#VALUE!</v>
      </c>
      <c r="CE159" t="e">
        <f>AND(tecantrop!S529,"AAAAAG//b1I=")</f>
        <v>#VALUE!</v>
      </c>
      <c r="CF159" t="e">
        <f>AND(tecantrop!T529,"AAAAAG//b1M=")</f>
        <v>#VALUE!</v>
      </c>
      <c r="CG159" t="e">
        <f>AND(tecantrop!U529,"AAAAAG//b1Q=")</f>
        <v>#VALUE!</v>
      </c>
      <c r="CH159" t="e">
        <f>AND(tecantrop!V529,"AAAAAG//b1U=")</f>
        <v>#VALUE!</v>
      </c>
      <c r="CI159" t="e">
        <f>AND(tecantrop!W529,"AAAAAG//b1Y=")</f>
        <v>#VALUE!</v>
      </c>
      <c r="CJ159" t="e">
        <f>AND(tecantrop!X529,"AAAAAG//b1c=")</f>
        <v>#VALUE!</v>
      </c>
      <c r="CK159">
        <f>IF(tecantrop!530:530,"AAAAAG//b1g=",0)</f>
        <v>0</v>
      </c>
      <c r="CL159" t="e">
        <f>AND(tecantrop!A530,"AAAAAG//b1k=")</f>
        <v>#VALUE!</v>
      </c>
      <c r="CM159" t="e">
        <f>AND(tecantrop!B530,"AAAAAG//b1o=")</f>
        <v>#VALUE!</v>
      </c>
      <c r="CN159" t="e">
        <f>AND(tecantrop!C530,"AAAAAG//b1s=")</f>
        <v>#VALUE!</v>
      </c>
      <c r="CO159" t="e">
        <f>AND(tecantrop!D530,"AAAAAG//b1w=")</f>
        <v>#VALUE!</v>
      </c>
      <c r="CP159" t="e">
        <f>AND(tecantrop!E530,"AAAAAG//b10=")</f>
        <v>#VALUE!</v>
      </c>
      <c r="CQ159" t="e">
        <f>AND(tecantrop!F530,"AAAAAG//b14=")</f>
        <v>#VALUE!</v>
      </c>
      <c r="CR159" t="e">
        <f>AND(tecantrop!G530,"AAAAAG//b18=")</f>
        <v>#VALUE!</v>
      </c>
      <c r="CS159" t="e">
        <f>AND(tecantrop!H530,"AAAAAG//b2A=")</f>
        <v>#VALUE!</v>
      </c>
      <c r="CT159" t="e">
        <f>AND(tecantrop!I530,"AAAAAG//b2E=")</f>
        <v>#VALUE!</v>
      </c>
      <c r="CU159" t="e">
        <f>AND(tecantrop!J530,"AAAAAG//b2I=")</f>
        <v>#VALUE!</v>
      </c>
      <c r="CV159" t="e">
        <f>AND(tecantrop!K530,"AAAAAG//b2M=")</f>
        <v>#VALUE!</v>
      </c>
      <c r="CW159" t="e">
        <f>AND(tecantrop!L530,"AAAAAG//b2Q=")</f>
        <v>#VALUE!</v>
      </c>
      <c r="CX159" t="e">
        <f>AND(tecantrop!M530,"AAAAAG//b2U=")</f>
        <v>#VALUE!</v>
      </c>
      <c r="CY159" t="e">
        <f>AND(tecantrop!N530,"AAAAAG//b2Y=")</f>
        <v>#VALUE!</v>
      </c>
      <c r="CZ159" t="e">
        <f>AND(tecantrop!O530,"AAAAAG//b2c=")</f>
        <v>#VALUE!</v>
      </c>
      <c r="DA159" t="e">
        <f>AND(tecantrop!P530,"AAAAAG//b2g=")</f>
        <v>#VALUE!</v>
      </c>
      <c r="DB159" t="e">
        <f>AND(tecantrop!Q530,"AAAAAG//b2k=")</f>
        <v>#VALUE!</v>
      </c>
      <c r="DC159" t="e">
        <f>AND(tecantrop!R530,"AAAAAG//b2o=")</f>
        <v>#VALUE!</v>
      </c>
      <c r="DD159" t="e">
        <f>AND(tecantrop!S530,"AAAAAG//b2s=")</f>
        <v>#VALUE!</v>
      </c>
      <c r="DE159" t="e">
        <f>AND(tecantrop!T530,"AAAAAG//b2w=")</f>
        <v>#VALUE!</v>
      </c>
      <c r="DF159" t="e">
        <f>AND(tecantrop!U530,"AAAAAG//b20=")</f>
        <v>#VALUE!</v>
      </c>
      <c r="DG159" t="e">
        <f>AND(tecantrop!V530,"AAAAAG//b24=")</f>
        <v>#VALUE!</v>
      </c>
      <c r="DH159" t="e">
        <f>AND(tecantrop!W530,"AAAAAG//b28=")</f>
        <v>#VALUE!</v>
      </c>
      <c r="DI159" t="e">
        <f>AND(tecantrop!X530,"AAAAAG//b3A=")</f>
        <v>#VALUE!</v>
      </c>
      <c r="DJ159">
        <f>IF(tecantrop!531:531,"AAAAAG//b3E=",0)</f>
        <v>0</v>
      </c>
      <c r="DK159" t="e">
        <f>AND(tecantrop!A531,"AAAAAG//b3I=")</f>
        <v>#VALUE!</v>
      </c>
      <c r="DL159" t="e">
        <f>AND(tecantrop!B531,"AAAAAG//b3M=")</f>
        <v>#VALUE!</v>
      </c>
      <c r="DM159" t="e">
        <f>AND(tecantrop!C531,"AAAAAG//b3Q=")</f>
        <v>#VALUE!</v>
      </c>
      <c r="DN159" t="e">
        <f>AND(tecantrop!D531,"AAAAAG//b3U=")</f>
        <v>#VALUE!</v>
      </c>
      <c r="DO159" t="e">
        <f>AND(tecantrop!E531,"AAAAAG//b3Y=")</f>
        <v>#VALUE!</v>
      </c>
      <c r="DP159" t="e">
        <f>AND(tecantrop!F531,"AAAAAG//b3c=")</f>
        <v>#VALUE!</v>
      </c>
      <c r="DQ159" t="e">
        <f>AND(tecantrop!G531,"AAAAAG//b3g=")</f>
        <v>#VALUE!</v>
      </c>
      <c r="DR159" t="e">
        <f>AND(tecantrop!H531,"AAAAAG//b3k=")</f>
        <v>#VALUE!</v>
      </c>
      <c r="DS159" t="e">
        <f>AND(tecantrop!I531,"AAAAAG//b3o=")</f>
        <v>#VALUE!</v>
      </c>
      <c r="DT159" t="e">
        <f>AND(tecantrop!J531,"AAAAAG//b3s=")</f>
        <v>#VALUE!</v>
      </c>
      <c r="DU159" t="e">
        <f>AND(tecantrop!K531,"AAAAAG//b3w=")</f>
        <v>#VALUE!</v>
      </c>
      <c r="DV159" t="e">
        <f>AND(tecantrop!L531,"AAAAAG//b30=")</f>
        <v>#VALUE!</v>
      </c>
      <c r="DW159" t="e">
        <f>AND(tecantrop!M531,"AAAAAG//b34=")</f>
        <v>#VALUE!</v>
      </c>
      <c r="DX159" t="e">
        <f>AND(tecantrop!N531,"AAAAAG//b38=")</f>
        <v>#VALUE!</v>
      </c>
      <c r="DY159" t="e">
        <f>AND(tecantrop!O531,"AAAAAG//b4A=")</f>
        <v>#VALUE!</v>
      </c>
      <c r="DZ159" t="e">
        <f>AND(tecantrop!P531,"AAAAAG//b4E=")</f>
        <v>#VALUE!</v>
      </c>
      <c r="EA159" t="e">
        <f>AND(tecantrop!Q531,"AAAAAG//b4I=")</f>
        <v>#VALUE!</v>
      </c>
      <c r="EB159" t="e">
        <f>AND(tecantrop!R531,"AAAAAG//b4M=")</f>
        <v>#VALUE!</v>
      </c>
      <c r="EC159" t="e">
        <f>AND(tecantrop!S531,"AAAAAG//b4Q=")</f>
        <v>#VALUE!</v>
      </c>
      <c r="ED159" t="e">
        <f>AND(tecantrop!T531,"AAAAAG//b4U=")</f>
        <v>#VALUE!</v>
      </c>
      <c r="EE159" t="e">
        <f>AND(tecantrop!U531,"AAAAAG//b4Y=")</f>
        <v>#VALUE!</v>
      </c>
      <c r="EF159" t="e">
        <f>AND(tecantrop!V531,"AAAAAG//b4c=")</f>
        <v>#VALUE!</v>
      </c>
      <c r="EG159" t="e">
        <f>AND(tecantrop!W531,"AAAAAG//b4g=")</f>
        <v>#VALUE!</v>
      </c>
      <c r="EH159" t="e">
        <f>AND(tecantrop!X531,"AAAAAG//b4k=")</f>
        <v>#VALUE!</v>
      </c>
      <c r="EI159">
        <f>IF(tecantrop!532:532,"AAAAAG//b4o=",0)</f>
        <v>0</v>
      </c>
      <c r="EJ159" t="e">
        <f>AND(tecantrop!A532,"AAAAAG//b4s=")</f>
        <v>#VALUE!</v>
      </c>
      <c r="EK159" t="e">
        <f>AND(tecantrop!B532,"AAAAAG//b4w=")</f>
        <v>#VALUE!</v>
      </c>
      <c r="EL159" t="e">
        <f>AND(tecantrop!C532,"AAAAAG//b40=")</f>
        <v>#VALUE!</v>
      </c>
      <c r="EM159" t="e">
        <f>AND(tecantrop!D532,"AAAAAG//b44=")</f>
        <v>#VALUE!</v>
      </c>
      <c r="EN159" t="e">
        <f>AND(tecantrop!E532,"AAAAAG//b48=")</f>
        <v>#VALUE!</v>
      </c>
      <c r="EO159" t="e">
        <f>AND(tecantrop!F532,"AAAAAG//b5A=")</f>
        <v>#VALUE!</v>
      </c>
      <c r="EP159" t="e">
        <f>AND(tecantrop!G532,"AAAAAG//b5E=")</f>
        <v>#VALUE!</v>
      </c>
      <c r="EQ159" t="e">
        <f>AND(tecantrop!H532,"AAAAAG//b5I=")</f>
        <v>#VALUE!</v>
      </c>
      <c r="ER159" t="e">
        <f>AND(tecantrop!I532,"AAAAAG//b5M=")</f>
        <v>#VALUE!</v>
      </c>
      <c r="ES159" t="e">
        <f>AND(tecantrop!J532,"AAAAAG//b5Q=")</f>
        <v>#VALUE!</v>
      </c>
      <c r="ET159" t="e">
        <f>AND(tecantrop!K532,"AAAAAG//b5U=")</f>
        <v>#VALUE!</v>
      </c>
      <c r="EU159" t="e">
        <f>AND(tecantrop!L532,"AAAAAG//b5Y=")</f>
        <v>#VALUE!</v>
      </c>
      <c r="EV159" t="e">
        <f>AND(tecantrop!M532,"AAAAAG//b5c=")</f>
        <v>#VALUE!</v>
      </c>
      <c r="EW159" t="e">
        <f>AND(tecantrop!N532,"AAAAAG//b5g=")</f>
        <v>#VALUE!</v>
      </c>
      <c r="EX159" t="e">
        <f>AND(tecantrop!O532,"AAAAAG//b5k=")</f>
        <v>#VALUE!</v>
      </c>
      <c r="EY159" t="e">
        <f>AND(tecantrop!P532,"AAAAAG//b5o=")</f>
        <v>#VALUE!</v>
      </c>
      <c r="EZ159" t="e">
        <f>AND(tecantrop!Q532,"AAAAAG//b5s=")</f>
        <v>#VALUE!</v>
      </c>
      <c r="FA159" t="e">
        <f>AND(tecantrop!R532,"AAAAAG//b5w=")</f>
        <v>#VALUE!</v>
      </c>
      <c r="FB159" t="e">
        <f>AND(tecantrop!S532,"AAAAAG//b50=")</f>
        <v>#VALUE!</v>
      </c>
      <c r="FC159" t="e">
        <f>AND(tecantrop!T532,"AAAAAG//b54=")</f>
        <v>#VALUE!</v>
      </c>
      <c r="FD159" t="e">
        <f>AND(tecantrop!U532,"AAAAAG//b58=")</f>
        <v>#VALUE!</v>
      </c>
      <c r="FE159" t="e">
        <f>AND(tecantrop!V532,"AAAAAG//b6A=")</f>
        <v>#VALUE!</v>
      </c>
      <c r="FF159" t="e">
        <f>AND(tecantrop!W532,"AAAAAG//b6E=")</f>
        <v>#VALUE!</v>
      </c>
      <c r="FG159" t="e">
        <f>AND(tecantrop!X532,"AAAAAG//b6I=")</f>
        <v>#VALUE!</v>
      </c>
      <c r="FH159">
        <f>IF(tecantrop!533:533,"AAAAAG//b6M=",0)</f>
        <v>0</v>
      </c>
      <c r="FI159" t="e">
        <f>AND(tecantrop!A533,"AAAAAG//b6Q=")</f>
        <v>#VALUE!</v>
      </c>
      <c r="FJ159" t="e">
        <f>AND(tecantrop!B533,"AAAAAG//b6U=")</f>
        <v>#VALUE!</v>
      </c>
      <c r="FK159" t="e">
        <f>AND(tecantrop!C533,"AAAAAG//b6Y=")</f>
        <v>#VALUE!</v>
      </c>
      <c r="FL159" t="e">
        <f>AND(tecantrop!D533,"AAAAAG//b6c=")</f>
        <v>#VALUE!</v>
      </c>
      <c r="FM159" t="e">
        <f>AND(tecantrop!E533,"AAAAAG//b6g=")</f>
        <v>#VALUE!</v>
      </c>
      <c r="FN159" t="e">
        <f>AND(tecantrop!F533,"AAAAAG//b6k=")</f>
        <v>#VALUE!</v>
      </c>
      <c r="FO159" t="e">
        <f>AND(tecantrop!G533,"AAAAAG//b6o=")</f>
        <v>#VALUE!</v>
      </c>
      <c r="FP159" t="e">
        <f>AND(tecantrop!H533,"AAAAAG//b6s=")</f>
        <v>#VALUE!</v>
      </c>
      <c r="FQ159" t="e">
        <f>AND(tecantrop!I533,"AAAAAG//b6w=")</f>
        <v>#VALUE!</v>
      </c>
      <c r="FR159" t="e">
        <f>AND(tecantrop!J533,"AAAAAG//b60=")</f>
        <v>#VALUE!</v>
      </c>
      <c r="FS159" t="e">
        <f>AND(tecantrop!K533,"AAAAAG//b64=")</f>
        <v>#VALUE!</v>
      </c>
      <c r="FT159" t="e">
        <f>AND(tecantrop!L533,"AAAAAG//b68=")</f>
        <v>#VALUE!</v>
      </c>
      <c r="FU159" t="e">
        <f>AND(tecantrop!M533,"AAAAAG//b7A=")</f>
        <v>#VALUE!</v>
      </c>
      <c r="FV159" t="e">
        <f>AND(tecantrop!N533,"AAAAAG//b7E=")</f>
        <v>#VALUE!</v>
      </c>
      <c r="FW159" t="e">
        <f>AND(tecantrop!O533,"AAAAAG//b7I=")</f>
        <v>#VALUE!</v>
      </c>
      <c r="FX159" t="e">
        <f>AND(tecantrop!P533,"AAAAAG//b7M=")</f>
        <v>#VALUE!</v>
      </c>
      <c r="FY159" t="e">
        <f>AND(tecantrop!Q533,"AAAAAG//b7Q=")</f>
        <v>#VALUE!</v>
      </c>
      <c r="FZ159" t="e">
        <f>AND(tecantrop!R533,"AAAAAG//b7U=")</f>
        <v>#VALUE!</v>
      </c>
      <c r="GA159" t="e">
        <f>AND(tecantrop!S533,"AAAAAG//b7Y=")</f>
        <v>#VALUE!</v>
      </c>
      <c r="GB159" t="e">
        <f>AND(tecantrop!T533,"AAAAAG//b7c=")</f>
        <v>#VALUE!</v>
      </c>
      <c r="GC159" t="e">
        <f>AND(tecantrop!U533,"AAAAAG//b7g=")</f>
        <v>#VALUE!</v>
      </c>
      <c r="GD159" t="e">
        <f>AND(tecantrop!V533,"AAAAAG//b7k=")</f>
        <v>#VALUE!</v>
      </c>
      <c r="GE159" t="e">
        <f>AND(tecantrop!W533,"AAAAAG//b7o=")</f>
        <v>#VALUE!</v>
      </c>
      <c r="GF159" t="e">
        <f>AND(tecantrop!X533,"AAAAAG//b7s=")</f>
        <v>#VALUE!</v>
      </c>
      <c r="GG159">
        <f>IF(tecantrop!534:534,"AAAAAG//b7w=",0)</f>
        <v>0</v>
      </c>
      <c r="GH159" t="e">
        <f>AND(tecantrop!A534,"AAAAAG//b70=")</f>
        <v>#VALUE!</v>
      </c>
      <c r="GI159" t="e">
        <f>AND(tecantrop!B534,"AAAAAG//b74=")</f>
        <v>#VALUE!</v>
      </c>
      <c r="GJ159" t="e">
        <f>AND(tecantrop!C534,"AAAAAG//b78=")</f>
        <v>#VALUE!</v>
      </c>
      <c r="GK159" t="e">
        <f>AND(tecantrop!D534,"AAAAAG//b8A=")</f>
        <v>#VALUE!</v>
      </c>
      <c r="GL159" t="e">
        <f>AND(tecantrop!E534,"AAAAAG//b8E=")</f>
        <v>#VALUE!</v>
      </c>
      <c r="GM159" t="e">
        <f>AND(tecantrop!F534,"AAAAAG//b8I=")</f>
        <v>#VALUE!</v>
      </c>
      <c r="GN159" t="e">
        <f>AND(tecantrop!G534,"AAAAAG//b8M=")</f>
        <v>#VALUE!</v>
      </c>
      <c r="GO159" t="e">
        <f>AND(tecantrop!H534,"AAAAAG//b8Q=")</f>
        <v>#VALUE!</v>
      </c>
      <c r="GP159" t="e">
        <f>AND(tecantrop!I534,"AAAAAG//b8U=")</f>
        <v>#VALUE!</v>
      </c>
      <c r="GQ159" t="e">
        <f>AND(tecantrop!J534,"AAAAAG//b8Y=")</f>
        <v>#VALUE!</v>
      </c>
      <c r="GR159" t="e">
        <f>AND(tecantrop!K534,"AAAAAG//b8c=")</f>
        <v>#VALUE!</v>
      </c>
      <c r="GS159" t="e">
        <f>AND(tecantrop!L534,"AAAAAG//b8g=")</f>
        <v>#VALUE!</v>
      </c>
      <c r="GT159" t="e">
        <f>AND(tecantrop!M534,"AAAAAG//b8k=")</f>
        <v>#VALUE!</v>
      </c>
      <c r="GU159" t="e">
        <f>AND(tecantrop!N534,"AAAAAG//b8o=")</f>
        <v>#VALUE!</v>
      </c>
      <c r="GV159" t="e">
        <f>AND(tecantrop!O534,"AAAAAG//b8s=")</f>
        <v>#VALUE!</v>
      </c>
      <c r="GW159" t="e">
        <f>AND(tecantrop!P534,"AAAAAG//b8w=")</f>
        <v>#VALUE!</v>
      </c>
      <c r="GX159" t="e">
        <f>AND(tecantrop!Q534,"AAAAAG//b80=")</f>
        <v>#VALUE!</v>
      </c>
      <c r="GY159" t="e">
        <f>AND(tecantrop!R534,"AAAAAG//b84=")</f>
        <v>#VALUE!</v>
      </c>
      <c r="GZ159" t="e">
        <f>AND(tecantrop!S534,"AAAAAG//b88=")</f>
        <v>#VALUE!</v>
      </c>
      <c r="HA159" t="e">
        <f>AND(tecantrop!T534,"AAAAAG//b9A=")</f>
        <v>#VALUE!</v>
      </c>
      <c r="HB159" t="e">
        <f>AND(tecantrop!U534,"AAAAAG//b9E=")</f>
        <v>#VALUE!</v>
      </c>
      <c r="HC159" t="e">
        <f>AND(tecantrop!V534,"AAAAAG//b9I=")</f>
        <v>#VALUE!</v>
      </c>
      <c r="HD159" t="e">
        <f>AND(tecantrop!W534,"AAAAAG//b9M=")</f>
        <v>#VALUE!</v>
      </c>
      <c r="HE159" t="e">
        <f>AND(tecantrop!X534,"AAAAAG//b9Q=")</f>
        <v>#VALUE!</v>
      </c>
      <c r="HF159">
        <f>IF(tecantrop!535:535,"AAAAAG//b9U=",0)</f>
        <v>0</v>
      </c>
      <c r="HG159" t="e">
        <f>AND(tecantrop!A535,"AAAAAG//b9Y=")</f>
        <v>#VALUE!</v>
      </c>
      <c r="HH159" t="e">
        <f>AND(tecantrop!B535,"AAAAAG//b9c=")</f>
        <v>#VALUE!</v>
      </c>
      <c r="HI159" t="e">
        <f>AND(tecantrop!C535,"AAAAAG//b9g=")</f>
        <v>#VALUE!</v>
      </c>
      <c r="HJ159" t="e">
        <f>AND(tecantrop!D535,"AAAAAG//b9k=")</f>
        <v>#VALUE!</v>
      </c>
      <c r="HK159" t="e">
        <f>AND(tecantrop!E535,"AAAAAG//b9o=")</f>
        <v>#VALUE!</v>
      </c>
      <c r="HL159" t="e">
        <f>AND(tecantrop!F535,"AAAAAG//b9s=")</f>
        <v>#VALUE!</v>
      </c>
      <c r="HM159" t="e">
        <f>AND(tecantrop!G535,"AAAAAG//b9w=")</f>
        <v>#VALUE!</v>
      </c>
      <c r="HN159" t="e">
        <f>AND(tecantrop!H535,"AAAAAG//b90=")</f>
        <v>#VALUE!</v>
      </c>
      <c r="HO159" t="e">
        <f>AND(tecantrop!I535,"AAAAAG//b94=")</f>
        <v>#VALUE!</v>
      </c>
      <c r="HP159" t="e">
        <f>AND(tecantrop!J535,"AAAAAG//b98=")</f>
        <v>#VALUE!</v>
      </c>
      <c r="HQ159" t="e">
        <f>AND(tecantrop!K535,"AAAAAG//b+A=")</f>
        <v>#VALUE!</v>
      </c>
      <c r="HR159" t="e">
        <f>AND(tecantrop!L535,"AAAAAG//b+E=")</f>
        <v>#VALUE!</v>
      </c>
      <c r="HS159" t="e">
        <f>AND(tecantrop!M535,"AAAAAG//b+I=")</f>
        <v>#VALUE!</v>
      </c>
      <c r="HT159" t="e">
        <f>AND(tecantrop!N535,"AAAAAG//b+M=")</f>
        <v>#VALUE!</v>
      </c>
      <c r="HU159" t="e">
        <f>AND(tecantrop!O535,"AAAAAG//b+Q=")</f>
        <v>#VALUE!</v>
      </c>
      <c r="HV159" t="e">
        <f>AND(tecantrop!P535,"AAAAAG//b+U=")</f>
        <v>#VALUE!</v>
      </c>
      <c r="HW159" t="e">
        <f>AND(tecantrop!Q535,"AAAAAG//b+Y=")</f>
        <v>#VALUE!</v>
      </c>
      <c r="HX159" t="e">
        <f>AND(tecantrop!R535,"AAAAAG//b+c=")</f>
        <v>#VALUE!</v>
      </c>
      <c r="HY159" t="e">
        <f>AND(tecantrop!S535,"AAAAAG//b+g=")</f>
        <v>#VALUE!</v>
      </c>
      <c r="HZ159" t="e">
        <f>AND(tecantrop!T535,"AAAAAG//b+k=")</f>
        <v>#VALUE!</v>
      </c>
      <c r="IA159" t="e">
        <f>AND(tecantrop!U535,"AAAAAG//b+o=")</f>
        <v>#VALUE!</v>
      </c>
      <c r="IB159" t="e">
        <f>AND(tecantrop!V535,"AAAAAG//b+s=")</f>
        <v>#VALUE!</v>
      </c>
      <c r="IC159" t="e">
        <f>AND(tecantrop!W535,"AAAAAG//b+w=")</f>
        <v>#VALUE!</v>
      </c>
      <c r="ID159" t="e">
        <f>AND(tecantrop!X535,"AAAAAG//b+0=")</f>
        <v>#VALUE!</v>
      </c>
      <c r="IE159">
        <f>IF(tecantrop!536:536,"AAAAAG//b+4=",0)</f>
        <v>0</v>
      </c>
      <c r="IF159" t="e">
        <f>AND(tecantrop!A536,"AAAAAG//b+8=")</f>
        <v>#VALUE!</v>
      </c>
      <c r="IG159" t="e">
        <f>AND(tecantrop!B536,"AAAAAG//b/A=")</f>
        <v>#VALUE!</v>
      </c>
      <c r="IH159" t="e">
        <f>AND(tecantrop!C536,"AAAAAG//b/E=")</f>
        <v>#VALUE!</v>
      </c>
      <c r="II159" t="e">
        <f>AND(tecantrop!D536,"AAAAAG//b/I=")</f>
        <v>#VALUE!</v>
      </c>
      <c r="IJ159" t="e">
        <f>AND(tecantrop!E536,"AAAAAG//b/M=")</f>
        <v>#VALUE!</v>
      </c>
      <c r="IK159" t="e">
        <f>AND(tecantrop!F536,"AAAAAG//b/Q=")</f>
        <v>#VALUE!</v>
      </c>
      <c r="IL159" t="e">
        <f>AND(tecantrop!G536,"AAAAAG//b/U=")</f>
        <v>#VALUE!</v>
      </c>
      <c r="IM159" t="e">
        <f>AND(tecantrop!H536,"AAAAAG//b/Y=")</f>
        <v>#VALUE!</v>
      </c>
      <c r="IN159" t="e">
        <f>AND(tecantrop!I536,"AAAAAG//b/c=")</f>
        <v>#VALUE!</v>
      </c>
      <c r="IO159" t="e">
        <f>AND(tecantrop!J536,"AAAAAG//b/g=")</f>
        <v>#VALUE!</v>
      </c>
      <c r="IP159" t="e">
        <f>AND(tecantrop!K536,"AAAAAG//b/k=")</f>
        <v>#VALUE!</v>
      </c>
      <c r="IQ159" t="e">
        <f>AND(tecantrop!L536,"AAAAAG//b/o=")</f>
        <v>#VALUE!</v>
      </c>
      <c r="IR159" t="e">
        <f>AND(tecantrop!M536,"AAAAAG//b/s=")</f>
        <v>#VALUE!</v>
      </c>
      <c r="IS159" t="e">
        <f>AND(tecantrop!N536,"AAAAAG//b/w=")</f>
        <v>#VALUE!</v>
      </c>
      <c r="IT159" t="e">
        <f>AND(tecantrop!O536,"AAAAAG//b/0=")</f>
        <v>#VALUE!</v>
      </c>
      <c r="IU159" t="e">
        <f>AND(tecantrop!P536,"AAAAAG//b/4=")</f>
        <v>#VALUE!</v>
      </c>
      <c r="IV159" t="e">
        <f>AND(tecantrop!Q536,"AAAAAG//b/8=")</f>
        <v>#VALUE!</v>
      </c>
    </row>
    <row r="160" spans="1:256" x14ac:dyDescent="0.2">
      <c r="A160" t="e">
        <f>AND(tecantrop!R536,"AAAAAH/fdwA=")</f>
        <v>#VALUE!</v>
      </c>
      <c r="B160" t="e">
        <f>AND(tecantrop!S536,"AAAAAH/fdwE=")</f>
        <v>#VALUE!</v>
      </c>
      <c r="C160" t="e">
        <f>AND(tecantrop!T536,"AAAAAH/fdwI=")</f>
        <v>#VALUE!</v>
      </c>
      <c r="D160" t="e">
        <f>AND(tecantrop!U536,"AAAAAH/fdwM=")</f>
        <v>#VALUE!</v>
      </c>
      <c r="E160" t="e">
        <f>AND(tecantrop!V536,"AAAAAH/fdwQ=")</f>
        <v>#VALUE!</v>
      </c>
      <c r="F160" t="e">
        <f>AND(tecantrop!W536,"AAAAAH/fdwU=")</f>
        <v>#VALUE!</v>
      </c>
      <c r="G160" t="e">
        <f>AND(tecantrop!X536,"AAAAAH/fdwY=")</f>
        <v>#VALUE!</v>
      </c>
      <c r="H160">
        <f>IF(tecantrop!537:537,"AAAAAH/fdwc=",0)</f>
        <v>0</v>
      </c>
      <c r="I160" t="e">
        <f>AND(tecantrop!A537,"AAAAAH/fdwg=")</f>
        <v>#VALUE!</v>
      </c>
      <c r="J160" t="e">
        <f>AND(tecantrop!B537,"AAAAAH/fdwk=")</f>
        <v>#VALUE!</v>
      </c>
      <c r="K160" t="e">
        <f>AND(tecantrop!C537,"AAAAAH/fdwo=")</f>
        <v>#VALUE!</v>
      </c>
      <c r="L160" t="e">
        <f>AND(tecantrop!D537,"AAAAAH/fdws=")</f>
        <v>#VALUE!</v>
      </c>
      <c r="M160" t="e">
        <f>AND(tecantrop!E537,"AAAAAH/fdww=")</f>
        <v>#VALUE!</v>
      </c>
      <c r="N160" t="e">
        <f>AND(tecantrop!F537,"AAAAAH/fdw0=")</f>
        <v>#VALUE!</v>
      </c>
      <c r="O160" t="e">
        <f>AND(tecantrop!G537,"AAAAAH/fdw4=")</f>
        <v>#VALUE!</v>
      </c>
      <c r="P160" t="e">
        <f>AND(tecantrop!H537,"AAAAAH/fdw8=")</f>
        <v>#VALUE!</v>
      </c>
      <c r="Q160" t="e">
        <f>AND(tecantrop!I537,"AAAAAH/fdxA=")</f>
        <v>#VALUE!</v>
      </c>
      <c r="R160" t="e">
        <f>AND(tecantrop!J537,"AAAAAH/fdxE=")</f>
        <v>#VALUE!</v>
      </c>
      <c r="S160" t="e">
        <f>AND(tecantrop!K537,"AAAAAH/fdxI=")</f>
        <v>#VALUE!</v>
      </c>
      <c r="T160" t="e">
        <f>AND(tecantrop!L537,"AAAAAH/fdxM=")</f>
        <v>#VALUE!</v>
      </c>
      <c r="U160" t="e">
        <f>AND(tecantrop!M537,"AAAAAH/fdxQ=")</f>
        <v>#VALUE!</v>
      </c>
      <c r="V160" t="e">
        <f>AND(tecantrop!N537,"AAAAAH/fdxU=")</f>
        <v>#VALUE!</v>
      </c>
      <c r="W160" t="e">
        <f>AND(tecantrop!O537,"AAAAAH/fdxY=")</f>
        <v>#VALUE!</v>
      </c>
      <c r="X160" t="e">
        <f>AND(tecantrop!P537,"AAAAAH/fdxc=")</f>
        <v>#VALUE!</v>
      </c>
      <c r="Y160" t="e">
        <f>AND(tecantrop!Q537,"AAAAAH/fdxg=")</f>
        <v>#VALUE!</v>
      </c>
      <c r="Z160" t="e">
        <f>AND(tecantrop!R537,"AAAAAH/fdxk=")</f>
        <v>#VALUE!</v>
      </c>
      <c r="AA160" t="e">
        <f>AND(tecantrop!S537,"AAAAAH/fdxo=")</f>
        <v>#VALUE!</v>
      </c>
      <c r="AB160" t="e">
        <f>AND(tecantrop!T537,"AAAAAH/fdxs=")</f>
        <v>#VALUE!</v>
      </c>
      <c r="AC160" t="e">
        <f>AND(tecantrop!U537,"AAAAAH/fdxw=")</f>
        <v>#VALUE!</v>
      </c>
      <c r="AD160" t="e">
        <f>AND(tecantrop!V537,"AAAAAH/fdx0=")</f>
        <v>#VALUE!</v>
      </c>
      <c r="AE160" t="e">
        <f>AND(tecantrop!W537,"AAAAAH/fdx4=")</f>
        <v>#VALUE!</v>
      </c>
      <c r="AF160" t="e">
        <f>AND(tecantrop!X537,"AAAAAH/fdx8=")</f>
        <v>#VALUE!</v>
      </c>
      <c r="AG160">
        <f>IF(tecantrop!538:538,"AAAAAH/fdyA=",0)</f>
        <v>0</v>
      </c>
      <c r="AH160" t="e">
        <f>AND(tecantrop!A538,"AAAAAH/fdyE=")</f>
        <v>#VALUE!</v>
      </c>
      <c r="AI160" t="e">
        <f>AND(tecantrop!B538,"AAAAAH/fdyI=")</f>
        <v>#VALUE!</v>
      </c>
      <c r="AJ160" t="e">
        <f>AND(tecantrop!C538,"AAAAAH/fdyM=")</f>
        <v>#VALUE!</v>
      </c>
      <c r="AK160" t="e">
        <f>AND(tecantrop!D538,"AAAAAH/fdyQ=")</f>
        <v>#VALUE!</v>
      </c>
      <c r="AL160" t="e">
        <f>AND(tecantrop!E538,"AAAAAH/fdyU=")</f>
        <v>#VALUE!</v>
      </c>
      <c r="AM160" t="e">
        <f>AND(tecantrop!F538,"AAAAAH/fdyY=")</f>
        <v>#VALUE!</v>
      </c>
      <c r="AN160" t="e">
        <f>AND(tecantrop!G538,"AAAAAH/fdyc=")</f>
        <v>#VALUE!</v>
      </c>
      <c r="AO160" t="e">
        <f>AND(tecantrop!H538,"AAAAAH/fdyg=")</f>
        <v>#VALUE!</v>
      </c>
      <c r="AP160" t="e">
        <f>AND(tecantrop!I538,"AAAAAH/fdyk=")</f>
        <v>#VALUE!</v>
      </c>
      <c r="AQ160" t="e">
        <f>AND(tecantrop!J538,"AAAAAH/fdyo=")</f>
        <v>#VALUE!</v>
      </c>
      <c r="AR160" t="e">
        <f>AND(tecantrop!K538,"AAAAAH/fdys=")</f>
        <v>#VALUE!</v>
      </c>
      <c r="AS160" t="e">
        <f>AND(tecantrop!L538,"AAAAAH/fdyw=")</f>
        <v>#VALUE!</v>
      </c>
      <c r="AT160" t="e">
        <f>AND(tecantrop!M538,"AAAAAH/fdy0=")</f>
        <v>#VALUE!</v>
      </c>
      <c r="AU160" t="e">
        <f>AND(tecantrop!N538,"AAAAAH/fdy4=")</f>
        <v>#VALUE!</v>
      </c>
      <c r="AV160" t="e">
        <f>AND(tecantrop!O538,"AAAAAH/fdy8=")</f>
        <v>#VALUE!</v>
      </c>
      <c r="AW160" t="e">
        <f>AND(tecantrop!P538,"AAAAAH/fdzA=")</f>
        <v>#VALUE!</v>
      </c>
      <c r="AX160" t="e">
        <f>AND(tecantrop!Q538,"AAAAAH/fdzE=")</f>
        <v>#VALUE!</v>
      </c>
      <c r="AY160" t="e">
        <f>AND(tecantrop!R538,"AAAAAH/fdzI=")</f>
        <v>#VALUE!</v>
      </c>
      <c r="AZ160" t="e">
        <f>AND(tecantrop!S538,"AAAAAH/fdzM=")</f>
        <v>#VALUE!</v>
      </c>
      <c r="BA160" t="e">
        <f>AND(tecantrop!T538,"AAAAAH/fdzQ=")</f>
        <v>#VALUE!</v>
      </c>
      <c r="BB160" t="e">
        <f>AND(tecantrop!U538,"AAAAAH/fdzU=")</f>
        <v>#VALUE!</v>
      </c>
      <c r="BC160" t="e">
        <f>AND(tecantrop!V538,"AAAAAH/fdzY=")</f>
        <v>#VALUE!</v>
      </c>
      <c r="BD160" t="e">
        <f>AND(tecantrop!W538,"AAAAAH/fdzc=")</f>
        <v>#VALUE!</v>
      </c>
      <c r="BE160" t="e">
        <f>AND(tecantrop!X538,"AAAAAH/fdzg=")</f>
        <v>#VALUE!</v>
      </c>
      <c r="BF160">
        <f>IF(tecantrop!539:539,"AAAAAH/fdzk=",0)</f>
        <v>0</v>
      </c>
      <c r="BG160" t="e">
        <f>AND(tecantrop!A539,"AAAAAH/fdzo=")</f>
        <v>#VALUE!</v>
      </c>
      <c r="BH160" t="e">
        <f>AND(tecantrop!B539,"AAAAAH/fdzs=")</f>
        <v>#VALUE!</v>
      </c>
      <c r="BI160" t="e">
        <f>AND(tecantrop!C539,"AAAAAH/fdzw=")</f>
        <v>#VALUE!</v>
      </c>
      <c r="BJ160" t="e">
        <f>AND(tecantrop!D539,"AAAAAH/fdz0=")</f>
        <v>#VALUE!</v>
      </c>
      <c r="BK160" t="e">
        <f>AND(tecantrop!E539,"AAAAAH/fdz4=")</f>
        <v>#VALUE!</v>
      </c>
      <c r="BL160" t="e">
        <f>AND(tecantrop!F539,"AAAAAH/fdz8=")</f>
        <v>#VALUE!</v>
      </c>
      <c r="BM160" t="e">
        <f>AND(tecantrop!G539,"AAAAAH/fd0A=")</f>
        <v>#VALUE!</v>
      </c>
      <c r="BN160" t="e">
        <f>AND(tecantrop!H539,"AAAAAH/fd0E=")</f>
        <v>#VALUE!</v>
      </c>
      <c r="BO160" t="e">
        <f>AND(tecantrop!I539,"AAAAAH/fd0I=")</f>
        <v>#VALUE!</v>
      </c>
      <c r="BP160" t="e">
        <f>AND(tecantrop!J539,"AAAAAH/fd0M=")</f>
        <v>#VALUE!</v>
      </c>
      <c r="BQ160" t="e">
        <f>AND(tecantrop!K539,"AAAAAH/fd0Q=")</f>
        <v>#VALUE!</v>
      </c>
      <c r="BR160" t="e">
        <f>AND(tecantrop!L539,"AAAAAH/fd0U=")</f>
        <v>#VALUE!</v>
      </c>
      <c r="BS160" t="e">
        <f>AND(tecantrop!M539,"AAAAAH/fd0Y=")</f>
        <v>#VALUE!</v>
      </c>
      <c r="BT160" t="e">
        <f>AND(tecantrop!N539,"AAAAAH/fd0c=")</f>
        <v>#VALUE!</v>
      </c>
      <c r="BU160" t="e">
        <f>AND(tecantrop!O539,"AAAAAH/fd0g=")</f>
        <v>#VALUE!</v>
      </c>
      <c r="BV160" t="e">
        <f>AND(tecantrop!P539,"AAAAAH/fd0k=")</f>
        <v>#VALUE!</v>
      </c>
      <c r="BW160" t="e">
        <f>AND(tecantrop!Q539,"AAAAAH/fd0o=")</f>
        <v>#VALUE!</v>
      </c>
      <c r="BX160" t="e">
        <f>AND(tecantrop!R539,"AAAAAH/fd0s=")</f>
        <v>#VALUE!</v>
      </c>
      <c r="BY160" t="e">
        <f>AND(tecantrop!S539,"AAAAAH/fd0w=")</f>
        <v>#VALUE!</v>
      </c>
      <c r="BZ160" t="e">
        <f>AND(tecantrop!T539,"AAAAAH/fd00=")</f>
        <v>#VALUE!</v>
      </c>
      <c r="CA160" t="e">
        <f>AND(tecantrop!U539,"AAAAAH/fd04=")</f>
        <v>#VALUE!</v>
      </c>
      <c r="CB160" t="e">
        <f>AND(tecantrop!V539,"AAAAAH/fd08=")</f>
        <v>#VALUE!</v>
      </c>
      <c r="CC160" t="e">
        <f>AND(tecantrop!W539,"AAAAAH/fd1A=")</f>
        <v>#VALUE!</v>
      </c>
      <c r="CD160" t="e">
        <f>AND(tecantrop!X539,"AAAAAH/fd1E=")</f>
        <v>#VALUE!</v>
      </c>
      <c r="CE160">
        <f>IF(tecantrop!540:540,"AAAAAH/fd1I=",0)</f>
        <v>0</v>
      </c>
      <c r="CF160" t="e">
        <f>AND(tecantrop!A540,"AAAAAH/fd1M=")</f>
        <v>#VALUE!</v>
      </c>
      <c r="CG160" t="e">
        <f>AND(tecantrop!B540,"AAAAAH/fd1Q=")</f>
        <v>#VALUE!</v>
      </c>
      <c r="CH160" t="e">
        <f>AND(tecantrop!C540,"AAAAAH/fd1U=")</f>
        <v>#VALUE!</v>
      </c>
      <c r="CI160" t="e">
        <f>AND(tecantrop!D540,"AAAAAH/fd1Y=")</f>
        <v>#VALUE!</v>
      </c>
      <c r="CJ160" t="e">
        <f>AND(tecantrop!E540,"AAAAAH/fd1c=")</f>
        <v>#VALUE!</v>
      </c>
      <c r="CK160" t="e">
        <f>AND(tecantrop!F540,"AAAAAH/fd1g=")</f>
        <v>#VALUE!</v>
      </c>
      <c r="CL160" t="e">
        <f>AND(tecantrop!G540,"AAAAAH/fd1k=")</f>
        <v>#VALUE!</v>
      </c>
      <c r="CM160" t="e">
        <f>AND(tecantrop!H540,"AAAAAH/fd1o=")</f>
        <v>#VALUE!</v>
      </c>
      <c r="CN160" t="e">
        <f>AND(tecantrop!I540,"AAAAAH/fd1s=")</f>
        <v>#VALUE!</v>
      </c>
      <c r="CO160" t="e">
        <f>AND(tecantrop!J540,"AAAAAH/fd1w=")</f>
        <v>#VALUE!</v>
      </c>
      <c r="CP160" t="e">
        <f>AND(tecantrop!K540,"AAAAAH/fd10=")</f>
        <v>#VALUE!</v>
      </c>
      <c r="CQ160" t="e">
        <f>AND(tecantrop!L540,"AAAAAH/fd14=")</f>
        <v>#VALUE!</v>
      </c>
      <c r="CR160" t="e">
        <f>AND(tecantrop!M540,"AAAAAH/fd18=")</f>
        <v>#VALUE!</v>
      </c>
      <c r="CS160" t="e">
        <f>AND(tecantrop!N540,"AAAAAH/fd2A=")</f>
        <v>#VALUE!</v>
      </c>
      <c r="CT160" t="e">
        <f>AND(tecantrop!O540,"AAAAAH/fd2E=")</f>
        <v>#VALUE!</v>
      </c>
      <c r="CU160" t="e">
        <f>AND(tecantrop!P540,"AAAAAH/fd2I=")</f>
        <v>#VALUE!</v>
      </c>
      <c r="CV160" t="e">
        <f>AND(tecantrop!Q540,"AAAAAH/fd2M=")</f>
        <v>#VALUE!</v>
      </c>
      <c r="CW160" t="e">
        <f>AND(tecantrop!R540,"AAAAAH/fd2Q=")</f>
        <v>#VALUE!</v>
      </c>
      <c r="CX160" t="e">
        <f>AND(tecantrop!S540,"AAAAAH/fd2U=")</f>
        <v>#VALUE!</v>
      </c>
      <c r="CY160" t="e">
        <f>AND(tecantrop!T540,"AAAAAH/fd2Y=")</f>
        <v>#VALUE!</v>
      </c>
      <c r="CZ160" t="e">
        <f>AND(tecantrop!U540,"AAAAAH/fd2c=")</f>
        <v>#VALUE!</v>
      </c>
      <c r="DA160" t="e">
        <f>AND(tecantrop!V540,"AAAAAH/fd2g=")</f>
        <v>#VALUE!</v>
      </c>
      <c r="DB160" t="e">
        <f>AND(tecantrop!W540,"AAAAAH/fd2k=")</f>
        <v>#VALUE!</v>
      </c>
      <c r="DC160" t="e">
        <f>AND(tecantrop!X540,"AAAAAH/fd2o=")</f>
        <v>#VALUE!</v>
      </c>
      <c r="DD160">
        <f>IF(tecantrop!541:541,"AAAAAH/fd2s=",0)</f>
        <v>0</v>
      </c>
      <c r="DE160" t="e">
        <f>AND(tecantrop!A541,"AAAAAH/fd2w=")</f>
        <v>#VALUE!</v>
      </c>
      <c r="DF160" t="e">
        <f>AND(tecantrop!B541,"AAAAAH/fd20=")</f>
        <v>#VALUE!</v>
      </c>
      <c r="DG160" t="e">
        <f>AND(tecantrop!C541,"AAAAAH/fd24=")</f>
        <v>#VALUE!</v>
      </c>
      <c r="DH160" t="e">
        <f>AND(tecantrop!D541,"AAAAAH/fd28=")</f>
        <v>#VALUE!</v>
      </c>
      <c r="DI160" t="e">
        <f>AND(tecantrop!E541,"AAAAAH/fd3A=")</f>
        <v>#VALUE!</v>
      </c>
      <c r="DJ160" t="e">
        <f>AND(tecantrop!F541,"AAAAAH/fd3E=")</f>
        <v>#VALUE!</v>
      </c>
      <c r="DK160" t="e">
        <f>AND(tecantrop!G541,"AAAAAH/fd3I=")</f>
        <v>#VALUE!</v>
      </c>
      <c r="DL160" t="e">
        <f>AND(tecantrop!H541,"AAAAAH/fd3M=")</f>
        <v>#VALUE!</v>
      </c>
      <c r="DM160" t="e">
        <f>AND(tecantrop!I541,"AAAAAH/fd3Q=")</f>
        <v>#VALUE!</v>
      </c>
      <c r="DN160" t="e">
        <f>AND(tecantrop!J541,"AAAAAH/fd3U=")</f>
        <v>#VALUE!</v>
      </c>
      <c r="DO160" t="e">
        <f>AND(tecantrop!K541,"AAAAAH/fd3Y=")</f>
        <v>#VALUE!</v>
      </c>
      <c r="DP160" t="e">
        <f>AND(tecantrop!L541,"AAAAAH/fd3c=")</f>
        <v>#VALUE!</v>
      </c>
      <c r="DQ160" t="e">
        <f>AND(tecantrop!M541,"AAAAAH/fd3g=")</f>
        <v>#VALUE!</v>
      </c>
      <c r="DR160" t="e">
        <f>AND(tecantrop!N541,"AAAAAH/fd3k=")</f>
        <v>#VALUE!</v>
      </c>
      <c r="DS160" t="e">
        <f>AND(tecantrop!O541,"AAAAAH/fd3o=")</f>
        <v>#VALUE!</v>
      </c>
      <c r="DT160" t="e">
        <f>AND(tecantrop!P541,"AAAAAH/fd3s=")</f>
        <v>#VALUE!</v>
      </c>
      <c r="DU160" t="e">
        <f>AND(tecantrop!Q541,"AAAAAH/fd3w=")</f>
        <v>#VALUE!</v>
      </c>
      <c r="DV160" t="e">
        <f>AND(tecantrop!R541,"AAAAAH/fd30=")</f>
        <v>#VALUE!</v>
      </c>
      <c r="DW160" t="e">
        <f>AND(tecantrop!S541,"AAAAAH/fd34=")</f>
        <v>#VALUE!</v>
      </c>
      <c r="DX160" t="e">
        <f>AND(tecantrop!T541,"AAAAAH/fd38=")</f>
        <v>#VALUE!</v>
      </c>
      <c r="DY160" t="e">
        <f>AND(tecantrop!U541,"AAAAAH/fd4A=")</f>
        <v>#VALUE!</v>
      </c>
      <c r="DZ160" t="e">
        <f>AND(tecantrop!V541,"AAAAAH/fd4E=")</f>
        <v>#VALUE!</v>
      </c>
      <c r="EA160" t="e">
        <f>AND(tecantrop!W541,"AAAAAH/fd4I=")</f>
        <v>#VALUE!</v>
      </c>
      <c r="EB160" t="e">
        <f>AND(tecantrop!X541,"AAAAAH/fd4M=")</f>
        <v>#VALUE!</v>
      </c>
      <c r="EC160">
        <f>IF(tecantrop!542:542,"AAAAAH/fd4Q=",0)</f>
        <v>0</v>
      </c>
      <c r="ED160" t="e">
        <f>AND(tecantrop!A542,"AAAAAH/fd4U=")</f>
        <v>#VALUE!</v>
      </c>
      <c r="EE160" t="e">
        <f>AND(tecantrop!B542,"AAAAAH/fd4Y=")</f>
        <v>#VALUE!</v>
      </c>
      <c r="EF160" t="e">
        <f>AND(tecantrop!C542,"AAAAAH/fd4c=")</f>
        <v>#VALUE!</v>
      </c>
      <c r="EG160" t="e">
        <f>AND(tecantrop!D542,"AAAAAH/fd4g=")</f>
        <v>#VALUE!</v>
      </c>
      <c r="EH160" t="e">
        <f>AND(tecantrop!E542,"AAAAAH/fd4k=")</f>
        <v>#VALUE!</v>
      </c>
      <c r="EI160" t="e">
        <f>AND(tecantrop!F542,"AAAAAH/fd4o=")</f>
        <v>#VALUE!</v>
      </c>
      <c r="EJ160" t="e">
        <f>AND(tecantrop!G542,"AAAAAH/fd4s=")</f>
        <v>#VALUE!</v>
      </c>
      <c r="EK160" t="e">
        <f>AND(tecantrop!H542,"AAAAAH/fd4w=")</f>
        <v>#VALUE!</v>
      </c>
      <c r="EL160" t="e">
        <f>AND(tecantrop!I542,"AAAAAH/fd40=")</f>
        <v>#VALUE!</v>
      </c>
      <c r="EM160" t="e">
        <f>AND(tecantrop!J542,"AAAAAH/fd44=")</f>
        <v>#VALUE!</v>
      </c>
      <c r="EN160" t="e">
        <f>AND(tecantrop!K542,"AAAAAH/fd48=")</f>
        <v>#VALUE!</v>
      </c>
      <c r="EO160" t="e">
        <f>AND(tecantrop!L542,"AAAAAH/fd5A=")</f>
        <v>#VALUE!</v>
      </c>
      <c r="EP160" t="e">
        <f>AND(tecantrop!M542,"AAAAAH/fd5E=")</f>
        <v>#VALUE!</v>
      </c>
      <c r="EQ160" t="e">
        <f>AND(tecantrop!N542,"AAAAAH/fd5I=")</f>
        <v>#VALUE!</v>
      </c>
      <c r="ER160" t="e">
        <f>AND(tecantrop!O542,"AAAAAH/fd5M=")</f>
        <v>#VALUE!</v>
      </c>
      <c r="ES160" t="e">
        <f>AND(tecantrop!P542,"AAAAAH/fd5Q=")</f>
        <v>#VALUE!</v>
      </c>
      <c r="ET160" t="e">
        <f>AND(tecantrop!Q542,"AAAAAH/fd5U=")</f>
        <v>#VALUE!</v>
      </c>
      <c r="EU160" t="e">
        <f>AND(tecantrop!R542,"AAAAAH/fd5Y=")</f>
        <v>#VALUE!</v>
      </c>
      <c r="EV160" t="e">
        <f>AND(tecantrop!S542,"AAAAAH/fd5c=")</f>
        <v>#VALUE!</v>
      </c>
      <c r="EW160" t="e">
        <f>AND(tecantrop!T542,"AAAAAH/fd5g=")</f>
        <v>#VALUE!</v>
      </c>
      <c r="EX160" t="e">
        <f>AND(tecantrop!U542,"AAAAAH/fd5k=")</f>
        <v>#VALUE!</v>
      </c>
      <c r="EY160" t="e">
        <f>AND(tecantrop!V542,"AAAAAH/fd5o=")</f>
        <v>#VALUE!</v>
      </c>
      <c r="EZ160" t="e">
        <f>AND(tecantrop!W542,"AAAAAH/fd5s=")</f>
        <v>#VALUE!</v>
      </c>
      <c r="FA160" t="e">
        <f>AND(tecantrop!X542,"AAAAAH/fd5w=")</f>
        <v>#VALUE!</v>
      </c>
      <c r="FB160">
        <f>IF(tecantrop!543:543,"AAAAAH/fd50=",0)</f>
        <v>0</v>
      </c>
      <c r="FC160" t="e">
        <f>AND(tecantrop!A543,"AAAAAH/fd54=")</f>
        <v>#VALUE!</v>
      </c>
      <c r="FD160" t="e">
        <f>AND(tecantrop!B543,"AAAAAH/fd58=")</f>
        <v>#VALUE!</v>
      </c>
      <c r="FE160" t="e">
        <f>AND(tecantrop!C543,"AAAAAH/fd6A=")</f>
        <v>#VALUE!</v>
      </c>
      <c r="FF160" t="e">
        <f>AND(tecantrop!D543,"AAAAAH/fd6E=")</f>
        <v>#VALUE!</v>
      </c>
      <c r="FG160" t="e">
        <f>AND(tecantrop!E543,"AAAAAH/fd6I=")</f>
        <v>#VALUE!</v>
      </c>
      <c r="FH160" t="e">
        <f>AND(tecantrop!F543,"AAAAAH/fd6M=")</f>
        <v>#VALUE!</v>
      </c>
      <c r="FI160" t="e">
        <f>AND(tecantrop!G543,"AAAAAH/fd6Q=")</f>
        <v>#VALUE!</v>
      </c>
      <c r="FJ160" t="e">
        <f>AND(tecantrop!H543,"AAAAAH/fd6U=")</f>
        <v>#VALUE!</v>
      </c>
      <c r="FK160" t="e">
        <f>AND(tecantrop!I543,"AAAAAH/fd6Y=")</f>
        <v>#VALUE!</v>
      </c>
      <c r="FL160" t="e">
        <f>AND(tecantrop!J543,"AAAAAH/fd6c=")</f>
        <v>#VALUE!</v>
      </c>
      <c r="FM160" t="e">
        <f>AND(tecantrop!K543,"AAAAAH/fd6g=")</f>
        <v>#VALUE!</v>
      </c>
      <c r="FN160" t="e">
        <f>AND(tecantrop!L543,"AAAAAH/fd6k=")</f>
        <v>#VALUE!</v>
      </c>
      <c r="FO160" t="e">
        <f>AND(tecantrop!M543,"AAAAAH/fd6o=")</f>
        <v>#VALUE!</v>
      </c>
      <c r="FP160" t="e">
        <f>AND(tecantrop!N543,"AAAAAH/fd6s=")</f>
        <v>#VALUE!</v>
      </c>
      <c r="FQ160" t="e">
        <f>AND(tecantrop!O543,"AAAAAH/fd6w=")</f>
        <v>#VALUE!</v>
      </c>
      <c r="FR160" t="e">
        <f>AND(tecantrop!P543,"AAAAAH/fd60=")</f>
        <v>#VALUE!</v>
      </c>
      <c r="FS160" t="e">
        <f>AND(tecantrop!Q543,"AAAAAH/fd64=")</f>
        <v>#VALUE!</v>
      </c>
      <c r="FT160" t="e">
        <f>AND(tecantrop!R543,"AAAAAH/fd68=")</f>
        <v>#VALUE!</v>
      </c>
      <c r="FU160" t="e">
        <f>AND(tecantrop!S543,"AAAAAH/fd7A=")</f>
        <v>#VALUE!</v>
      </c>
      <c r="FV160" t="e">
        <f>AND(tecantrop!T543,"AAAAAH/fd7E=")</f>
        <v>#VALUE!</v>
      </c>
      <c r="FW160" t="e">
        <f>AND(tecantrop!U543,"AAAAAH/fd7I=")</f>
        <v>#VALUE!</v>
      </c>
      <c r="FX160" t="e">
        <f>AND(tecantrop!V543,"AAAAAH/fd7M=")</f>
        <v>#VALUE!</v>
      </c>
      <c r="FY160" t="e">
        <f>AND(tecantrop!W543,"AAAAAH/fd7Q=")</f>
        <v>#VALUE!</v>
      </c>
      <c r="FZ160" t="e">
        <f>AND(tecantrop!X543,"AAAAAH/fd7U=")</f>
        <v>#VALUE!</v>
      </c>
      <c r="GA160">
        <f>IF(tecantrop!544:544,"AAAAAH/fd7Y=",0)</f>
        <v>0</v>
      </c>
      <c r="GB160" t="e">
        <f>AND(tecantrop!A544,"AAAAAH/fd7c=")</f>
        <v>#VALUE!</v>
      </c>
      <c r="GC160" t="e">
        <f>AND(tecantrop!B544,"AAAAAH/fd7g=")</f>
        <v>#VALUE!</v>
      </c>
      <c r="GD160" t="e">
        <f>AND(tecantrop!C544,"AAAAAH/fd7k=")</f>
        <v>#VALUE!</v>
      </c>
      <c r="GE160" t="e">
        <f>AND(tecantrop!D544,"AAAAAH/fd7o=")</f>
        <v>#VALUE!</v>
      </c>
      <c r="GF160" t="e">
        <f>AND(tecantrop!E544,"AAAAAH/fd7s=")</f>
        <v>#VALUE!</v>
      </c>
      <c r="GG160" t="e">
        <f>AND(tecantrop!F544,"AAAAAH/fd7w=")</f>
        <v>#VALUE!</v>
      </c>
      <c r="GH160" t="e">
        <f>AND(tecantrop!G544,"AAAAAH/fd70=")</f>
        <v>#VALUE!</v>
      </c>
      <c r="GI160" t="e">
        <f>AND(tecantrop!H544,"AAAAAH/fd74=")</f>
        <v>#VALUE!</v>
      </c>
      <c r="GJ160" t="e">
        <f>AND(tecantrop!I544,"AAAAAH/fd78=")</f>
        <v>#VALUE!</v>
      </c>
      <c r="GK160" t="e">
        <f>AND(tecantrop!J544,"AAAAAH/fd8A=")</f>
        <v>#VALUE!</v>
      </c>
      <c r="GL160" t="e">
        <f>AND(tecantrop!K544,"AAAAAH/fd8E=")</f>
        <v>#VALUE!</v>
      </c>
      <c r="GM160" t="e">
        <f>AND(tecantrop!L544,"AAAAAH/fd8I=")</f>
        <v>#VALUE!</v>
      </c>
      <c r="GN160" t="e">
        <f>AND(tecantrop!M544,"AAAAAH/fd8M=")</f>
        <v>#VALUE!</v>
      </c>
      <c r="GO160" t="e">
        <f>AND(tecantrop!N544,"AAAAAH/fd8Q=")</f>
        <v>#VALUE!</v>
      </c>
      <c r="GP160" t="e">
        <f>AND(tecantrop!O544,"AAAAAH/fd8U=")</f>
        <v>#VALUE!</v>
      </c>
      <c r="GQ160" t="e">
        <f>AND(tecantrop!P544,"AAAAAH/fd8Y=")</f>
        <v>#VALUE!</v>
      </c>
      <c r="GR160" t="e">
        <f>AND(tecantrop!Q544,"AAAAAH/fd8c=")</f>
        <v>#VALUE!</v>
      </c>
      <c r="GS160" t="e">
        <f>AND(tecantrop!R544,"AAAAAH/fd8g=")</f>
        <v>#VALUE!</v>
      </c>
      <c r="GT160" t="e">
        <f>AND(tecantrop!S544,"AAAAAH/fd8k=")</f>
        <v>#VALUE!</v>
      </c>
      <c r="GU160" t="e">
        <f>AND(tecantrop!T544,"AAAAAH/fd8o=")</f>
        <v>#VALUE!</v>
      </c>
      <c r="GV160" t="e">
        <f>AND(tecantrop!U544,"AAAAAH/fd8s=")</f>
        <v>#VALUE!</v>
      </c>
      <c r="GW160" t="e">
        <f>AND(tecantrop!V544,"AAAAAH/fd8w=")</f>
        <v>#VALUE!</v>
      </c>
      <c r="GX160" t="e">
        <f>AND(tecantrop!W544,"AAAAAH/fd80=")</f>
        <v>#VALUE!</v>
      </c>
      <c r="GY160" t="e">
        <f>AND(tecantrop!X544,"AAAAAH/fd84=")</f>
        <v>#VALUE!</v>
      </c>
      <c r="GZ160">
        <f>IF(tecantrop!545:545,"AAAAAH/fd88=",0)</f>
        <v>0</v>
      </c>
      <c r="HA160" t="e">
        <f>AND(tecantrop!A545,"AAAAAH/fd9A=")</f>
        <v>#VALUE!</v>
      </c>
      <c r="HB160" t="e">
        <f>AND(tecantrop!B545,"AAAAAH/fd9E=")</f>
        <v>#VALUE!</v>
      </c>
      <c r="HC160" t="e">
        <f>AND(tecantrop!C545,"AAAAAH/fd9I=")</f>
        <v>#VALUE!</v>
      </c>
      <c r="HD160" t="e">
        <f>AND(tecantrop!D545,"AAAAAH/fd9M=")</f>
        <v>#VALUE!</v>
      </c>
      <c r="HE160" t="e">
        <f>AND(tecantrop!E545,"AAAAAH/fd9Q=")</f>
        <v>#VALUE!</v>
      </c>
      <c r="HF160" t="e">
        <f>AND(tecantrop!F545,"AAAAAH/fd9U=")</f>
        <v>#VALUE!</v>
      </c>
      <c r="HG160" t="e">
        <f>AND(tecantrop!G545,"AAAAAH/fd9Y=")</f>
        <v>#VALUE!</v>
      </c>
      <c r="HH160" t="e">
        <f>AND(tecantrop!H545,"AAAAAH/fd9c=")</f>
        <v>#VALUE!</v>
      </c>
      <c r="HI160" t="e">
        <f>AND(tecantrop!I545,"AAAAAH/fd9g=")</f>
        <v>#VALUE!</v>
      </c>
      <c r="HJ160" t="e">
        <f>AND(tecantrop!J545,"AAAAAH/fd9k=")</f>
        <v>#VALUE!</v>
      </c>
      <c r="HK160" t="e">
        <f>AND(tecantrop!K545,"AAAAAH/fd9o=")</f>
        <v>#VALUE!</v>
      </c>
      <c r="HL160" t="e">
        <f>AND(tecantrop!L545,"AAAAAH/fd9s=")</f>
        <v>#VALUE!</v>
      </c>
      <c r="HM160" t="e">
        <f>AND(tecantrop!M545,"AAAAAH/fd9w=")</f>
        <v>#VALUE!</v>
      </c>
      <c r="HN160" t="e">
        <f>AND(tecantrop!N545,"AAAAAH/fd90=")</f>
        <v>#VALUE!</v>
      </c>
      <c r="HO160" t="e">
        <f>AND(tecantrop!O545,"AAAAAH/fd94=")</f>
        <v>#VALUE!</v>
      </c>
      <c r="HP160" t="e">
        <f>AND(tecantrop!P545,"AAAAAH/fd98=")</f>
        <v>#VALUE!</v>
      </c>
      <c r="HQ160" t="e">
        <f>AND(tecantrop!Q545,"AAAAAH/fd+A=")</f>
        <v>#VALUE!</v>
      </c>
      <c r="HR160" t="e">
        <f>AND(tecantrop!R545,"AAAAAH/fd+E=")</f>
        <v>#VALUE!</v>
      </c>
      <c r="HS160" t="e">
        <f>AND(tecantrop!S545,"AAAAAH/fd+I=")</f>
        <v>#VALUE!</v>
      </c>
      <c r="HT160" t="e">
        <f>AND(tecantrop!T545,"AAAAAH/fd+M=")</f>
        <v>#VALUE!</v>
      </c>
      <c r="HU160" t="e">
        <f>AND(tecantrop!U545,"AAAAAH/fd+Q=")</f>
        <v>#VALUE!</v>
      </c>
      <c r="HV160" t="e">
        <f>AND(tecantrop!V545,"AAAAAH/fd+U=")</f>
        <v>#VALUE!</v>
      </c>
      <c r="HW160" t="e">
        <f>AND(tecantrop!W545,"AAAAAH/fd+Y=")</f>
        <v>#VALUE!</v>
      </c>
      <c r="HX160" t="e">
        <f>AND(tecantrop!X545,"AAAAAH/fd+c=")</f>
        <v>#VALUE!</v>
      </c>
      <c r="HY160">
        <f>IF(tecantrop!546:546,"AAAAAH/fd+g=",0)</f>
        <v>0</v>
      </c>
      <c r="HZ160" t="e">
        <f>AND(tecantrop!A546,"AAAAAH/fd+k=")</f>
        <v>#VALUE!</v>
      </c>
      <c r="IA160" t="e">
        <f>AND(tecantrop!B546,"AAAAAH/fd+o=")</f>
        <v>#VALUE!</v>
      </c>
      <c r="IB160" t="e">
        <f>AND(tecantrop!C546,"AAAAAH/fd+s=")</f>
        <v>#VALUE!</v>
      </c>
      <c r="IC160" t="e">
        <f>AND(tecantrop!D546,"AAAAAH/fd+w=")</f>
        <v>#VALUE!</v>
      </c>
      <c r="ID160" t="e">
        <f>AND(tecantrop!E546,"AAAAAH/fd+0=")</f>
        <v>#VALUE!</v>
      </c>
      <c r="IE160" t="e">
        <f>AND(tecantrop!F546,"AAAAAH/fd+4=")</f>
        <v>#VALUE!</v>
      </c>
      <c r="IF160" t="e">
        <f>AND(tecantrop!G546,"AAAAAH/fd+8=")</f>
        <v>#VALUE!</v>
      </c>
      <c r="IG160" t="e">
        <f>AND(tecantrop!H546,"AAAAAH/fd/A=")</f>
        <v>#VALUE!</v>
      </c>
      <c r="IH160" t="e">
        <f>AND(tecantrop!I546,"AAAAAH/fd/E=")</f>
        <v>#VALUE!</v>
      </c>
      <c r="II160" t="e">
        <f>AND(tecantrop!J546,"AAAAAH/fd/I=")</f>
        <v>#VALUE!</v>
      </c>
      <c r="IJ160" t="e">
        <f>AND(tecantrop!K546,"AAAAAH/fd/M=")</f>
        <v>#VALUE!</v>
      </c>
      <c r="IK160" t="e">
        <f>AND(tecantrop!L546,"AAAAAH/fd/Q=")</f>
        <v>#VALUE!</v>
      </c>
      <c r="IL160" t="e">
        <f>AND(tecantrop!M546,"AAAAAH/fd/U=")</f>
        <v>#VALUE!</v>
      </c>
      <c r="IM160" t="e">
        <f>AND(tecantrop!N546,"AAAAAH/fd/Y=")</f>
        <v>#VALUE!</v>
      </c>
      <c r="IN160" t="e">
        <f>AND(tecantrop!O546,"AAAAAH/fd/c=")</f>
        <v>#VALUE!</v>
      </c>
      <c r="IO160" t="e">
        <f>AND(tecantrop!P546,"AAAAAH/fd/g=")</f>
        <v>#VALUE!</v>
      </c>
      <c r="IP160" t="e">
        <f>AND(tecantrop!Q546,"AAAAAH/fd/k=")</f>
        <v>#VALUE!</v>
      </c>
      <c r="IQ160" t="e">
        <f>AND(tecantrop!R546,"AAAAAH/fd/o=")</f>
        <v>#VALUE!</v>
      </c>
      <c r="IR160" t="e">
        <f>AND(tecantrop!S546,"AAAAAH/fd/s=")</f>
        <v>#VALUE!</v>
      </c>
      <c r="IS160" t="e">
        <f>AND(tecantrop!T546,"AAAAAH/fd/w=")</f>
        <v>#VALUE!</v>
      </c>
      <c r="IT160" t="e">
        <f>AND(tecantrop!U546,"AAAAAH/fd/0=")</f>
        <v>#VALUE!</v>
      </c>
      <c r="IU160" t="e">
        <f>AND(tecantrop!V546,"AAAAAH/fd/4=")</f>
        <v>#VALUE!</v>
      </c>
      <c r="IV160" t="e">
        <f>AND(tecantrop!W546,"AAAAAH/fd/8=")</f>
        <v>#VALUE!</v>
      </c>
    </row>
    <row r="161" spans="1:256" x14ac:dyDescent="0.2">
      <c r="A161" t="e">
        <f>AND(tecantrop!X546,"AAAAAHa9WwA=")</f>
        <v>#VALUE!</v>
      </c>
      <c r="B161">
        <f>IF(tecantrop!547:547,"AAAAAHa9WwE=",0)</f>
        <v>0</v>
      </c>
      <c r="C161" t="e">
        <f>AND(tecantrop!A547,"AAAAAHa9WwI=")</f>
        <v>#VALUE!</v>
      </c>
      <c r="D161" t="e">
        <f>AND(tecantrop!B547,"AAAAAHa9WwM=")</f>
        <v>#VALUE!</v>
      </c>
      <c r="E161" t="e">
        <f>AND(tecantrop!C547,"AAAAAHa9WwQ=")</f>
        <v>#VALUE!</v>
      </c>
      <c r="F161" t="e">
        <f>AND(tecantrop!D547,"AAAAAHa9WwU=")</f>
        <v>#VALUE!</v>
      </c>
      <c r="G161" t="e">
        <f>AND(tecantrop!E547,"AAAAAHa9WwY=")</f>
        <v>#VALUE!</v>
      </c>
      <c r="H161" t="e">
        <f>AND(tecantrop!F547,"AAAAAHa9Wwc=")</f>
        <v>#VALUE!</v>
      </c>
      <c r="I161" t="e">
        <f>AND(tecantrop!G547,"AAAAAHa9Wwg=")</f>
        <v>#VALUE!</v>
      </c>
      <c r="J161" t="e">
        <f>AND(tecantrop!H547,"AAAAAHa9Wwk=")</f>
        <v>#VALUE!</v>
      </c>
      <c r="K161" t="e">
        <f>AND(tecantrop!I547,"AAAAAHa9Wwo=")</f>
        <v>#VALUE!</v>
      </c>
      <c r="L161" t="e">
        <f>AND(tecantrop!J547,"AAAAAHa9Wws=")</f>
        <v>#VALUE!</v>
      </c>
      <c r="M161" t="e">
        <f>AND(tecantrop!K547,"AAAAAHa9Www=")</f>
        <v>#VALUE!</v>
      </c>
      <c r="N161" t="e">
        <f>AND(tecantrop!L547,"AAAAAHa9Ww0=")</f>
        <v>#VALUE!</v>
      </c>
      <c r="O161" t="e">
        <f>AND(tecantrop!M547,"AAAAAHa9Ww4=")</f>
        <v>#VALUE!</v>
      </c>
      <c r="P161" t="e">
        <f>AND(tecantrop!N547,"AAAAAHa9Ww8=")</f>
        <v>#VALUE!</v>
      </c>
      <c r="Q161" t="e">
        <f>AND(tecantrop!O547,"AAAAAHa9WxA=")</f>
        <v>#VALUE!</v>
      </c>
      <c r="R161" t="e">
        <f>AND(tecantrop!P547,"AAAAAHa9WxE=")</f>
        <v>#VALUE!</v>
      </c>
      <c r="S161" t="e">
        <f>AND(tecantrop!Q547,"AAAAAHa9WxI=")</f>
        <v>#VALUE!</v>
      </c>
      <c r="T161" t="e">
        <f>AND(tecantrop!R547,"AAAAAHa9WxM=")</f>
        <v>#VALUE!</v>
      </c>
      <c r="U161" t="e">
        <f>AND(tecantrop!S547,"AAAAAHa9WxQ=")</f>
        <v>#VALUE!</v>
      </c>
      <c r="V161" t="e">
        <f>AND(tecantrop!T547,"AAAAAHa9WxU=")</f>
        <v>#VALUE!</v>
      </c>
      <c r="W161" t="e">
        <f>AND(tecantrop!U547,"AAAAAHa9WxY=")</f>
        <v>#VALUE!</v>
      </c>
      <c r="X161" t="e">
        <f>AND(tecantrop!V547,"AAAAAHa9Wxc=")</f>
        <v>#VALUE!</v>
      </c>
      <c r="Y161" t="e">
        <f>AND(tecantrop!W547,"AAAAAHa9Wxg=")</f>
        <v>#VALUE!</v>
      </c>
      <c r="Z161" t="e">
        <f>AND(tecantrop!X547,"AAAAAHa9Wxk=")</f>
        <v>#VALUE!</v>
      </c>
      <c r="AA161">
        <f>IF(tecantrop!548:548,"AAAAAHa9Wxo=",0)</f>
        <v>0</v>
      </c>
      <c r="AB161" t="e">
        <f>AND(tecantrop!A548,"AAAAAHa9Wxs=")</f>
        <v>#VALUE!</v>
      </c>
      <c r="AC161" t="e">
        <f>AND(tecantrop!B548,"AAAAAHa9Wxw=")</f>
        <v>#VALUE!</v>
      </c>
      <c r="AD161" t="e">
        <f>AND(tecantrop!C548,"AAAAAHa9Wx0=")</f>
        <v>#VALUE!</v>
      </c>
      <c r="AE161" t="e">
        <f>AND(tecantrop!D548,"AAAAAHa9Wx4=")</f>
        <v>#VALUE!</v>
      </c>
      <c r="AF161" t="e">
        <f>AND(tecantrop!E548,"AAAAAHa9Wx8=")</f>
        <v>#VALUE!</v>
      </c>
      <c r="AG161" t="e">
        <f>AND(tecantrop!F548,"AAAAAHa9WyA=")</f>
        <v>#VALUE!</v>
      </c>
      <c r="AH161" t="e">
        <f>AND(tecantrop!G548,"AAAAAHa9WyE=")</f>
        <v>#VALUE!</v>
      </c>
      <c r="AI161" t="e">
        <f>AND(tecantrop!H548,"AAAAAHa9WyI=")</f>
        <v>#VALUE!</v>
      </c>
      <c r="AJ161" t="e">
        <f>AND(tecantrop!I548,"AAAAAHa9WyM=")</f>
        <v>#VALUE!</v>
      </c>
      <c r="AK161" t="e">
        <f>AND(tecantrop!J548,"AAAAAHa9WyQ=")</f>
        <v>#VALUE!</v>
      </c>
      <c r="AL161" t="e">
        <f>AND(tecantrop!K548,"AAAAAHa9WyU=")</f>
        <v>#VALUE!</v>
      </c>
      <c r="AM161" t="e">
        <f>AND(tecantrop!L548,"AAAAAHa9WyY=")</f>
        <v>#VALUE!</v>
      </c>
      <c r="AN161" t="e">
        <f>AND(tecantrop!M548,"AAAAAHa9Wyc=")</f>
        <v>#VALUE!</v>
      </c>
      <c r="AO161" t="e">
        <f>AND(tecantrop!N548,"AAAAAHa9Wyg=")</f>
        <v>#VALUE!</v>
      </c>
      <c r="AP161" t="e">
        <f>AND(tecantrop!O548,"AAAAAHa9Wyk=")</f>
        <v>#VALUE!</v>
      </c>
      <c r="AQ161" t="e">
        <f>AND(tecantrop!P548,"AAAAAHa9Wyo=")</f>
        <v>#VALUE!</v>
      </c>
      <c r="AR161" t="e">
        <f>AND(tecantrop!Q548,"AAAAAHa9Wys=")</f>
        <v>#VALUE!</v>
      </c>
      <c r="AS161" t="e">
        <f>AND(tecantrop!R548,"AAAAAHa9Wyw=")</f>
        <v>#VALUE!</v>
      </c>
      <c r="AT161" t="e">
        <f>AND(tecantrop!S548,"AAAAAHa9Wy0=")</f>
        <v>#VALUE!</v>
      </c>
      <c r="AU161" t="e">
        <f>AND(tecantrop!T548,"AAAAAHa9Wy4=")</f>
        <v>#VALUE!</v>
      </c>
      <c r="AV161" t="e">
        <f>AND(tecantrop!U548,"AAAAAHa9Wy8=")</f>
        <v>#VALUE!</v>
      </c>
      <c r="AW161" t="e">
        <f>AND(tecantrop!V548,"AAAAAHa9WzA=")</f>
        <v>#VALUE!</v>
      </c>
      <c r="AX161" t="e">
        <f>AND(tecantrop!W548,"AAAAAHa9WzE=")</f>
        <v>#VALUE!</v>
      </c>
      <c r="AY161" t="e">
        <f>AND(tecantrop!X548,"AAAAAHa9WzI=")</f>
        <v>#VALUE!</v>
      </c>
      <c r="AZ161">
        <f>IF(tecantrop!549:549,"AAAAAHa9WzM=",0)</f>
        <v>0</v>
      </c>
      <c r="BA161" t="e">
        <f>AND(tecantrop!A549,"AAAAAHa9WzQ=")</f>
        <v>#VALUE!</v>
      </c>
      <c r="BB161" t="e">
        <f>AND(tecantrop!B549,"AAAAAHa9WzU=")</f>
        <v>#VALUE!</v>
      </c>
      <c r="BC161" t="e">
        <f>AND(tecantrop!C549,"AAAAAHa9WzY=")</f>
        <v>#VALUE!</v>
      </c>
      <c r="BD161" t="e">
        <f>AND(tecantrop!D549,"AAAAAHa9Wzc=")</f>
        <v>#VALUE!</v>
      </c>
      <c r="BE161" t="e">
        <f>AND(tecantrop!E549,"AAAAAHa9Wzg=")</f>
        <v>#VALUE!</v>
      </c>
      <c r="BF161" t="e">
        <f>AND(tecantrop!F549,"AAAAAHa9Wzk=")</f>
        <v>#VALUE!</v>
      </c>
      <c r="BG161" t="e">
        <f>AND(tecantrop!G549,"AAAAAHa9Wzo=")</f>
        <v>#VALUE!</v>
      </c>
      <c r="BH161" t="e">
        <f>AND(tecantrop!H549,"AAAAAHa9Wzs=")</f>
        <v>#VALUE!</v>
      </c>
      <c r="BI161" t="e">
        <f>AND(tecantrop!I549,"AAAAAHa9Wzw=")</f>
        <v>#VALUE!</v>
      </c>
      <c r="BJ161" t="e">
        <f>AND(tecantrop!J549,"AAAAAHa9Wz0=")</f>
        <v>#VALUE!</v>
      </c>
      <c r="BK161" t="e">
        <f>AND(tecantrop!K549,"AAAAAHa9Wz4=")</f>
        <v>#VALUE!</v>
      </c>
      <c r="BL161" t="e">
        <f>AND(tecantrop!L549,"AAAAAHa9Wz8=")</f>
        <v>#VALUE!</v>
      </c>
      <c r="BM161" t="e">
        <f>AND(tecantrop!M549,"AAAAAHa9W0A=")</f>
        <v>#VALUE!</v>
      </c>
      <c r="BN161" t="e">
        <f>AND(tecantrop!N549,"AAAAAHa9W0E=")</f>
        <v>#VALUE!</v>
      </c>
      <c r="BO161" t="e">
        <f>AND(tecantrop!O549,"AAAAAHa9W0I=")</f>
        <v>#VALUE!</v>
      </c>
      <c r="BP161" t="e">
        <f>AND(tecantrop!P549,"AAAAAHa9W0M=")</f>
        <v>#VALUE!</v>
      </c>
      <c r="BQ161" t="e">
        <f>AND(tecantrop!Q549,"AAAAAHa9W0Q=")</f>
        <v>#VALUE!</v>
      </c>
      <c r="BR161" t="e">
        <f>AND(tecantrop!R549,"AAAAAHa9W0U=")</f>
        <v>#VALUE!</v>
      </c>
      <c r="BS161" t="e">
        <f>AND(tecantrop!S549,"AAAAAHa9W0Y=")</f>
        <v>#VALUE!</v>
      </c>
      <c r="BT161" t="e">
        <f>AND(tecantrop!T549,"AAAAAHa9W0c=")</f>
        <v>#VALUE!</v>
      </c>
      <c r="BU161" t="e">
        <f>AND(tecantrop!U549,"AAAAAHa9W0g=")</f>
        <v>#VALUE!</v>
      </c>
      <c r="BV161" t="e">
        <f>AND(tecantrop!V549,"AAAAAHa9W0k=")</f>
        <v>#VALUE!</v>
      </c>
      <c r="BW161" t="e">
        <f>AND(tecantrop!W549,"AAAAAHa9W0o=")</f>
        <v>#VALUE!</v>
      </c>
      <c r="BX161" t="e">
        <f>AND(tecantrop!X549,"AAAAAHa9W0s=")</f>
        <v>#VALUE!</v>
      </c>
      <c r="BY161">
        <f>IF(tecantrop!550:550,"AAAAAHa9W0w=",0)</f>
        <v>0</v>
      </c>
      <c r="BZ161" t="e">
        <f>AND(tecantrop!A550,"AAAAAHa9W00=")</f>
        <v>#VALUE!</v>
      </c>
      <c r="CA161" t="e">
        <f>AND(tecantrop!B550,"AAAAAHa9W04=")</f>
        <v>#VALUE!</v>
      </c>
      <c r="CB161" t="e">
        <f>AND(tecantrop!C550,"AAAAAHa9W08=")</f>
        <v>#VALUE!</v>
      </c>
      <c r="CC161" t="e">
        <f>AND(tecantrop!D550,"AAAAAHa9W1A=")</f>
        <v>#VALUE!</v>
      </c>
      <c r="CD161" t="e">
        <f>AND(tecantrop!E550,"AAAAAHa9W1E=")</f>
        <v>#VALUE!</v>
      </c>
      <c r="CE161" t="e">
        <f>AND(tecantrop!F550,"AAAAAHa9W1I=")</f>
        <v>#VALUE!</v>
      </c>
      <c r="CF161" t="e">
        <f>AND(tecantrop!G550,"AAAAAHa9W1M=")</f>
        <v>#VALUE!</v>
      </c>
      <c r="CG161" t="e">
        <f>AND(tecantrop!H550,"AAAAAHa9W1Q=")</f>
        <v>#VALUE!</v>
      </c>
      <c r="CH161" t="e">
        <f>AND(tecantrop!I550,"AAAAAHa9W1U=")</f>
        <v>#VALUE!</v>
      </c>
      <c r="CI161" t="e">
        <f>AND(tecantrop!J550,"AAAAAHa9W1Y=")</f>
        <v>#VALUE!</v>
      </c>
      <c r="CJ161" t="e">
        <f>AND(tecantrop!K550,"AAAAAHa9W1c=")</f>
        <v>#VALUE!</v>
      </c>
      <c r="CK161" t="e">
        <f>AND(tecantrop!L550,"AAAAAHa9W1g=")</f>
        <v>#VALUE!</v>
      </c>
      <c r="CL161" t="e">
        <f>AND(tecantrop!M550,"AAAAAHa9W1k=")</f>
        <v>#VALUE!</v>
      </c>
      <c r="CM161" t="e">
        <f>AND(tecantrop!N550,"AAAAAHa9W1o=")</f>
        <v>#VALUE!</v>
      </c>
      <c r="CN161" t="e">
        <f>AND(tecantrop!O550,"AAAAAHa9W1s=")</f>
        <v>#VALUE!</v>
      </c>
      <c r="CO161" t="e">
        <f>AND(tecantrop!P550,"AAAAAHa9W1w=")</f>
        <v>#VALUE!</v>
      </c>
      <c r="CP161" t="e">
        <f>AND(tecantrop!Q550,"AAAAAHa9W10=")</f>
        <v>#VALUE!</v>
      </c>
      <c r="CQ161" t="e">
        <f>AND(tecantrop!R550,"AAAAAHa9W14=")</f>
        <v>#VALUE!</v>
      </c>
      <c r="CR161" t="e">
        <f>AND(tecantrop!S550,"AAAAAHa9W18=")</f>
        <v>#VALUE!</v>
      </c>
      <c r="CS161" t="e">
        <f>AND(tecantrop!T550,"AAAAAHa9W2A=")</f>
        <v>#VALUE!</v>
      </c>
      <c r="CT161" t="e">
        <f>AND(tecantrop!U550,"AAAAAHa9W2E=")</f>
        <v>#VALUE!</v>
      </c>
      <c r="CU161" t="e">
        <f>AND(tecantrop!V550,"AAAAAHa9W2I=")</f>
        <v>#VALUE!</v>
      </c>
      <c r="CV161" t="e">
        <f>AND(tecantrop!W550,"AAAAAHa9W2M=")</f>
        <v>#VALUE!</v>
      </c>
      <c r="CW161" t="e">
        <f>AND(tecantrop!X550,"AAAAAHa9W2Q=")</f>
        <v>#VALUE!</v>
      </c>
      <c r="CX161">
        <f>IF(tecantrop!551:551,"AAAAAHa9W2U=",0)</f>
        <v>0</v>
      </c>
      <c r="CY161" t="e">
        <f>AND(tecantrop!A551,"AAAAAHa9W2Y=")</f>
        <v>#VALUE!</v>
      </c>
      <c r="CZ161" t="e">
        <f>AND(tecantrop!B551,"AAAAAHa9W2c=")</f>
        <v>#VALUE!</v>
      </c>
      <c r="DA161" t="e">
        <f>AND(tecantrop!C551,"AAAAAHa9W2g=")</f>
        <v>#VALUE!</v>
      </c>
      <c r="DB161" t="e">
        <f>AND(tecantrop!D551,"AAAAAHa9W2k=")</f>
        <v>#VALUE!</v>
      </c>
      <c r="DC161" t="e">
        <f>AND(tecantrop!E551,"AAAAAHa9W2o=")</f>
        <v>#VALUE!</v>
      </c>
      <c r="DD161" t="e">
        <f>AND(tecantrop!F551,"AAAAAHa9W2s=")</f>
        <v>#VALUE!</v>
      </c>
      <c r="DE161" t="e">
        <f>AND(tecantrop!G551,"AAAAAHa9W2w=")</f>
        <v>#VALUE!</v>
      </c>
      <c r="DF161" t="e">
        <f>AND(tecantrop!H551,"AAAAAHa9W20=")</f>
        <v>#VALUE!</v>
      </c>
      <c r="DG161" t="e">
        <f>AND(tecantrop!I551,"AAAAAHa9W24=")</f>
        <v>#VALUE!</v>
      </c>
      <c r="DH161" t="e">
        <f>AND(tecantrop!J551,"AAAAAHa9W28=")</f>
        <v>#VALUE!</v>
      </c>
      <c r="DI161" t="e">
        <f>AND(tecantrop!K551,"AAAAAHa9W3A=")</f>
        <v>#VALUE!</v>
      </c>
      <c r="DJ161" t="e">
        <f>AND(tecantrop!L551,"AAAAAHa9W3E=")</f>
        <v>#VALUE!</v>
      </c>
      <c r="DK161" t="e">
        <f>AND(tecantrop!M551,"AAAAAHa9W3I=")</f>
        <v>#VALUE!</v>
      </c>
      <c r="DL161" t="e">
        <f>AND(tecantrop!N551,"AAAAAHa9W3M=")</f>
        <v>#VALUE!</v>
      </c>
      <c r="DM161" t="e">
        <f>AND(tecantrop!O551,"AAAAAHa9W3Q=")</f>
        <v>#VALUE!</v>
      </c>
      <c r="DN161" t="e">
        <f>AND(tecantrop!P551,"AAAAAHa9W3U=")</f>
        <v>#VALUE!</v>
      </c>
      <c r="DO161" t="e">
        <f>AND(tecantrop!Q551,"AAAAAHa9W3Y=")</f>
        <v>#VALUE!</v>
      </c>
      <c r="DP161" t="e">
        <f>AND(tecantrop!R551,"AAAAAHa9W3c=")</f>
        <v>#VALUE!</v>
      </c>
      <c r="DQ161" t="e">
        <f>AND(tecantrop!S551,"AAAAAHa9W3g=")</f>
        <v>#VALUE!</v>
      </c>
      <c r="DR161" t="e">
        <f>AND(tecantrop!T551,"AAAAAHa9W3k=")</f>
        <v>#VALUE!</v>
      </c>
      <c r="DS161" t="e">
        <f>AND(tecantrop!U551,"AAAAAHa9W3o=")</f>
        <v>#VALUE!</v>
      </c>
      <c r="DT161" t="e">
        <f>AND(tecantrop!V551,"AAAAAHa9W3s=")</f>
        <v>#VALUE!</v>
      </c>
      <c r="DU161" t="e">
        <f>AND(tecantrop!W551,"AAAAAHa9W3w=")</f>
        <v>#VALUE!</v>
      </c>
      <c r="DV161" t="e">
        <f>AND(tecantrop!X551,"AAAAAHa9W30=")</f>
        <v>#VALUE!</v>
      </c>
      <c r="DW161">
        <f>IF(tecantrop!552:552,"AAAAAHa9W34=",0)</f>
        <v>0</v>
      </c>
      <c r="DX161" t="e">
        <f>AND(tecantrop!A552,"AAAAAHa9W38=")</f>
        <v>#VALUE!</v>
      </c>
      <c r="DY161" t="e">
        <f>AND(tecantrop!B552,"AAAAAHa9W4A=")</f>
        <v>#VALUE!</v>
      </c>
      <c r="DZ161" t="e">
        <f>AND(tecantrop!C552,"AAAAAHa9W4E=")</f>
        <v>#VALUE!</v>
      </c>
      <c r="EA161" t="e">
        <f>AND(tecantrop!D552,"AAAAAHa9W4I=")</f>
        <v>#VALUE!</v>
      </c>
      <c r="EB161" t="e">
        <f>AND(tecantrop!E552,"AAAAAHa9W4M=")</f>
        <v>#VALUE!</v>
      </c>
      <c r="EC161" t="e">
        <f>AND(tecantrop!F552,"AAAAAHa9W4Q=")</f>
        <v>#VALUE!</v>
      </c>
      <c r="ED161" t="e">
        <f>AND(tecantrop!G552,"AAAAAHa9W4U=")</f>
        <v>#VALUE!</v>
      </c>
      <c r="EE161" t="e">
        <f>AND(tecantrop!H552,"AAAAAHa9W4Y=")</f>
        <v>#VALUE!</v>
      </c>
      <c r="EF161" t="e">
        <f>AND(tecantrop!I552,"AAAAAHa9W4c=")</f>
        <v>#VALUE!</v>
      </c>
      <c r="EG161" t="e">
        <f>AND(tecantrop!J552,"AAAAAHa9W4g=")</f>
        <v>#VALUE!</v>
      </c>
      <c r="EH161" t="e">
        <f>AND(tecantrop!K552,"AAAAAHa9W4k=")</f>
        <v>#VALUE!</v>
      </c>
      <c r="EI161" t="e">
        <f>AND(tecantrop!L552,"AAAAAHa9W4o=")</f>
        <v>#VALUE!</v>
      </c>
      <c r="EJ161" t="e">
        <f>AND(tecantrop!M552,"AAAAAHa9W4s=")</f>
        <v>#VALUE!</v>
      </c>
      <c r="EK161" t="e">
        <f>AND(tecantrop!N552,"AAAAAHa9W4w=")</f>
        <v>#VALUE!</v>
      </c>
      <c r="EL161" t="e">
        <f>AND(tecantrop!O552,"AAAAAHa9W40=")</f>
        <v>#VALUE!</v>
      </c>
      <c r="EM161" t="e">
        <f>AND(tecantrop!P552,"AAAAAHa9W44=")</f>
        <v>#VALUE!</v>
      </c>
      <c r="EN161" t="e">
        <f>AND(tecantrop!Q552,"AAAAAHa9W48=")</f>
        <v>#VALUE!</v>
      </c>
      <c r="EO161" t="e">
        <f>AND(tecantrop!R552,"AAAAAHa9W5A=")</f>
        <v>#VALUE!</v>
      </c>
      <c r="EP161" t="e">
        <f>AND(tecantrop!S552,"AAAAAHa9W5E=")</f>
        <v>#VALUE!</v>
      </c>
      <c r="EQ161" t="e">
        <f>AND(tecantrop!T552,"AAAAAHa9W5I=")</f>
        <v>#VALUE!</v>
      </c>
      <c r="ER161" t="e">
        <f>AND(tecantrop!U552,"AAAAAHa9W5M=")</f>
        <v>#VALUE!</v>
      </c>
      <c r="ES161" t="e">
        <f>AND(tecantrop!V552,"AAAAAHa9W5Q=")</f>
        <v>#VALUE!</v>
      </c>
      <c r="ET161" t="e">
        <f>AND(tecantrop!W552,"AAAAAHa9W5U=")</f>
        <v>#VALUE!</v>
      </c>
      <c r="EU161" t="e">
        <f>AND(tecantrop!X552,"AAAAAHa9W5Y=")</f>
        <v>#VALUE!</v>
      </c>
      <c r="EV161">
        <f>IF(tecantrop!553:553,"AAAAAHa9W5c=",0)</f>
        <v>0</v>
      </c>
      <c r="EW161" t="e">
        <f>AND(tecantrop!A553,"AAAAAHa9W5g=")</f>
        <v>#VALUE!</v>
      </c>
      <c r="EX161" t="e">
        <f>AND(tecantrop!B553,"AAAAAHa9W5k=")</f>
        <v>#VALUE!</v>
      </c>
      <c r="EY161" t="e">
        <f>AND(tecantrop!C553,"AAAAAHa9W5o=")</f>
        <v>#VALUE!</v>
      </c>
      <c r="EZ161" t="e">
        <f>AND(tecantrop!D553,"AAAAAHa9W5s=")</f>
        <v>#VALUE!</v>
      </c>
      <c r="FA161" t="e">
        <f>AND(tecantrop!E553,"AAAAAHa9W5w=")</f>
        <v>#VALUE!</v>
      </c>
      <c r="FB161" t="e">
        <f>AND(tecantrop!F553,"AAAAAHa9W50=")</f>
        <v>#VALUE!</v>
      </c>
      <c r="FC161" t="e">
        <f>AND(tecantrop!G553,"AAAAAHa9W54=")</f>
        <v>#VALUE!</v>
      </c>
      <c r="FD161" t="e">
        <f>AND(tecantrop!H553,"AAAAAHa9W58=")</f>
        <v>#VALUE!</v>
      </c>
      <c r="FE161" t="e">
        <f>AND(tecantrop!I553,"AAAAAHa9W6A=")</f>
        <v>#VALUE!</v>
      </c>
      <c r="FF161" t="e">
        <f>AND(tecantrop!J553,"AAAAAHa9W6E=")</f>
        <v>#VALUE!</v>
      </c>
      <c r="FG161" t="e">
        <f>AND(tecantrop!K553,"AAAAAHa9W6I=")</f>
        <v>#VALUE!</v>
      </c>
      <c r="FH161" t="e">
        <f>AND(tecantrop!L553,"AAAAAHa9W6M=")</f>
        <v>#VALUE!</v>
      </c>
      <c r="FI161" t="e">
        <f>AND(tecantrop!M553,"AAAAAHa9W6Q=")</f>
        <v>#VALUE!</v>
      </c>
      <c r="FJ161" t="e">
        <f>AND(tecantrop!N553,"AAAAAHa9W6U=")</f>
        <v>#VALUE!</v>
      </c>
      <c r="FK161" t="e">
        <f>AND(tecantrop!O553,"AAAAAHa9W6Y=")</f>
        <v>#VALUE!</v>
      </c>
      <c r="FL161" t="e">
        <f>AND(tecantrop!P553,"AAAAAHa9W6c=")</f>
        <v>#VALUE!</v>
      </c>
      <c r="FM161" t="e">
        <f>AND(tecantrop!Q553,"AAAAAHa9W6g=")</f>
        <v>#VALUE!</v>
      </c>
      <c r="FN161" t="e">
        <f>AND(tecantrop!R553,"AAAAAHa9W6k=")</f>
        <v>#VALUE!</v>
      </c>
      <c r="FO161" t="e">
        <f>AND(tecantrop!S553,"AAAAAHa9W6o=")</f>
        <v>#VALUE!</v>
      </c>
      <c r="FP161" t="e">
        <f>AND(tecantrop!T553,"AAAAAHa9W6s=")</f>
        <v>#VALUE!</v>
      </c>
      <c r="FQ161" t="e">
        <f>AND(tecantrop!U553,"AAAAAHa9W6w=")</f>
        <v>#VALUE!</v>
      </c>
      <c r="FR161" t="e">
        <f>AND(tecantrop!V553,"AAAAAHa9W60=")</f>
        <v>#VALUE!</v>
      </c>
      <c r="FS161" t="e">
        <f>AND(tecantrop!W553,"AAAAAHa9W64=")</f>
        <v>#VALUE!</v>
      </c>
      <c r="FT161" t="e">
        <f>AND(tecantrop!X553,"AAAAAHa9W68=")</f>
        <v>#VALUE!</v>
      </c>
      <c r="FU161">
        <f>IF(tecantrop!554:554,"AAAAAHa9W7A=",0)</f>
        <v>0</v>
      </c>
      <c r="FV161" t="e">
        <f>AND(tecantrop!A554,"AAAAAHa9W7E=")</f>
        <v>#VALUE!</v>
      </c>
      <c r="FW161" t="e">
        <f>AND(tecantrop!B554,"AAAAAHa9W7I=")</f>
        <v>#VALUE!</v>
      </c>
      <c r="FX161" t="e">
        <f>AND(tecantrop!C554,"AAAAAHa9W7M=")</f>
        <v>#VALUE!</v>
      </c>
      <c r="FY161" t="e">
        <f>AND(tecantrop!D554,"AAAAAHa9W7Q=")</f>
        <v>#VALUE!</v>
      </c>
      <c r="FZ161" t="e">
        <f>AND(tecantrop!E554,"AAAAAHa9W7U=")</f>
        <v>#VALUE!</v>
      </c>
      <c r="GA161" t="e">
        <f>AND(tecantrop!F554,"AAAAAHa9W7Y=")</f>
        <v>#VALUE!</v>
      </c>
      <c r="GB161" t="e">
        <f>AND(tecantrop!G554,"AAAAAHa9W7c=")</f>
        <v>#VALUE!</v>
      </c>
      <c r="GC161" t="e">
        <f>AND(tecantrop!H554,"AAAAAHa9W7g=")</f>
        <v>#VALUE!</v>
      </c>
      <c r="GD161" t="e">
        <f>AND(tecantrop!I554,"AAAAAHa9W7k=")</f>
        <v>#VALUE!</v>
      </c>
      <c r="GE161" t="e">
        <f>AND(tecantrop!J554,"AAAAAHa9W7o=")</f>
        <v>#VALUE!</v>
      </c>
      <c r="GF161" t="e">
        <f>AND(tecantrop!K554,"AAAAAHa9W7s=")</f>
        <v>#VALUE!</v>
      </c>
      <c r="GG161" t="e">
        <f>AND(tecantrop!L554,"AAAAAHa9W7w=")</f>
        <v>#VALUE!</v>
      </c>
      <c r="GH161" t="e">
        <f>AND(tecantrop!M554,"AAAAAHa9W70=")</f>
        <v>#VALUE!</v>
      </c>
      <c r="GI161" t="e">
        <f>AND(tecantrop!N554,"AAAAAHa9W74=")</f>
        <v>#VALUE!</v>
      </c>
      <c r="GJ161" t="e">
        <f>AND(tecantrop!O554,"AAAAAHa9W78=")</f>
        <v>#VALUE!</v>
      </c>
      <c r="GK161" t="e">
        <f>AND(tecantrop!P554,"AAAAAHa9W8A=")</f>
        <v>#VALUE!</v>
      </c>
      <c r="GL161" t="e">
        <f>AND(tecantrop!Q554,"AAAAAHa9W8E=")</f>
        <v>#VALUE!</v>
      </c>
      <c r="GM161" t="e">
        <f>AND(tecantrop!R554,"AAAAAHa9W8I=")</f>
        <v>#VALUE!</v>
      </c>
      <c r="GN161" t="e">
        <f>AND(tecantrop!S554,"AAAAAHa9W8M=")</f>
        <v>#VALUE!</v>
      </c>
      <c r="GO161" t="e">
        <f>AND(tecantrop!T554,"AAAAAHa9W8Q=")</f>
        <v>#VALUE!</v>
      </c>
      <c r="GP161" t="e">
        <f>AND(tecantrop!U554,"AAAAAHa9W8U=")</f>
        <v>#VALUE!</v>
      </c>
      <c r="GQ161" t="e">
        <f>AND(tecantrop!V554,"AAAAAHa9W8Y=")</f>
        <v>#VALUE!</v>
      </c>
      <c r="GR161" t="e">
        <f>AND(tecantrop!W554,"AAAAAHa9W8c=")</f>
        <v>#VALUE!</v>
      </c>
      <c r="GS161" t="e">
        <f>AND(tecantrop!X554,"AAAAAHa9W8g=")</f>
        <v>#VALUE!</v>
      </c>
      <c r="GT161">
        <f>IF(tecantrop!555:555,"AAAAAHa9W8k=",0)</f>
        <v>0</v>
      </c>
      <c r="GU161" t="e">
        <f>AND(tecantrop!A555,"AAAAAHa9W8o=")</f>
        <v>#VALUE!</v>
      </c>
      <c r="GV161" t="e">
        <f>AND(tecantrop!B555,"AAAAAHa9W8s=")</f>
        <v>#VALUE!</v>
      </c>
      <c r="GW161" t="e">
        <f>AND(tecantrop!C555,"AAAAAHa9W8w=")</f>
        <v>#VALUE!</v>
      </c>
      <c r="GX161" t="e">
        <f>AND(tecantrop!D555,"AAAAAHa9W80=")</f>
        <v>#VALUE!</v>
      </c>
      <c r="GY161" t="e">
        <f>AND(tecantrop!E555,"AAAAAHa9W84=")</f>
        <v>#VALUE!</v>
      </c>
      <c r="GZ161" t="e">
        <f>AND(tecantrop!F555,"AAAAAHa9W88=")</f>
        <v>#VALUE!</v>
      </c>
      <c r="HA161" t="e">
        <f>AND(tecantrop!G555,"AAAAAHa9W9A=")</f>
        <v>#VALUE!</v>
      </c>
      <c r="HB161" t="e">
        <f>AND(tecantrop!H555,"AAAAAHa9W9E=")</f>
        <v>#VALUE!</v>
      </c>
      <c r="HC161" t="e">
        <f>AND(tecantrop!I555,"AAAAAHa9W9I=")</f>
        <v>#VALUE!</v>
      </c>
      <c r="HD161" t="e">
        <f>AND(tecantrop!J555,"AAAAAHa9W9M=")</f>
        <v>#VALUE!</v>
      </c>
      <c r="HE161" t="e">
        <f>AND(tecantrop!K555,"AAAAAHa9W9Q=")</f>
        <v>#VALUE!</v>
      </c>
      <c r="HF161" t="e">
        <f>AND(tecantrop!L555,"AAAAAHa9W9U=")</f>
        <v>#VALUE!</v>
      </c>
      <c r="HG161" t="e">
        <f>AND(tecantrop!M555,"AAAAAHa9W9Y=")</f>
        <v>#VALUE!</v>
      </c>
      <c r="HH161" t="e">
        <f>AND(tecantrop!N555,"AAAAAHa9W9c=")</f>
        <v>#VALUE!</v>
      </c>
      <c r="HI161" t="e">
        <f>AND(tecantrop!O555,"AAAAAHa9W9g=")</f>
        <v>#VALUE!</v>
      </c>
      <c r="HJ161" t="e">
        <f>AND(tecantrop!P555,"AAAAAHa9W9k=")</f>
        <v>#VALUE!</v>
      </c>
      <c r="HK161" t="e">
        <f>AND(tecantrop!Q555,"AAAAAHa9W9o=")</f>
        <v>#VALUE!</v>
      </c>
      <c r="HL161" t="e">
        <f>AND(tecantrop!R555,"AAAAAHa9W9s=")</f>
        <v>#VALUE!</v>
      </c>
      <c r="HM161" t="e">
        <f>AND(tecantrop!S555,"AAAAAHa9W9w=")</f>
        <v>#VALUE!</v>
      </c>
      <c r="HN161" t="e">
        <f>AND(tecantrop!T555,"AAAAAHa9W90=")</f>
        <v>#VALUE!</v>
      </c>
      <c r="HO161" t="e">
        <f>AND(tecantrop!U555,"AAAAAHa9W94=")</f>
        <v>#VALUE!</v>
      </c>
      <c r="HP161" t="e">
        <f>AND(tecantrop!V555,"AAAAAHa9W98=")</f>
        <v>#VALUE!</v>
      </c>
      <c r="HQ161" t="e">
        <f>AND(tecantrop!W555,"AAAAAHa9W+A=")</f>
        <v>#VALUE!</v>
      </c>
      <c r="HR161" t="e">
        <f>AND(tecantrop!X555,"AAAAAHa9W+E=")</f>
        <v>#VALUE!</v>
      </c>
      <c r="HS161">
        <f>IF(tecantrop!556:556,"AAAAAHa9W+I=",0)</f>
        <v>0</v>
      </c>
      <c r="HT161" t="e">
        <f>AND(tecantrop!A556,"AAAAAHa9W+M=")</f>
        <v>#VALUE!</v>
      </c>
      <c r="HU161" t="e">
        <f>AND(tecantrop!B556,"AAAAAHa9W+Q=")</f>
        <v>#VALUE!</v>
      </c>
      <c r="HV161" t="e">
        <f>AND(tecantrop!C556,"AAAAAHa9W+U=")</f>
        <v>#VALUE!</v>
      </c>
      <c r="HW161" t="e">
        <f>AND(tecantrop!D556,"AAAAAHa9W+Y=")</f>
        <v>#VALUE!</v>
      </c>
      <c r="HX161" t="e">
        <f>AND(tecantrop!E556,"AAAAAHa9W+c=")</f>
        <v>#VALUE!</v>
      </c>
      <c r="HY161" t="e">
        <f>AND(tecantrop!F556,"AAAAAHa9W+g=")</f>
        <v>#VALUE!</v>
      </c>
      <c r="HZ161" t="e">
        <f>AND(tecantrop!G556,"AAAAAHa9W+k=")</f>
        <v>#VALUE!</v>
      </c>
      <c r="IA161" t="e">
        <f>AND(tecantrop!H556,"AAAAAHa9W+o=")</f>
        <v>#VALUE!</v>
      </c>
      <c r="IB161" t="e">
        <f>AND(tecantrop!I556,"AAAAAHa9W+s=")</f>
        <v>#VALUE!</v>
      </c>
      <c r="IC161" t="e">
        <f>AND(tecantrop!J556,"AAAAAHa9W+w=")</f>
        <v>#VALUE!</v>
      </c>
      <c r="ID161" t="e">
        <f>AND(tecantrop!K556,"AAAAAHa9W+0=")</f>
        <v>#VALUE!</v>
      </c>
      <c r="IE161" t="e">
        <f>AND(tecantrop!L556,"AAAAAHa9W+4=")</f>
        <v>#VALUE!</v>
      </c>
      <c r="IF161" t="e">
        <f>AND(tecantrop!M556,"AAAAAHa9W+8=")</f>
        <v>#VALUE!</v>
      </c>
      <c r="IG161" t="e">
        <f>AND(tecantrop!N556,"AAAAAHa9W/A=")</f>
        <v>#VALUE!</v>
      </c>
      <c r="IH161" t="e">
        <f>AND(tecantrop!O556,"AAAAAHa9W/E=")</f>
        <v>#VALUE!</v>
      </c>
      <c r="II161" t="e">
        <f>AND(tecantrop!P556,"AAAAAHa9W/I=")</f>
        <v>#VALUE!</v>
      </c>
      <c r="IJ161" t="e">
        <f>AND(tecantrop!Q556,"AAAAAHa9W/M=")</f>
        <v>#VALUE!</v>
      </c>
      <c r="IK161" t="e">
        <f>AND(tecantrop!R556,"AAAAAHa9W/Q=")</f>
        <v>#VALUE!</v>
      </c>
      <c r="IL161" t="e">
        <f>AND(tecantrop!S556,"AAAAAHa9W/U=")</f>
        <v>#VALUE!</v>
      </c>
      <c r="IM161" t="e">
        <f>AND(tecantrop!T556,"AAAAAHa9W/Y=")</f>
        <v>#VALUE!</v>
      </c>
      <c r="IN161" t="e">
        <f>AND(tecantrop!U556,"AAAAAHa9W/c=")</f>
        <v>#VALUE!</v>
      </c>
      <c r="IO161" t="e">
        <f>AND(tecantrop!V556,"AAAAAHa9W/g=")</f>
        <v>#VALUE!</v>
      </c>
      <c r="IP161" t="e">
        <f>AND(tecantrop!W556,"AAAAAHa9W/k=")</f>
        <v>#VALUE!</v>
      </c>
      <c r="IQ161" t="e">
        <f>AND(tecantrop!X556,"AAAAAHa9W/o=")</f>
        <v>#VALUE!</v>
      </c>
      <c r="IR161">
        <f>IF(tecantrop!557:557,"AAAAAHa9W/s=",0)</f>
        <v>0</v>
      </c>
      <c r="IS161" t="e">
        <f>AND(tecantrop!A557,"AAAAAHa9W/w=")</f>
        <v>#VALUE!</v>
      </c>
      <c r="IT161" t="e">
        <f>AND(tecantrop!B557,"AAAAAHa9W/0=")</f>
        <v>#VALUE!</v>
      </c>
      <c r="IU161" t="e">
        <f>AND(tecantrop!C557,"AAAAAHa9W/4=")</f>
        <v>#VALUE!</v>
      </c>
      <c r="IV161" t="e">
        <f>AND(tecantrop!D557,"AAAAAHa9W/8=")</f>
        <v>#VALUE!</v>
      </c>
    </row>
    <row r="162" spans="1:256" x14ac:dyDescent="0.2">
      <c r="A162" t="e">
        <f>AND(tecantrop!E557,"AAAAAH//5QA=")</f>
        <v>#VALUE!</v>
      </c>
      <c r="B162" t="e">
        <f>AND(tecantrop!F557,"AAAAAH//5QE=")</f>
        <v>#VALUE!</v>
      </c>
      <c r="C162" t="e">
        <f>AND(tecantrop!G557,"AAAAAH//5QI=")</f>
        <v>#VALUE!</v>
      </c>
      <c r="D162" t="e">
        <f>AND(tecantrop!H557,"AAAAAH//5QM=")</f>
        <v>#VALUE!</v>
      </c>
      <c r="E162" t="e">
        <f>AND(tecantrop!I557,"AAAAAH//5QQ=")</f>
        <v>#VALUE!</v>
      </c>
      <c r="F162" t="e">
        <f>AND(tecantrop!J557,"AAAAAH//5QU=")</f>
        <v>#VALUE!</v>
      </c>
      <c r="G162" t="e">
        <f>AND(tecantrop!K557,"AAAAAH//5QY=")</f>
        <v>#VALUE!</v>
      </c>
      <c r="H162" t="e">
        <f>AND(tecantrop!L557,"AAAAAH//5Qc=")</f>
        <v>#VALUE!</v>
      </c>
      <c r="I162" t="e">
        <f>AND(tecantrop!M557,"AAAAAH//5Qg=")</f>
        <v>#VALUE!</v>
      </c>
      <c r="J162" t="e">
        <f>AND(tecantrop!N557,"AAAAAH//5Qk=")</f>
        <v>#VALUE!</v>
      </c>
      <c r="K162" t="e">
        <f>AND(tecantrop!O557,"AAAAAH//5Qo=")</f>
        <v>#VALUE!</v>
      </c>
      <c r="L162" t="e">
        <f>AND(tecantrop!P557,"AAAAAH//5Qs=")</f>
        <v>#VALUE!</v>
      </c>
      <c r="M162" t="e">
        <f>AND(tecantrop!Q557,"AAAAAH//5Qw=")</f>
        <v>#VALUE!</v>
      </c>
      <c r="N162" t="e">
        <f>AND(tecantrop!R557,"AAAAAH//5Q0=")</f>
        <v>#VALUE!</v>
      </c>
      <c r="O162" t="e">
        <f>AND(tecantrop!S557,"AAAAAH//5Q4=")</f>
        <v>#VALUE!</v>
      </c>
      <c r="P162" t="e">
        <f>AND(tecantrop!T557,"AAAAAH//5Q8=")</f>
        <v>#VALUE!</v>
      </c>
      <c r="Q162" t="e">
        <f>AND(tecantrop!U557,"AAAAAH//5RA=")</f>
        <v>#VALUE!</v>
      </c>
      <c r="R162" t="e">
        <f>AND(tecantrop!V557,"AAAAAH//5RE=")</f>
        <v>#VALUE!</v>
      </c>
      <c r="S162" t="e">
        <f>AND(tecantrop!W557,"AAAAAH//5RI=")</f>
        <v>#VALUE!</v>
      </c>
      <c r="T162" t="e">
        <f>AND(tecantrop!X557,"AAAAAH//5RM=")</f>
        <v>#VALUE!</v>
      </c>
      <c r="U162">
        <f>IF(tecantrop!558:558,"AAAAAH//5RQ=",0)</f>
        <v>0</v>
      </c>
      <c r="V162" t="e">
        <f>AND(tecantrop!A558,"AAAAAH//5RU=")</f>
        <v>#VALUE!</v>
      </c>
      <c r="W162" t="e">
        <f>AND(tecantrop!B558,"AAAAAH//5RY=")</f>
        <v>#VALUE!</v>
      </c>
      <c r="X162" t="e">
        <f>AND(tecantrop!C558,"AAAAAH//5Rc=")</f>
        <v>#VALUE!</v>
      </c>
      <c r="Y162" t="e">
        <f>AND(tecantrop!D558,"AAAAAH//5Rg=")</f>
        <v>#VALUE!</v>
      </c>
      <c r="Z162" t="e">
        <f>AND(tecantrop!E558,"AAAAAH//5Rk=")</f>
        <v>#VALUE!</v>
      </c>
      <c r="AA162" t="e">
        <f>AND(tecantrop!F558,"AAAAAH//5Ro=")</f>
        <v>#VALUE!</v>
      </c>
      <c r="AB162" t="e">
        <f>AND(tecantrop!G558,"AAAAAH//5Rs=")</f>
        <v>#VALUE!</v>
      </c>
      <c r="AC162" t="e">
        <f>AND(tecantrop!H558,"AAAAAH//5Rw=")</f>
        <v>#VALUE!</v>
      </c>
      <c r="AD162" t="e">
        <f>AND(tecantrop!I558,"AAAAAH//5R0=")</f>
        <v>#VALUE!</v>
      </c>
      <c r="AE162" t="e">
        <f>AND(tecantrop!J558,"AAAAAH//5R4=")</f>
        <v>#VALUE!</v>
      </c>
      <c r="AF162" t="e">
        <f>AND(tecantrop!K558,"AAAAAH//5R8=")</f>
        <v>#VALUE!</v>
      </c>
      <c r="AG162" t="e">
        <f>AND(tecantrop!L558,"AAAAAH//5SA=")</f>
        <v>#VALUE!</v>
      </c>
      <c r="AH162" t="e">
        <f>AND(tecantrop!M558,"AAAAAH//5SE=")</f>
        <v>#VALUE!</v>
      </c>
      <c r="AI162" t="e">
        <f>AND(tecantrop!N558,"AAAAAH//5SI=")</f>
        <v>#VALUE!</v>
      </c>
      <c r="AJ162" t="e">
        <f>AND(tecantrop!O558,"AAAAAH//5SM=")</f>
        <v>#VALUE!</v>
      </c>
      <c r="AK162" t="e">
        <f>AND(tecantrop!P558,"AAAAAH//5SQ=")</f>
        <v>#VALUE!</v>
      </c>
      <c r="AL162" t="e">
        <f>AND(tecantrop!Q558,"AAAAAH//5SU=")</f>
        <v>#VALUE!</v>
      </c>
      <c r="AM162" t="e">
        <f>AND(tecantrop!R558,"AAAAAH//5SY=")</f>
        <v>#VALUE!</v>
      </c>
      <c r="AN162" t="e">
        <f>AND(tecantrop!S558,"AAAAAH//5Sc=")</f>
        <v>#VALUE!</v>
      </c>
      <c r="AO162" t="e">
        <f>AND(tecantrop!T558,"AAAAAH//5Sg=")</f>
        <v>#VALUE!</v>
      </c>
      <c r="AP162" t="e">
        <f>AND(tecantrop!U558,"AAAAAH//5Sk=")</f>
        <v>#VALUE!</v>
      </c>
      <c r="AQ162" t="e">
        <f>AND(tecantrop!V558,"AAAAAH//5So=")</f>
        <v>#VALUE!</v>
      </c>
      <c r="AR162" t="e">
        <f>AND(tecantrop!W558,"AAAAAH//5Ss=")</f>
        <v>#VALUE!</v>
      </c>
      <c r="AS162" t="e">
        <f>AND(tecantrop!X558,"AAAAAH//5Sw=")</f>
        <v>#VALUE!</v>
      </c>
      <c r="AT162">
        <f>IF(tecantrop!559:559,"AAAAAH//5S0=",0)</f>
        <v>0</v>
      </c>
      <c r="AU162" t="e">
        <f>AND(tecantrop!A559,"AAAAAH//5S4=")</f>
        <v>#VALUE!</v>
      </c>
      <c r="AV162" t="e">
        <f>AND(tecantrop!B559,"AAAAAH//5S8=")</f>
        <v>#VALUE!</v>
      </c>
      <c r="AW162" t="e">
        <f>AND(tecantrop!C559,"AAAAAH//5TA=")</f>
        <v>#VALUE!</v>
      </c>
      <c r="AX162" t="e">
        <f>AND(tecantrop!D559,"AAAAAH//5TE=")</f>
        <v>#VALUE!</v>
      </c>
      <c r="AY162" t="e">
        <f>AND(tecantrop!E559,"AAAAAH//5TI=")</f>
        <v>#VALUE!</v>
      </c>
      <c r="AZ162" t="e">
        <f>AND(tecantrop!F559,"AAAAAH//5TM=")</f>
        <v>#VALUE!</v>
      </c>
      <c r="BA162" t="e">
        <f>AND(tecantrop!G559,"AAAAAH//5TQ=")</f>
        <v>#VALUE!</v>
      </c>
      <c r="BB162" t="e">
        <f>AND(tecantrop!H559,"AAAAAH//5TU=")</f>
        <v>#VALUE!</v>
      </c>
      <c r="BC162" t="e">
        <f>AND(tecantrop!I559,"AAAAAH//5TY=")</f>
        <v>#VALUE!</v>
      </c>
      <c r="BD162" t="e">
        <f>AND(tecantrop!J559,"AAAAAH//5Tc=")</f>
        <v>#VALUE!</v>
      </c>
      <c r="BE162" t="e">
        <f>AND(tecantrop!K559,"AAAAAH//5Tg=")</f>
        <v>#VALUE!</v>
      </c>
      <c r="BF162" t="e">
        <f>AND(tecantrop!L559,"AAAAAH//5Tk=")</f>
        <v>#VALUE!</v>
      </c>
      <c r="BG162" t="e">
        <f>AND(tecantrop!M559,"AAAAAH//5To=")</f>
        <v>#VALUE!</v>
      </c>
      <c r="BH162" t="e">
        <f>AND(tecantrop!N559,"AAAAAH//5Ts=")</f>
        <v>#VALUE!</v>
      </c>
      <c r="BI162" t="e">
        <f>AND(tecantrop!O559,"AAAAAH//5Tw=")</f>
        <v>#VALUE!</v>
      </c>
      <c r="BJ162" t="e">
        <f>AND(tecantrop!P559,"AAAAAH//5T0=")</f>
        <v>#VALUE!</v>
      </c>
      <c r="BK162" t="e">
        <f>AND(tecantrop!Q559,"AAAAAH//5T4=")</f>
        <v>#VALUE!</v>
      </c>
      <c r="BL162" t="e">
        <f>AND(tecantrop!R559,"AAAAAH//5T8=")</f>
        <v>#VALUE!</v>
      </c>
      <c r="BM162" t="e">
        <f>AND(tecantrop!S559,"AAAAAH//5UA=")</f>
        <v>#VALUE!</v>
      </c>
      <c r="BN162" t="e">
        <f>AND(tecantrop!T559,"AAAAAH//5UE=")</f>
        <v>#VALUE!</v>
      </c>
      <c r="BO162" t="e">
        <f>AND(tecantrop!U559,"AAAAAH//5UI=")</f>
        <v>#VALUE!</v>
      </c>
      <c r="BP162" t="e">
        <f>AND(tecantrop!V559,"AAAAAH//5UM=")</f>
        <v>#VALUE!</v>
      </c>
      <c r="BQ162" t="e">
        <f>AND(tecantrop!W559,"AAAAAH//5UQ=")</f>
        <v>#VALUE!</v>
      </c>
      <c r="BR162" t="e">
        <f>AND(tecantrop!X559,"AAAAAH//5UU=")</f>
        <v>#VALUE!</v>
      </c>
      <c r="BS162">
        <f>IF(tecantrop!560:560,"AAAAAH//5UY=",0)</f>
        <v>0</v>
      </c>
      <c r="BT162" t="e">
        <f>AND(tecantrop!A560,"AAAAAH//5Uc=")</f>
        <v>#VALUE!</v>
      </c>
      <c r="BU162" t="e">
        <f>AND(tecantrop!B560,"AAAAAH//5Ug=")</f>
        <v>#VALUE!</v>
      </c>
      <c r="BV162" t="e">
        <f>AND(tecantrop!C560,"AAAAAH//5Uk=")</f>
        <v>#VALUE!</v>
      </c>
      <c r="BW162" t="e">
        <f>AND(tecantrop!D560,"AAAAAH//5Uo=")</f>
        <v>#VALUE!</v>
      </c>
      <c r="BX162" t="e">
        <f>AND(tecantrop!E560,"AAAAAH//5Us=")</f>
        <v>#VALUE!</v>
      </c>
      <c r="BY162" t="e">
        <f>AND(tecantrop!F560,"AAAAAH//5Uw=")</f>
        <v>#VALUE!</v>
      </c>
      <c r="BZ162" t="e">
        <f>AND(tecantrop!G560,"AAAAAH//5U0=")</f>
        <v>#VALUE!</v>
      </c>
      <c r="CA162" t="e">
        <f>AND(tecantrop!H560,"AAAAAH//5U4=")</f>
        <v>#VALUE!</v>
      </c>
      <c r="CB162" t="e">
        <f>AND(tecantrop!I560,"AAAAAH//5U8=")</f>
        <v>#VALUE!</v>
      </c>
      <c r="CC162" t="e">
        <f>AND(tecantrop!J560,"AAAAAH//5VA=")</f>
        <v>#VALUE!</v>
      </c>
      <c r="CD162" t="e">
        <f>AND(tecantrop!K560,"AAAAAH//5VE=")</f>
        <v>#VALUE!</v>
      </c>
      <c r="CE162" t="e">
        <f>AND(tecantrop!L560,"AAAAAH//5VI=")</f>
        <v>#VALUE!</v>
      </c>
      <c r="CF162" t="e">
        <f>AND(tecantrop!M560,"AAAAAH//5VM=")</f>
        <v>#VALUE!</v>
      </c>
      <c r="CG162" t="e">
        <f>AND(tecantrop!N560,"AAAAAH//5VQ=")</f>
        <v>#VALUE!</v>
      </c>
      <c r="CH162" t="e">
        <f>AND(tecantrop!O560,"AAAAAH//5VU=")</f>
        <v>#VALUE!</v>
      </c>
      <c r="CI162" t="e">
        <f>AND(tecantrop!P560,"AAAAAH//5VY=")</f>
        <v>#VALUE!</v>
      </c>
      <c r="CJ162" t="e">
        <f>AND(tecantrop!Q560,"AAAAAH//5Vc=")</f>
        <v>#VALUE!</v>
      </c>
      <c r="CK162" t="e">
        <f>AND(tecantrop!R560,"AAAAAH//5Vg=")</f>
        <v>#VALUE!</v>
      </c>
      <c r="CL162" t="e">
        <f>AND(tecantrop!S560,"AAAAAH//5Vk=")</f>
        <v>#VALUE!</v>
      </c>
      <c r="CM162" t="e">
        <f>AND(tecantrop!T560,"AAAAAH//5Vo=")</f>
        <v>#VALUE!</v>
      </c>
      <c r="CN162" t="e">
        <f>AND(tecantrop!U560,"AAAAAH//5Vs=")</f>
        <v>#VALUE!</v>
      </c>
      <c r="CO162" t="e">
        <f>AND(tecantrop!V560,"AAAAAH//5Vw=")</f>
        <v>#VALUE!</v>
      </c>
      <c r="CP162" t="e">
        <f>AND(tecantrop!W560,"AAAAAH//5V0=")</f>
        <v>#VALUE!</v>
      </c>
      <c r="CQ162" t="e">
        <f>AND(tecantrop!X560,"AAAAAH//5V4=")</f>
        <v>#VALUE!</v>
      </c>
      <c r="CR162">
        <f>IF(tecantrop!561:561,"AAAAAH//5V8=",0)</f>
        <v>0</v>
      </c>
      <c r="CS162" t="e">
        <f>AND(tecantrop!A561,"AAAAAH//5WA=")</f>
        <v>#VALUE!</v>
      </c>
      <c r="CT162" t="e">
        <f>AND(tecantrop!B561,"AAAAAH//5WE=")</f>
        <v>#VALUE!</v>
      </c>
      <c r="CU162" t="e">
        <f>AND(tecantrop!C561,"AAAAAH//5WI=")</f>
        <v>#VALUE!</v>
      </c>
      <c r="CV162" t="e">
        <f>AND(tecantrop!D561,"AAAAAH//5WM=")</f>
        <v>#VALUE!</v>
      </c>
      <c r="CW162" t="e">
        <f>AND(tecantrop!E561,"AAAAAH//5WQ=")</f>
        <v>#VALUE!</v>
      </c>
      <c r="CX162" t="e">
        <f>AND(tecantrop!F561,"AAAAAH//5WU=")</f>
        <v>#VALUE!</v>
      </c>
      <c r="CY162" t="e">
        <f>AND(tecantrop!G561,"AAAAAH//5WY=")</f>
        <v>#VALUE!</v>
      </c>
      <c r="CZ162" t="e">
        <f>AND(tecantrop!H561,"AAAAAH//5Wc=")</f>
        <v>#VALUE!</v>
      </c>
      <c r="DA162" t="e">
        <f>AND(tecantrop!I561,"AAAAAH//5Wg=")</f>
        <v>#VALUE!</v>
      </c>
      <c r="DB162" t="e">
        <f>AND(tecantrop!J561,"AAAAAH//5Wk=")</f>
        <v>#VALUE!</v>
      </c>
      <c r="DC162" t="e">
        <f>AND(tecantrop!K561,"AAAAAH//5Wo=")</f>
        <v>#VALUE!</v>
      </c>
      <c r="DD162" t="e">
        <f>AND(tecantrop!L561,"AAAAAH//5Ws=")</f>
        <v>#VALUE!</v>
      </c>
      <c r="DE162" t="e">
        <f>AND(tecantrop!M561,"AAAAAH//5Ww=")</f>
        <v>#VALUE!</v>
      </c>
      <c r="DF162" t="e">
        <f>AND(tecantrop!N561,"AAAAAH//5W0=")</f>
        <v>#VALUE!</v>
      </c>
      <c r="DG162" t="e">
        <f>AND(tecantrop!O561,"AAAAAH//5W4=")</f>
        <v>#VALUE!</v>
      </c>
      <c r="DH162" t="e">
        <f>AND(tecantrop!P561,"AAAAAH//5W8=")</f>
        <v>#VALUE!</v>
      </c>
      <c r="DI162" t="e">
        <f>AND(tecantrop!Q561,"AAAAAH//5XA=")</f>
        <v>#VALUE!</v>
      </c>
      <c r="DJ162" t="e">
        <f>AND(tecantrop!R561,"AAAAAH//5XE=")</f>
        <v>#VALUE!</v>
      </c>
      <c r="DK162" t="e">
        <f>AND(tecantrop!S561,"AAAAAH//5XI=")</f>
        <v>#VALUE!</v>
      </c>
      <c r="DL162" t="e">
        <f>AND(tecantrop!T561,"AAAAAH//5XM=")</f>
        <v>#VALUE!</v>
      </c>
      <c r="DM162" t="e">
        <f>AND(tecantrop!U561,"AAAAAH//5XQ=")</f>
        <v>#VALUE!</v>
      </c>
      <c r="DN162" t="e">
        <f>AND(tecantrop!V561,"AAAAAH//5XU=")</f>
        <v>#VALUE!</v>
      </c>
      <c r="DO162" t="e">
        <f>AND(tecantrop!W561,"AAAAAH//5XY=")</f>
        <v>#VALUE!</v>
      </c>
      <c r="DP162" t="e">
        <f>AND(tecantrop!X561,"AAAAAH//5Xc=")</f>
        <v>#VALUE!</v>
      </c>
      <c r="DQ162">
        <f>IF(tecantrop!562:562,"AAAAAH//5Xg=",0)</f>
        <v>0</v>
      </c>
      <c r="DR162" t="e">
        <f>AND(tecantrop!A562,"AAAAAH//5Xk=")</f>
        <v>#VALUE!</v>
      </c>
      <c r="DS162" t="e">
        <f>AND(tecantrop!B562,"AAAAAH//5Xo=")</f>
        <v>#VALUE!</v>
      </c>
      <c r="DT162" t="e">
        <f>AND(tecantrop!C562,"AAAAAH//5Xs=")</f>
        <v>#VALUE!</v>
      </c>
      <c r="DU162" t="e">
        <f>AND(tecantrop!D562,"AAAAAH//5Xw=")</f>
        <v>#VALUE!</v>
      </c>
      <c r="DV162" t="e">
        <f>AND(tecantrop!E562,"AAAAAH//5X0=")</f>
        <v>#VALUE!</v>
      </c>
      <c r="DW162" t="e">
        <f>AND(tecantrop!F562,"AAAAAH//5X4=")</f>
        <v>#VALUE!</v>
      </c>
      <c r="DX162" t="e">
        <f>AND(tecantrop!G562,"AAAAAH//5X8=")</f>
        <v>#VALUE!</v>
      </c>
      <c r="DY162" t="e">
        <f>AND(tecantrop!H562,"AAAAAH//5YA=")</f>
        <v>#VALUE!</v>
      </c>
      <c r="DZ162" t="e">
        <f>AND(tecantrop!I562,"AAAAAH//5YE=")</f>
        <v>#VALUE!</v>
      </c>
      <c r="EA162" t="e">
        <f>AND(tecantrop!J562,"AAAAAH//5YI=")</f>
        <v>#VALUE!</v>
      </c>
      <c r="EB162" t="e">
        <f>AND(tecantrop!K562,"AAAAAH//5YM=")</f>
        <v>#VALUE!</v>
      </c>
      <c r="EC162" t="e">
        <f>AND(tecantrop!L562,"AAAAAH//5YQ=")</f>
        <v>#VALUE!</v>
      </c>
      <c r="ED162" t="e">
        <f>AND(tecantrop!M562,"AAAAAH//5YU=")</f>
        <v>#VALUE!</v>
      </c>
      <c r="EE162" t="e">
        <f>AND(tecantrop!N562,"AAAAAH//5YY=")</f>
        <v>#VALUE!</v>
      </c>
      <c r="EF162" t="e">
        <f>AND(tecantrop!O562,"AAAAAH//5Yc=")</f>
        <v>#VALUE!</v>
      </c>
      <c r="EG162" t="e">
        <f>AND(tecantrop!P562,"AAAAAH//5Yg=")</f>
        <v>#VALUE!</v>
      </c>
      <c r="EH162" t="e">
        <f>AND(tecantrop!Q562,"AAAAAH//5Yk=")</f>
        <v>#VALUE!</v>
      </c>
      <c r="EI162" t="e">
        <f>AND(tecantrop!R562,"AAAAAH//5Yo=")</f>
        <v>#VALUE!</v>
      </c>
      <c r="EJ162" t="e">
        <f>AND(tecantrop!S562,"AAAAAH//5Ys=")</f>
        <v>#VALUE!</v>
      </c>
      <c r="EK162" t="e">
        <f>AND(tecantrop!T562,"AAAAAH//5Yw=")</f>
        <v>#VALUE!</v>
      </c>
      <c r="EL162" t="e">
        <f>AND(tecantrop!U562,"AAAAAH//5Y0=")</f>
        <v>#VALUE!</v>
      </c>
      <c r="EM162" t="e">
        <f>AND(tecantrop!V562,"AAAAAH//5Y4=")</f>
        <v>#VALUE!</v>
      </c>
      <c r="EN162" t="e">
        <f>AND(tecantrop!W562,"AAAAAH//5Y8=")</f>
        <v>#VALUE!</v>
      </c>
      <c r="EO162" t="e">
        <f>AND(tecantrop!X562,"AAAAAH//5ZA=")</f>
        <v>#VALUE!</v>
      </c>
      <c r="EP162">
        <f>IF(tecantrop!563:563,"AAAAAH//5ZE=",0)</f>
        <v>0</v>
      </c>
      <c r="EQ162" t="e">
        <f>AND(tecantrop!A563,"AAAAAH//5ZI=")</f>
        <v>#VALUE!</v>
      </c>
      <c r="ER162" t="e">
        <f>AND(tecantrop!B563,"AAAAAH//5ZM=")</f>
        <v>#VALUE!</v>
      </c>
      <c r="ES162" t="e">
        <f>AND(tecantrop!C563,"AAAAAH//5ZQ=")</f>
        <v>#VALUE!</v>
      </c>
      <c r="ET162" t="e">
        <f>AND(tecantrop!D563,"AAAAAH//5ZU=")</f>
        <v>#VALUE!</v>
      </c>
      <c r="EU162" t="e">
        <f>AND(tecantrop!E563,"AAAAAH//5ZY=")</f>
        <v>#VALUE!</v>
      </c>
      <c r="EV162" t="e">
        <f>AND(tecantrop!F563,"AAAAAH//5Zc=")</f>
        <v>#VALUE!</v>
      </c>
      <c r="EW162" t="e">
        <f>AND(tecantrop!G563,"AAAAAH//5Zg=")</f>
        <v>#VALUE!</v>
      </c>
      <c r="EX162" t="e">
        <f>AND(tecantrop!H563,"AAAAAH//5Zk=")</f>
        <v>#VALUE!</v>
      </c>
      <c r="EY162" t="e">
        <f>AND(tecantrop!I563,"AAAAAH//5Zo=")</f>
        <v>#VALUE!</v>
      </c>
      <c r="EZ162" t="e">
        <f>AND(tecantrop!J563,"AAAAAH//5Zs=")</f>
        <v>#VALUE!</v>
      </c>
      <c r="FA162" t="e">
        <f>AND(tecantrop!K563,"AAAAAH//5Zw=")</f>
        <v>#VALUE!</v>
      </c>
      <c r="FB162" t="e">
        <f>AND(tecantrop!L563,"AAAAAH//5Z0=")</f>
        <v>#VALUE!</v>
      </c>
      <c r="FC162" t="e">
        <f>AND(tecantrop!M563,"AAAAAH//5Z4=")</f>
        <v>#VALUE!</v>
      </c>
      <c r="FD162" t="e">
        <f>AND(tecantrop!N563,"AAAAAH//5Z8=")</f>
        <v>#VALUE!</v>
      </c>
      <c r="FE162" t="e">
        <f>AND(tecantrop!O563,"AAAAAH//5aA=")</f>
        <v>#VALUE!</v>
      </c>
      <c r="FF162" t="e">
        <f>AND(tecantrop!P563,"AAAAAH//5aE=")</f>
        <v>#VALUE!</v>
      </c>
      <c r="FG162" t="e">
        <f>AND(tecantrop!Q563,"AAAAAH//5aI=")</f>
        <v>#VALUE!</v>
      </c>
      <c r="FH162" t="e">
        <f>AND(tecantrop!R563,"AAAAAH//5aM=")</f>
        <v>#VALUE!</v>
      </c>
      <c r="FI162" t="e">
        <f>AND(tecantrop!S563,"AAAAAH//5aQ=")</f>
        <v>#VALUE!</v>
      </c>
      <c r="FJ162" t="e">
        <f>AND(tecantrop!T563,"AAAAAH//5aU=")</f>
        <v>#VALUE!</v>
      </c>
      <c r="FK162" t="e">
        <f>AND(tecantrop!U563,"AAAAAH//5aY=")</f>
        <v>#VALUE!</v>
      </c>
      <c r="FL162" t="e">
        <f>AND(tecantrop!V563,"AAAAAH//5ac=")</f>
        <v>#VALUE!</v>
      </c>
      <c r="FM162" t="e">
        <f>AND(tecantrop!W563,"AAAAAH//5ag=")</f>
        <v>#VALUE!</v>
      </c>
      <c r="FN162" t="e">
        <f>AND(tecantrop!X563,"AAAAAH//5ak=")</f>
        <v>#VALUE!</v>
      </c>
      <c r="FO162">
        <f>IF(tecantrop!564:564,"AAAAAH//5ao=",0)</f>
        <v>0</v>
      </c>
      <c r="FP162" t="e">
        <f>AND(tecantrop!A564,"AAAAAH//5as=")</f>
        <v>#VALUE!</v>
      </c>
      <c r="FQ162" t="e">
        <f>AND(tecantrop!B564,"AAAAAH//5aw=")</f>
        <v>#VALUE!</v>
      </c>
      <c r="FR162" t="e">
        <f>AND(tecantrop!C564,"AAAAAH//5a0=")</f>
        <v>#VALUE!</v>
      </c>
      <c r="FS162" t="e">
        <f>AND(tecantrop!D564,"AAAAAH//5a4=")</f>
        <v>#VALUE!</v>
      </c>
      <c r="FT162" t="e">
        <f>AND(tecantrop!E564,"AAAAAH//5a8=")</f>
        <v>#VALUE!</v>
      </c>
      <c r="FU162" t="e">
        <f>AND(tecantrop!F564,"AAAAAH//5bA=")</f>
        <v>#VALUE!</v>
      </c>
      <c r="FV162" t="e">
        <f>AND(tecantrop!G564,"AAAAAH//5bE=")</f>
        <v>#VALUE!</v>
      </c>
      <c r="FW162" t="e">
        <f>AND(tecantrop!H564,"AAAAAH//5bI=")</f>
        <v>#VALUE!</v>
      </c>
      <c r="FX162" t="e">
        <f>AND(tecantrop!I564,"AAAAAH//5bM=")</f>
        <v>#VALUE!</v>
      </c>
      <c r="FY162" t="e">
        <f>AND(tecantrop!J564,"AAAAAH//5bQ=")</f>
        <v>#VALUE!</v>
      </c>
      <c r="FZ162" t="e">
        <f>AND(tecantrop!K564,"AAAAAH//5bU=")</f>
        <v>#VALUE!</v>
      </c>
      <c r="GA162" t="e">
        <f>AND(tecantrop!L564,"AAAAAH//5bY=")</f>
        <v>#VALUE!</v>
      </c>
      <c r="GB162" t="e">
        <f>AND(tecantrop!M564,"AAAAAH//5bc=")</f>
        <v>#VALUE!</v>
      </c>
      <c r="GC162" t="e">
        <f>AND(tecantrop!N564,"AAAAAH//5bg=")</f>
        <v>#VALUE!</v>
      </c>
      <c r="GD162" t="e">
        <f>AND(tecantrop!O564,"AAAAAH//5bk=")</f>
        <v>#VALUE!</v>
      </c>
      <c r="GE162" t="e">
        <f>AND(tecantrop!P564,"AAAAAH//5bo=")</f>
        <v>#VALUE!</v>
      </c>
      <c r="GF162" t="e">
        <f>AND(tecantrop!Q564,"AAAAAH//5bs=")</f>
        <v>#VALUE!</v>
      </c>
      <c r="GG162" t="e">
        <f>AND(tecantrop!R564,"AAAAAH//5bw=")</f>
        <v>#VALUE!</v>
      </c>
      <c r="GH162" t="e">
        <f>AND(tecantrop!S564,"AAAAAH//5b0=")</f>
        <v>#VALUE!</v>
      </c>
      <c r="GI162" t="e">
        <f>AND(tecantrop!T564,"AAAAAH//5b4=")</f>
        <v>#VALUE!</v>
      </c>
      <c r="GJ162" t="e">
        <f>AND(tecantrop!U564,"AAAAAH//5b8=")</f>
        <v>#VALUE!</v>
      </c>
      <c r="GK162" t="e">
        <f>AND(tecantrop!V564,"AAAAAH//5cA=")</f>
        <v>#VALUE!</v>
      </c>
      <c r="GL162" t="e">
        <f>AND(tecantrop!W564,"AAAAAH//5cE=")</f>
        <v>#VALUE!</v>
      </c>
      <c r="GM162" t="e">
        <f>AND(tecantrop!X564,"AAAAAH//5cI=")</f>
        <v>#VALUE!</v>
      </c>
      <c r="GN162">
        <f>IF(tecantrop!565:565,"AAAAAH//5cM=",0)</f>
        <v>0</v>
      </c>
      <c r="GO162" t="e">
        <f>AND(tecantrop!A565,"AAAAAH//5cQ=")</f>
        <v>#VALUE!</v>
      </c>
      <c r="GP162" t="e">
        <f>AND(tecantrop!B565,"AAAAAH//5cU=")</f>
        <v>#VALUE!</v>
      </c>
      <c r="GQ162" t="e">
        <f>AND(tecantrop!C565,"AAAAAH//5cY=")</f>
        <v>#VALUE!</v>
      </c>
      <c r="GR162" t="e">
        <f>AND(tecantrop!D565,"AAAAAH//5cc=")</f>
        <v>#VALUE!</v>
      </c>
      <c r="GS162" t="e">
        <f>AND(tecantrop!E565,"AAAAAH//5cg=")</f>
        <v>#VALUE!</v>
      </c>
      <c r="GT162" t="e">
        <f>AND(tecantrop!F565,"AAAAAH//5ck=")</f>
        <v>#VALUE!</v>
      </c>
      <c r="GU162" t="e">
        <f>AND(tecantrop!G565,"AAAAAH//5co=")</f>
        <v>#VALUE!</v>
      </c>
      <c r="GV162" t="e">
        <f>AND(tecantrop!H565,"AAAAAH//5cs=")</f>
        <v>#VALUE!</v>
      </c>
      <c r="GW162" t="e">
        <f>AND(tecantrop!I565,"AAAAAH//5cw=")</f>
        <v>#VALUE!</v>
      </c>
      <c r="GX162" t="e">
        <f>AND(tecantrop!J565,"AAAAAH//5c0=")</f>
        <v>#VALUE!</v>
      </c>
      <c r="GY162" t="e">
        <f>AND(tecantrop!K565,"AAAAAH//5c4=")</f>
        <v>#VALUE!</v>
      </c>
      <c r="GZ162" t="e">
        <f>AND(tecantrop!L565,"AAAAAH//5c8=")</f>
        <v>#VALUE!</v>
      </c>
      <c r="HA162" t="e">
        <f>AND(tecantrop!M565,"AAAAAH//5dA=")</f>
        <v>#VALUE!</v>
      </c>
      <c r="HB162" t="e">
        <f>AND(tecantrop!N565,"AAAAAH//5dE=")</f>
        <v>#VALUE!</v>
      </c>
      <c r="HC162" t="e">
        <f>AND(tecantrop!O565,"AAAAAH//5dI=")</f>
        <v>#VALUE!</v>
      </c>
      <c r="HD162" t="e">
        <f>AND(tecantrop!P565,"AAAAAH//5dM=")</f>
        <v>#VALUE!</v>
      </c>
      <c r="HE162" t="e">
        <f>AND(tecantrop!Q565,"AAAAAH//5dQ=")</f>
        <v>#VALUE!</v>
      </c>
      <c r="HF162" t="e">
        <f>AND(tecantrop!R565,"AAAAAH//5dU=")</f>
        <v>#VALUE!</v>
      </c>
      <c r="HG162" t="e">
        <f>AND(tecantrop!S565,"AAAAAH//5dY=")</f>
        <v>#VALUE!</v>
      </c>
      <c r="HH162" t="e">
        <f>AND(tecantrop!T565,"AAAAAH//5dc=")</f>
        <v>#VALUE!</v>
      </c>
      <c r="HI162" t="e">
        <f>AND(tecantrop!U565,"AAAAAH//5dg=")</f>
        <v>#VALUE!</v>
      </c>
      <c r="HJ162" t="e">
        <f>AND(tecantrop!V565,"AAAAAH//5dk=")</f>
        <v>#VALUE!</v>
      </c>
      <c r="HK162" t="e">
        <f>AND(tecantrop!W565,"AAAAAH//5do=")</f>
        <v>#VALUE!</v>
      </c>
      <c r="HL162" t="e">
        <f>AND(tecantrop!X565,"AAAAAH//5ds=")</f>
        <v>#VALUE!</v>
      </c>
      <c r="HM162">
        <f>IF(tecantrop!566:566,"AAAAAH//5dw=",0)</f>
        <v>0</v>
      </c>
      <c r="HN162" t="e">
        <f>AND(tecantrop!A566,"AAAAAH//5d0=")</f>
        <v>#VALUE!</v>
      </c>
      <c r="HO162" t="e">
        <f>AND(tecantrop!B566,"AAAAAH//5d4=")</f>
        <v>#VALUE!</v>
      </c>
      <c r="HP162" t="e">
        <f>AND(tecantrop!C566,"AAAAAH//5d8=")</f>
        <v>#VALUE!</v>
      </c>
      <c r="HQ162" t="e">
        <f>AND(tecantrop!D566,"AAAAAH//5eA=")</f>
        <v>#VALUE!</v>
      </c>
      <c r="HR162" t="e">
        <f>AND(tecantrop!E566,"AAAAAH//5eE=")</f>
        <v>#VALUE!</v>
      </c>
      <c r="HS162" t="e">
        <f>AND(tecantrop!F566,"AAAAAH//5eI=")</f>
        <v>#VALUE!</v>
      </c>
      <c r="HT162" t="e">
        <f>AND(tecantrop!G566,"AAAAAH//5eM=")</f>
        <v>#VALUE!</v>
      </c>
      <c r="HU162" t="e">
        <f>AND(tecantrop!H566,"AAAAAH//5eQ=")</f>
        <v>#VALUE!</v>
      </c>
      <c r="HV162" t="e">
        <f>AND(tecantrop!I566,"AAAAAH//5eU=")</f>
        <v>#VALUE!</v>
      </c>
      <c r="HW162" t="e">
        <f>AND(tecantrop!J566,"AAAAAH//5eY=")</f>
        <v>#VALUE!</v>
      </c>
      <c r="HX162" t="e">
        <f>AND(tecantrop!K566,"AAAAAH//5ec=")</f>
        <v>#VALUE!</v>
      </c>
      <c r="HY162" t="e">
        <f>AND(tecantrop!L566,"AAAAAH//5eg=")</f>
        <v>#VALUE!</v>
      </c>
      <c r="HZ162" t="e">
        <f>AND(tecantrop!M566,"AAAAAH//5ek=")</f>
        <v>#VALUE!</v>
      </c>
      <c r="IA162" t="e">
        <f>AND(tecantrop!N566,"AAAAAH//5eo=")</f>
        <v>#VALUE!</v>
      </c>
      <c r="IB162" t="e">
        <f>AND(tecantrop!O566,"AAAAAH//5es=")</f>
        <v>#VALUE!</v>
      </c>
      <c r="IC162" t="e">
        <f>AND(tecantrop!P566,"AAAAAH//5ew=")</f>
        <v>#VALUE!</v>
      </c>
      <c r="ID162" t="e">
        <f>AND(tecantrop!Q566,"AAAAAH//5e0=")</f>
        <v>#VALUE!</v>
      </c>
      <c r="IE162" t="e">
        <f>AND(tecantrop!R566,"AAAAAH//5e4=")</f>
        <v>#VALUE!</v>
      </c>
      <c r="IF162" t="e">
        <f>AND(tecantrop!S566,"AAAAAH//5e8=")</f>
        <v>#VALUE!</v>
      </c>
      <c r="IG162" t="e">
        <f>AND(tecantrop!T566,"AAAAAH//5fA=")</f>
        <v>#VALUE!</v>
      </c>
      <c r="IH162" t="e">
        <f>AND(tecantrop!U566,"AAAAAH//5fE=")</f>
        <v>#VALUE!</v>
      </c>
      <c r="II162" t="e">
        <f>AND(tecantrop!V566,"AAAAAH//5fI=")</f>
        <v>#VALUE!</v>
      </c>
      <c r="IJ162" t="e">
        <f>AND(tecantrop!W566,"AAAAAH//5fM=")</f>
        <v>#VALUE!</v>
      </c>
      <c r="IK162" t="e">
        <f>AND(tecantrop!X566,"AAAAAH//5fQ=")</f>
        <v>#VALUE!</v>
      </c>
      <c r="IL162">
        <f>IF(tecantrop!567:567,"AAAAAH//5fU=",0)</f>
        <v>0</v>
      </c>
      <c r="IM162" t="e">
        <f>AND(tecantrop!A567,"AAAAAH//5fY=")</f>
        <v>#VALUE!</v>
      </c>
      <c r="IN162" t="e">
        <f>AND(tecantrop!B567,"AAAAAH//5fc=")</f>
        <v>#VALUE!</v>
      </c>
      <c r="IO162" t="e">
        <f>AND(tecantrop!C567,"AAAAAH//5fg=")</f>
        <v>#VALUE!</v>
      </c>
      <c r="IP162" t="e">
        <f>AND(tecantrop!D567,"AAAAAH//5fk=")</f>
        <v>#VALUE!</v>
      </c>
      <c r="IQ162" t="e">
        <f>AND(tecantrop!E567,"AAAAAH//5fo=")</f>
        <v>#VALUE!</v>
      </c>
      <c r="IR162" t="e">
        <f>AND(tecantrop!F567,"AAAAAH//5fs=")</f>
        <v>#VALUE!</v>
      </c>
      <c r="IS162" t="e">
        <f>AND(tecantrop!G567,"AAAAAH//5fw=")</f>
        <v>#VALUE!</v>
      </c>
      <c r="IT162" t="e">
        <f>AND(tecantrop!H567,"AAAAAH//5f0=")</f>
        <v>#VALUE!</v>
      </c>
      <c r="IU162" t="e">
        <f>AND(tecantrop!I567,"AAAAAH//5f4=")</f>
        <v>#VALUE!</v>
      </c>
      <c r="IV162" t="e">
        <f>AND(tecantrop!J567,"AAAAAH//5f8=")</f>
        <v>#VALUE!</v>
      </c>
    </row>
    <row r="163" spans="1:256" x14ac:dyDescent="0.2">
      <c r="A163" t="e">
        <f>AND(tecantrop!K567,"AAAAAGdZfwA=")</f>
        <v>#VALUE!</v>
      </c>
      <c r="B163" t="e">
        <f>AND(tecantrop!L567,"AAAAAGdZfwE=")</f>
        <v>#VALUE!</v>
      </c>
      <c r="C163" t="e">
        <f>AND(tecantrop!M567,"AAAAAGdZfwI=")</f>
        <v>#VALUE!</v>
      </c>
      <c r="D163" t="e">
        <f>AND(tecantrop!N567,"AAAAAGdZfwM=")</f>
        <v>#VALUE!</v>
      </c>
      <c r="E163" t="e">
        <f>AND(tecantrop!O567,"AAAAAGdZfwQ=")</f>
        <v>#VALUE!</v>
      </c>
      <c r="F163" t="e">
        <f>AND(tecantrop!P567,"AAAAAGdZfwU=")</f>
        <v>#VALUE!</v>
      </c>
      <c r="G163" t="e">
        <f>AND(tecantrop!Q567,"AAAAAGdZfwY=")</f>
        <v>#VALUE!</v>
      </c>
      <c r="H163" t="e">
        <f>AND(tecantrop!R567,"AAAAAGdZfwc=")</f>
        <v>#VALUE!</v>
      </c>
      <c r="I163" t="e">
        <f>AND(tecantrop!S567,"AAAAAGdZfwg=")</f>
        <v>#VALUE!</v>
      </c>
      <c r="J163" t="e">
        <f>AND(tecantrop!T567,"AAAAAGdZfwk=")</f>
        <v>#VALUE!</v>
      </c>
      <c r="K163" t="e">
        <f>AND(tecantrop!U567,"AAAAAGdZfwo=")</f>
        <v>#VALUE!</v>
      </c>
      <c r="L163" t="e">
        <f>AND(tecantrop!V567,"AAAAAGdZfws=")</f>
        <v>#VALUE!</v>
      </c>
      <c r="M163" t="e">
        <f>AND(tecantrop!W567,"AAAAAGdZfww=")</f>
        <v>#VALUE!</v>
      </c>
      <c r="N163" t="e">
        <f>AND(tecantrop!X567,"AAAAAGdZfw0=")</f>
        <v>#VALUE!</v>
      </c>
      <c r="O163">
        <f>IF(tecantrop!568:568,"AAAAAGdZfw4=",0)</f>
        <v>0</v>
      </c>
      <c r="P163" t="e">
        <f>AND(tecantrop!A568,"AAAAAGdZfw8=")</f>
        <v>#VALUE!</v>
      </c>
      <c r="Q163" t="e">
        <f>AND(tecantrop!B568,"AAAAAGdZfxA=")</f>
        <v>#VALUE!</v>
      </c>
      <c r="R163" t="e">
        <f>AND(tecantrop!C568,"AAAAAGdZfxE=")</f>
        <v>#VALUE!</v>
      </c>
      <c r="S163" t="e">
        <f>AND(tecantrop!D568,"AAAAAGdZfxI=")</f>
        <v>#VALUE!</v>
      </c>
      <c r="T163" t="e">
        <f>AND(tecantrop!E568,"AAAAAGdZfxM=")</f>
        <v>#VALUE!</v>
      </c>
      <c r="U163" t="e">
        <f>AND(tecantrop!F568,"AAAAAGdZfxQ=")</f>
        <v>#VALUE!</v>
      </c>
      <c r="V163" t="e">
        <f>AND(tecantrop!G568,"AAAAAGdZfxU=")</f>
        <v>#VALUE!</v>
      </c>
      <c r="W163" t="e">
        <f>AND(tecantrop!H568,"AAAAAGdZfxY=")</f>
        <v>#VALUE!</v>
      </c>
      <c r="X163" t="e">
        <f>AND(tecantrop!I568,"AAAAAGdZfxc=")</f>
        <v>#VALUE!</v>
      </c>
      <c r="Y163" t="e">
        <f>AND(tecantrop!J568,"AAAAAGdZfxg=")</f>
        <v>#VALUE!</v>
      </c>
      <c r="Z163" t="e">
        <f>AND(tecantrop!K568,"AAAAAGdZfxk=")</f>
        <v>#VALUE!</v>
      </c>
      <c r="AA163" t="e">
        <f>AND(tecantrop!L568,"AAAAAGdZfxo=")</f>
        <v>#VALUE!</v>
      </c>
      <c r="AB163" t="e">
        <f>AND(tecantrop!M568,"AAAAAGdZfxs=")</f>
        <v>#VALUE!</v>
      </c>
      <c r="AC163" t="e">
        <f>AND(tecantrop!N568,"AAAAAGdZfxw=")</f>
        <v>#VALUE!</v>
      </c>
      <c r="AD163" t="e">
        <f>AND(tecantrop!O568,"AAAAAGdZfx0=")</f>
        <v>#VALUE!</v>
      </c>
      <c r="AE163" t="e">
        <f>AND(tecantrop!P568,"AAAAAGdZfx4=")</f>
        <v>#VALUE!</v>
      </c>
      <c r="AF163" t="e">
        <f>AND(tecantrop!Q568,"AAAAAGdZfx8=")</f>
        <v>#VALUE!</v>
      </c>
      <c r="AG163" t="e">
        <f>AND(tecantrop!R568,"AAAAAGdZfyA=")</f>
        <v>#VALUE!</v>
      </c>
      <c r="AH163" t="e">
        <f>AND(tecantrop!S568,"AAAAAGdZfyE=")</f>
        <v>#VALUE!</v>
      </c>
      <c r="AI163" t="e">
        <f>AND(tecantrop!T568,"AAAAAGdZfyI=")</f>
        <v>#VALUE!</v>
      </c>
      <c r="AJ163" t="e">
        <f>AND(tecantrop!U568,"AAAAAGdZfyM=")</f>
        <v>#VALUE!</v>
      </c>
      <c r="AK163" t="e">
        <f>AND(tecantrop!V568,"AAAAAGdZfyQ=")</f>
        <v>#VALUE!</v>
      </c>
      <c r="AL163" t="e">
        <f>AND(tecantrop!W568,"AAAAAGdZfyU=")</f>
        <v>#VALUE!</v>
      </c>
      <c r="AM163" t="e">
        <f>AND(tecantrop!X568,"AAAAAGdZfyY=")</f>
        <v>#VALUE!</v>
      </c>
      <c r="AN163">
        <f>IF(tecantrop!569:569,"AAAAAGdZfyc=",0)</f>
        <v>0</v>
      </c>
      <c r="AO163" t="e">
        <f>AND(tecantrop!A569,"AAAAAGdZfyg=")</f>
        <v>#VALUE!</v>
      </c>
      <c r="AP163" t="e">
        <f>AND(tecantrop!B569,"AAAAAGdZfyk=")</f>
        <v>#VALUE!</v>
      </c>
      <c r="AQ163" t="e">
        <f>AND(tecantrop!C569,"AAAAAGdZfyo=")</f>
        <v>#VALUE!</v>
      </c>
      <c r="AR163" t="e">
        <f>AND(tecantrop!D569,"AAAAAGdZfys=")</f>
        <v>#VALUE!</v>
      </c>
      <c r="AS163" t="e">
        <f>AND(tecantrop!E569,"AAAAAGdZfyw=")</f>
        <v>#VALUE!</v>
      </c>
      <c r="AT163" t="e">
        <f>AND(tecantrop!F569,"AAAAAGdZfy0=")</f>
        <v>#VALUE!</v>
      </c>
      <c r="AU163" t="e">
        <f>AND(tecantrop!G569,"AAAAAGdZfy4=")</f>
        <v>#VALUE!</v>
      </c>
      <c r="AV163" t="e">
        <f>AND(tecantrop!H569,"AAAAAGdZfy8=")</f>
        <v>#VALUE!</v>
      </c>
      <c r="AW163" t="e">
        <f>AND(tecantrop!I569,"AAAAAGdZfzA=")</f>
        <v>#VALUE!</v>
      </c>
      <c r="AX163" t="e">
        <f>AND(tecantrop!J569,"AAAAAGdZfzE=")</f>
        <v>#VALUE!</v>
      </c>
      <c r="AY163" t="e">
        <f>AND(tecantrop!K569,"AAAAAGdZfzI=")</f>
        <v>#VALUE!</v>
      </c>
      <c r="AZ163" t="e">
        <f>AND(tecantrop!L569,"AAAAAGdZfzM=")</f>
        <v>#VALUE!</v>
      </c>
      <c r="BA163" t="e">
        <f>AND(tecantrop!M569,"AAAAAGdZfzQ=")</f>
        <v>#VALUE!</v>
      </c>
      <c r="BB163" t="e">
        <f>AND(tecantrop!N569,"AAAAAGdZfzU=")</f>
        <v>#VALUE!</v>
      </c>
      <c r="BC163" t="e">
        <f>AND(tecantrop!O569,"AAAAAGdZfzY=")</f>
        <v>#VALUE!</v>
      </c>
      <c r="BD163" t="e">
        <f>AND(tecantrop!P569,"AAAAAGdZfzc=")</f>
        <v>#VALUE!</v>
      </c>
      <c r="BE163" t="e">
        <f>AND(tecantrop!Q569,"AAAAAGdZfzg=")</f>
        <v>#VALUE!</v>
      </c>
      <c r="BF163" t="e">
        <f>AND(tecantrop!R569,"AAAAAGdZfzk=")</f>
        <v>#VALUE!</v>
      </c>
      <c r="BG163" t="e">
        <f>AND(tecantrop!S569,"AAAAAGdZfzo=")</f>
        <v>#VALUE!</v>
      </c>
      <c r="BH163" t="e">
        <f>AND(tecantrop!T569,"AAAAAGdZfzs=")</f>
        <v>#VALUE!</v>
      </c>
      <c r="BI163" t="e">
        <f>AND(tecantrop!U569,"AAAAAGdZfzw=")</f>
        <v>#VALUE!</v>
      </c>
      <c r="BJ163" t="e">
        <f>AND(tecantrop!V569,"AAAAAGdZfz0=")</f>
        <v>#VALUE!</v>
      </c>
      <c r="BK163" t="e">
        <f>AND(tecantrop!W569,"AAAAAGdZfz4=")</f>
        <v>#VALUE!</v>
      </c>
      <c r="BL163" t="e">
        <f>AND(tecantrop!X569,"AAAAAGdZfz8=")</f>
        <v>#VALUE!</v>
      </c>
      <c r="BM163">
        <f>IF(tecantrop!570:570,"AAAAAGdZf0A=",0)</f>
        <v>0</v>
      </c>
      <c r="BN163" t="e">
        <f>AND(tecantrop!A570,"AAAAAGdZf0E=")</f>
        <v>#VALUE!</v>
      </c>
      <c r="BO163" t="e">
        <f>AND(tecantrop!B570,"AAAAAGdZf0I=")</f>
        <v>#VALUE!</v>
      </c>
      <c r="BP163" t="e">
        <f>AND(tecantrop!C570,"AAAAAGdZf0M=")</f>
        <v>#VALUE!</v>
      </c>
      <c r="BQ163" t="e">
        <f>AND(tecantrop!D570,"AAAAAGdZf0Q=")</f>
        <v>#VALUE!</v>
      </c>
      <c r="BR163" t="e">
        <f>AND(tecantrop!E570,"AAAAAGdZf0U=")</f>
        <v>#VALUE!</v>
      </c>
      <c r="BS163" t="e">
        <f>AND(tecantrop!F570,"AAAAAGdZf0Y=")</f>
        <v>#VALUE!</v>
      </c>
      <c r="BT163" t="e">
        <f>AND(tecantrop!G570,"AAAAAGdZf0c=")</f>
        <v>#VALUE!</v>
      </c>
      <c r="BU163" t="e">
        <f>AND(tecantrop!H570,"AAAAAGdZf0g=")</f>
        <v>#VALUE!</v>
      </c>
      <c r="BV163" t="e">
        <f>AND(tecantrop!I570,"AAAAAGdZf0k=")</f>
        <v>#VALUE!</v>
      </c>
      <c r="BW163" t="e">
        <f>AND(tecantrop!J570,"AAAAAGdZf0o=")</f>
        <v>#VALUE!</v>
      </c>
      <c r="BX163" t="e">
        <f>AND(tecantrop!K570,"AAAAAGdZf0s=")</f>
        <v>#VALUE!</v>
      </c>
      <c r="BY163" t="e">
        <f>AND(tecantrop!L570,"AAAAAGdZf0w=")</f>
        <v>#VALUE!</v>
      </c>
      <c r="BZ163" t="e">
        <f>AND(tecantrop!M570,"AAAAAGdZf00=")</f>
        <v>#VALUE!</v>
      </c>
      <c r="CA163" t="e">
        <f>AND(tecantrop!N570,"AAAAAGdZf04=")</f>
        <v>#VALUE!</v>
      </c>
      <c r="CB163" t="e">
        <f>AND(tecantrop!O570,"AAAAAGdZf08=")</f>
        <v>#VALUE!</v>
      </c>
      <c r="CC163" t="e">
        <f>AND(tecantrop!P570,"AAAAAGdZf1A=")</f>
        <v>#VALUE!</v>
      </c>
      <c r="CD163" t="e">
        <f>AND(tecantrop!Q570,"AAAAAGdZf1E=")</f>
        <v>#VALUE!</v>
      </c>
      <c r="CE163" t="e">
        <f>AND(tecantrop!R570,"AAAAAGdZf1I=")</f>
        <v>#VALUE!</v>
      </c>
      <c r="CF163" t="e">
        <f>AND(tecantrop!S570,"AAAAAGdZf1M=")</f>
        <v>#VALUE!</v>
      </c>
      <c r="CG163" t="e">
        <f>AND(tecantrop!T570,"AAAAAGdZf1Q=")</f>
        <v>#VALUE!</v>
      </c>
      <c r="CH163" t="e">
        <f>AND(tecantrop!U570,"AAAAAGdZf1U=")</f>
        <v>#VALUE!</v>
      </c>
      <c r="CI163" t="e">
        <f>AND(tecantrop!V570,"AAAAAGdZf1Y=")</f>
        <v>#VALUE!</v>
      </c>
      <c r="CJ163" t="e">
        <f>AND(tecantrop!W570,"AAAAAGdZf1c=")</f>
        <v>#VALUE!</v>
      </c>
      <c r="CK163" t="e">
        <f>AND(tecantrop!X570,"AAAAAGdZf1g=")</f>
        <v>#VALUE!</v>
      </c>
      <c r="CL163">
        <f>IF(tecantrop!571:571,"AAAAAGdZf1k=",0)</f>
        <v>0</v>
      </c>
      <c r="CM163" t="e">
        <f>AND(tecantrop!A571,"AAAAAGdZf1o=")</f>
        <v>#VALUE!</v>
      </c>
      <c r="CN163" t="e">
        <f>AND(tecantrop!B571,"AAAAAGdZf1s=")</f>
        <v>#VALUE!</v>
      </c>
      <c r="CO163" t="e">
        <f>AND(tecantrop!C571,"AAAAAGdZf1w=")</f>
        <v>#VALUE!</v>
      </c>
      <c r="CP163" t="e">
        <f>AND(tecantrop!D571,"AAAAAGdZf10=")</f>
        <v>#VALUE!</v>
      </c>
      <c r="CQ163" t="e">
        <f>AND(tecantrop!E571,"AAAAAGdZf14=")</f>
        <v>#VALUE!</v>
      </c>
      <c r="CR163" t="e">
        <f>AND(tecantrop!F571,"AAAAAGdZf18=")</f>
        <v>#VALUE!</v>
      </c>
      <c r="CS163" t="e">
        <f>AND(tecantrop!G571,"AAAAAGdZf2A=")</f>
        <v>#VALUE!</v>
      </c>
      <c r="CT163" t="e">
        <f>AND(tecantrop!H571,"AAAAAGdZf2E=")</f>
        <v>#VALUE!</v>
      </c>
      <c r="CU163" t="e">
        <f>AND(tecantrop!I571,"AAAAAGdZf2I=")</f>
        <v>#VALUE!</v>
      </c>
      <c r="CV163" t="e">
        <f>AND(tecantrop!J571,"AAAAAGdZf2M=")</f>
        <v>#VALUE!</v>
      </c>
      <c r="CW163" t="e">
        <f>AND(tecantrop!K571,"AAAAAGdZf2Q=")</f>
        <v>#VALUE!</v>
      </c>
      <c r="CX163" t="e">
        <f>AND(tecantrop!L571,"AAAAAGdZf2U=")</f>
        <v>#VALUE!</v>
      </c>
      <c r="CY163" t="e">
        <f>AND(tecantrop!M571,"AAAAAGdZf2Y=")</f>
        <v>#VALUE!</v>
      </c>
      <c r="CZ163" t="e">
        <f>AND(tecantrop!N571,"AAAAAGdZf2c=")</f>
        <v>#VALUE!</v>
      </c>
      <c r="DA163" t="e">
        <f>AND(tecantrop!O571,"AAAAAGdZf2g=")</f>
        <v>#VALUE!</v>
      </c>
      <c r="DB163" t="e">
        <f>AND(tecantrop!P571,"AAAAAGdZf2k=")</f>
        <v>#VALUE!</v>
      </c>
      <c r="DC163" t="e">
        <f>AND(tecantrop!Q571,"AAAAAGdZf2o=")</f>
        <v>#VALUE!</v>
      </c>
      <c r="DD163" t="e">
        <f>AND(tecantrop!R571,"AAAAAGdZf2s=")</f>
        <v>#VALUE!</v>
      </c>
      <c r="DE163" t="e">
        <f>AND(tecantrop!S571,"AAAAAGdZf2w=")</f>
        <v>#VALUE!</v>
      </c>
      <c r="DF163" t="e">
        <f>AND(tecantrop!T571,"AAAAAGdZf20=")</f>
        <v>#VALUE!</v>
      </c>
      <c r="DG163" t="e">
        <f>AND(tecantrop!U571,"AAAAAGdZf24=")</f>
        <v>#VALUE!</v>
      </c>
      <c r="DH163" t="e">
        <f>AND(tecantrop!V571,"AAAAAGdZf28=")</f>
        <v>#VALUE!</v>
      </c>
      <c r="DI163" t="e">
        <f>AND(tecantrop!W571,"AAAAAGdZf3A=")</f>
        <v>#VALUE!</v>
      </c>
      <c r="DJ163" t="e">
        <f>AND(tecantrop!X571,"AAAAAGdZf3E=")</f>
        <v>#VALUE!</v>
      </c>
      <c r="DK163">
        <f>IF(tecantrop!572:572,"AAAAAGdZf3I=",0)</f>
        <v>0</v>
      </c>
      <c r="DL163" t="e">
        <f>AND(tecantrop!A572,"AAAAAGdZf3M=")</f>
        <v>#VALUE!</v>
      </c>
      <c r="DM163" t="e">
        <f>AND(tecantrop!B572,"AAAAAGdZf3Q=")</f>
        <v>#VALUE!</v>
      </c>
      <c r="DN163" t="e">
        <f>AND(tecantrop!C572,"AAAAAGdZf3U=")</f>
        <v>#VALUE!</v>
      </c>
      <c r="DO163" t="e">
        <f>AND(tecantrop!D572,"AAAAAGdZf3Y=")</f>
        <v>#VALUE!</v>
      </c>
      <c r="DP163" t="e">
        <f>AND(tecantrop!E572,"AAAAAGdZf3c=")</f>
        <v>#VALUE!</v>
      </c>
      <c r="DQ163" t="e">
        <f>AND(tecantrop!F572,"AAAAAGdZf3g=")</f>
        <v>#VALUE!</v>
      </c>
      <c r="DR163" t="e">
        <f>AND(tecantrop!G572,"AAAAAGdZf3k=")</f>
        <v>#VALUE!</v>
      </c>
      <c r="DS163" t="e">
        <f>AND(tecantrop!H572,"AAAAAGdZf3o=")</f>
        <v>#VALUE!</v>
      </c>
      <c r="DT163" t="e">
        <f>AND(tecantrop!I572,"AAAAAGdZf3s=")</f>
        <v>#VALUE!</v>
      </c>
      <c r="DU163" t="e">
        <f>AND(tecantrop!J572,"AAAAAGdZf3w=")</f>
        <v>#VALUE!</v>
      </c>
      <c r="DV163" t="e">
        <f>AND(tecantrop!K572,"AAAAAGdZf30=")</f>
        <v>#VALUE!</v>
      </c>
      <c r="DW163" t="e">
        <f>AND(tecantrop!L572,"AAAAAGdZf34=")</f>
        <v>#VALUE!</v>
      </c>
      <c r="DX163" t="e">
        <f>AND(tecantrop!M572,"AAAAAGdZf38=")</f>
        <v>#VALUE!</v>
      </c>
      <c r="DY163" t="e">
        <f>AND(tecantrop!N572,"AAAAAGdZf4A=")</f>
        <v>#VALUE!</v>
      </c>
      <c r="DZ163" t="e">
        <f>AND(tecantrop!O572,"AAAAAGdZf4E=")</f>
        <v>#VALUE!</v>
      </c>
      <c r="EA163" t="e">
        <f>AND(tecantrop!P572,"AAAAAGdZf4I=")</f>
        <v>#VALUE!</v>
      </c>
      <c r="EB163" t="e">
        <f>AND(tecantrop!Q572,"AAAAAGdZf4M=")</f>
        <v>#VALUE!</v>
      </c>
      <c r="EC163" t="e">
        <f>AND(tecantrop!R572,"AAAAAGdZf4Q=")</f>
        <v>#VALUE!</v>
      </c>
      <c r="ED163" t="e">
        <f>AND(tecantrop!S572,"AAAAAGdZf4U=")</f>
        <v>#VALUE!</v>
      </c>
      <c r="EE163" t="e">
        <f>AND(tecantrop!T572,"AAAAAGdZf4Y=")</f>
        <v>#VALUE!</v>
      </c>
      <c r="EF163" t="e">
        <f>AND(tecantrop!U572,"AAAAAGdZf4c=")</f>
        <v>#VALUE!</v>
      </c>
      <c r="EG163" t="e">
        <f>AND(tecantrop!V572,"AAAAAGdZf4g=")</f>
        <v>#VALUE!</v>
      </c>
      <c r="EH163" t="e">
        <f>AND(tecantrop!W572,"AAAAAGdZf4k=")</f>
        <v>#VALUE!</v>
      </c>
      <c r="EI163" t="e">
        <f>AND(tecantrop!X572,"AAAAAGdZf4o=")</f>
        <v>#VALUE!</v>
      </c>
      <c r="EJ163">
        <f>IF(tecantrop!573:573,"AAAAAGdZf4s=",0)</f>
        <v>0</v>
      </c>
      <c r="EK163" t="e">
        <f>AND(tecantrop!A573,"AAAAAGdZf4w=")</f>
        <v>#VALUE!</v>
      </c>
      <c r="EL163" t="e">
        <f>AND(tecantrop!B573,"AAAAAGdZf40=")</f>
        <v>#VALUE!</v>
      </c>
      <c r="EM163" t="e">
        <f>AND(tecantrop!C573,"AAAAAGdZf44=")</f>
        <v>#VALUE!</v>
      </c>
      <c r="EN163" t="e">
        <f>AND(tecantrop!D573,"AAAAAGdZf48=")</f>
        <v>#VALUE!</v>
      </c>
      <c r="EO163" t="e">
        <f>AND(tecantrop!E573,"AAAAAGdZf5A=")</f>
        <v>#VALUE!</v>
      </c>
      <c r="EP163" t="e">
        <f>AND(tecantrop!F573,"AAAAAGdZf5E=")</f>
        <v>#VALUE!</v>
      </c>
      <c r="EQ163" t="e">
        <f>AND(tecantrop!G573,"AAAAAGdZf5I=")</f>
        <v>#VALUE!</v>
      </c>
      <c r="ER163" t="e">
        <f>AND(tecantrop!H573,"AAAAAGdZf5M=")</f>
        <v>#VALUE!</v>
      </c>
      <c r="ES163" t="e">
        <f>AND(tecantrop!I573,"AAAAAGdZf5Q=")</f>
        <v>#VALUE!</v>
      </c>
      <c r="ET163" t="e">
        <f>AND(tecantrop!J573,"AAAAAGdZf5U=")</f>
        <v>#VALUE!</v>
      </c>
      <c r="EU163" t="e">
        <f>AND(tecantrop!K573,"AAAAAGdZf5Y=")</f>
        <v>#VALUE!</v>
      </c>
      <c r="EV163" t="e">
        <f>AND(tecantrop!L573,"AAAAAGdZf5c=")</f>
        <v>#VALUE!</v>
      </c>
      <c r="EW163" t="e">
        <f>AND(tecantrop!M573,"AAAAAGdZf5g=")</f>
        <v>#VALUE!</v>
      </c>
      <c r="EX163" t="e">
        <f>AND(tecantrop!N573,"AAAAAGdZf5k=")</f>
        <v>#VALUE!</v>
      </c>
      <c r="EY163" t="e">
        <f>AND(tecantrop!O573,"AAAAAGdZf5o=")</f>
        <v>#VALUE!</v>
      </c>
      <c r="EZ163" t="e">
        <f>AND(tecantrop!P573,"AAAAAGdZf5s=")</f>
        <v>#VALUE!</v>
      </c>
      <c r="FA163" t="e">
        <f>AND(tecantrop!Q573,"AAAAAGdZf5w=")</f>
        <v>#VALUE!</v>
      </c>
      <c r="FB163" t="e">
        <f>AND(tecantrop!R573,"AAAAAGdZf50=")</f>
        <v>#VALUE!</v>
      </c>
      <c r="FC163" t="e">
        <f>AND(tecantrop!S573,"AAAAAGdZf54=")</f>
        <v>#VALUE!</v>
      </c>
      <c r="FD163" t="e">
        <f>AND(tecantrop!T573,"AAAAAGdZf58=")</f>
        <v>#VALUE!</v>
      </c>
      <c r="FE163" t="e">
        <f>AND(tecantrop!U573,"AAAAAGdZf6A=")</f>
        <v>#VALUE!</v>
      </c>
      <c r="FF163" t="e">
        <f>AND(tecantrop!V573,"AAAAAGdZf6E=")</f>
        <v>#VALUE!</v>
      </c>
      <c r="FG163" t="e">
        <f>AND(tecantrop!W573,"AAAAAGdZf6I=")</f>
        <v>#VALUE!</v>
      </c>
      <c r="FH163" t="e">
        <f>AND(tecantrop!X573,"AAAAAGdZf6M=")</f>
        <v>#VALUE!</v>
      </c>
      <c r="FI163">
        <f>IF(tecantrop!574:574,"AAAAAGdZf6Q=",0)</f>
        <v>0</v>
      </c>
      <c r="FJ163" t="e">
        <f>AND(tecantrop!A574,"AAAAAGdZf6U=")</f>
        <v>#VALUE!</v>
      </c>
      <c r="FK163" t="e">
        <f>AND(tecantrop!B574,"AAAAAGdZf6Y=")</f>
        <v>#VALUE!</v>
      </c>
      <c r="FL163" t="e">
        <f>AND(tecantrop!C574,"AAAAAGdZf6c=")</f>
        <v>#VALUE!</v>
      </c>
      <c r="FM163" t="e">
        <f>AND(tecantrop!D574,"AAAAAGdZf6g=")</f>
        <v>#VALUE!</v>
      </c>
      <c r="FN163" t="e">
        <f>AND(tecantrop!E574,"AAAAAGdZf6k=")</f>
        <v>#VALUE!</v>
      </c>
      <c r="FO163" t="e">
        <f>AND(tecantrop!F574,"AAAAAGdZf6o=")</f>
        <v>#VALUE!</v>
      </c>
      <c r="FP163" t="e">
        <f>AND(tecantrop!G574,"AAAAAGdZf6s=")</f>
        <v>#VALUE!</v>
      </c>
      <c r="FQ163" t="e">
        <f>AND(tecantrop!H574,"AAAAAGdZf6w=")</f>
        <v>#VALUE!</v>
      </c>
      <c r="FR163" t="e">
        <f>AND(tecantrop!I574,"AAAAAGdZf60=")</f>
        <v>#VALUE!</v>
      </c>
      <c r="FS163" t="e">
        <f>AND(tecantrop!J574,"AAAAAGdZf64=")</f>
        <v>#VALUE!</v>
      </c>
      <c r="FT163" t="e">
        <f>AND(tecantrop!K574,"AAAAAGdZf68=")</f>
        <v>#VALUE!</v>
      </c>
      <c r="FU163" t="e">
        <f>AND(tecantrop!L574,"AAAAAGdZf7A=")</f>
        <v>#VALUE!</v>
      </c>
      <c r="FV163" t="e">
        <f>AND(tecantrop!M574,"AAAAAGdZf7E=")</f>
        <v>#VALUE!</v>
      </c>
      <c r="FW163" t="e">
        <f>AND(tecantrop!N574,"AAAAAGdZf7I=")</f>
        <v>#VALUE!</v>
      </c>
      <c r="FX163" t="e">
        <f>AND(tecantrop!O574,"AAAAAGdZf7M=")</f>
        <v>#VALUE!</v>
      </c>
      <c r="FY163" t="e">
        <f>AND(tecantrop!P574,"AAAAAGdZf7Q=")</f>
        <v>#VALUE!</v>
      </c>
      <c r="FZ163" t="e">
        <f>AND(tecantrop!Q574,"AAAAAGdZf7U=")</f>
        <v>#VALUE!</v>
      </c>
      <c r="GA163" t="e">
        <f>AND(tecantrop!R574,"AAAAAGdZf7Y=")</f>
        <v>#VALUE!</v>
      </c>
      <c r="GB163" t="e">
        <f>AND(tecantrop!S574,"AAAAAGdZf7c=")</f>
        <v>#VALUE!</v>
      </c>
      <c r="GC163" t="e">
        <f>AND(tecantrop!T574,"AAAAAGdZf7g=")</f>
        <v>#VALUE!</v>
      </c>
      <c r="GD163" t="e">
        <f>AND(tecantrop!U574,"AAAAAGdZf7k=")</f>
        <v>#VALUE!</v>
      </c>
      <c r="GE163" t="e">
        <f>AND(tecantrop!V574,"AAAAAGdZf7o=")</f>
        <v>#VALUE!</v>
      </c>
      <c r="GF163" t="e">
        <f>AND(tecantrop!W574,"AAAAAGdZf7s=")</f>
        <v>#VALUE!</v>
      </c>
      <c r="GG163" t="e">
        <f>AND(tecantrop!X574,"AAAAAGdZf7w=")</f>
        <v>#VALUE!</v>
      </c>
      <c r="GH163">
        <f>IF(tecantrop!575:575,"AAAAAGdZf70=",0)</f>
        <v>0</v>
      </c>
      <c r="GI163" t="e">
        <f>AND(tecantrop!A575,"AAAAAGdZf74=")</f>
        <v>#VALUE!</v>
      </c>
      <c r="GJ163" t="e">
        <f>AND(tecantrop!B575,"AAAAAGdZf78=")</f>
        <v>#VALUE!</v>
      </c>
      <c r="GK163" t="e">
        <f>AND(tecantrop!C575,"AAAAAGdZf8A=")</f>
        <v>#VALUE!</v>
      </c>
      <c r="GL163" t="e">
        <f>AND(tecantrop!D575,"AAAAAGdZf8E=")</f>
        <v>#VALUE!</v>
      </c>
      <c r="GM163" t="e">
        <f>AND(tecantrop!E575,"AAAAAGdZf8I=")</f>
        <v>#VALUE!</v>
      </c>
      <c r="GN163" t="e">
        <f>AND(tecantrop!F575,"AAAAAGdZf8M=")</f>
        <v>#VALUE!</v>
      </c>
      <c r="GO163" t="e">
        <f>AND(tecantrop!G575,"AAAAAGdZf8Q=")</f>
        <v>#VALUE!</v>
      </c>
      <c r="GP163" t="e">
        <f>AND(tecantrop!H575,"AAAAAGdZf8U=")</f>
        <v>#VALUE!</v>
      </c>
      <c r="GQ163" t="e">
        <f>AND(tecantrop!I575,"AAAAAGdZf8Y=")</f>
        <v>#VALUE!</v>
      </c>
      <c r="GR163" t="e">
        <f>AND(tecantrop!J575,"AAAAAGdZf8c=")</f>
        <v>#VALUE!</v>
      </c>
      <c r="GS163" t="e">
        <f>AND(tecantrop!K575,"AAAAAGdZf8g=")</f>
        <v>#VALUE!</v>
      </c>
      <c r="GT163" t="e">
        <f>AND(tecantrop!L575,"AAAAAGdZf8k=")</f>
        <v>#VALUE!</v>
      </c>
      <c r="GU163" t="e">
        <f>AND(tecantrop!M575,"AAAAAGdZf8o=")</f>
        <v>#VALUE!</v>
      </c>
      <c r="GV163" t="e">
        <f>AND(tecantrop!N575,"AAAAAGdZf8s=")</f>
        <v>#VALUE!</v>
      </c>
      <c r="GW163" t="e">
        <f>AND(tecantrop!O575,"AAAAAGdZf8w=")</f>
        <v>#VALUE!</v>
      </c>
      <c r="GX163" t="e">
        <f>AND(tecantrop!P575,"AAAAAGdZf80=")</f>
        <v>#VALUE!</v>
      </c>
      <c r="GY163" t="e">
        <f>AND(tecantrop!Q575,"AAAAAGdZf84=")</f>
        <v>#VALUE!</v>
      </c>
      <c r="GZ163" t="e">
        <f>AND(tecantrop!R575,"AAAAAGdZf88=")</f>
        <v>#VALUE!</v>
      </c>
      <c r="HA163" t="e">
        <f>AND(tecantrop!S575,"AAAAAGdZf9A=")</f>
        <v>#VALUE!</v>
      </c>
      <c r="HB163" t="e">
        <f>AND(tecantrop!T575,"AAAAAGdZf9E=")</f>
        <v>#VALUE!</v>
      </c>
      <c r="HC163" t="e">
        <f>AND(tecantrop!U575,"AAAAAGdZf9I=")</f>
        <v>#VALUE!</v>
      </c>
      <c r="HD163" t="e">
        <f>AND(tecantrop!V575,"AAAAAGdZf9M=")</f>
        <v>#VALUE!</v>
      </c>
      <c r="HE163" t="e">
        <f>AND(tecantrop!W575,"AAAAAGdZf9Q=")</f>
        <v>#VALUE!</v>
      </c>
      <c r="HF163" t="e">
        <f>AND(tecantrop!X575,"AAAAAGdZf9U=")</f>
        <v>#VALUE!</v>
      </c>
      <c r="HG163">
        <f>IF(tecantrop!576:576,"AAAAAGdZf9Y=",0)</f>
        <v>0</v>
      </c>
      <c r="HH163" t="e">
        <f>AND(tecantrop!A576,"AAAAAGdZf9c=")</f>
        <v>#VALUE!</v>
      </c>
      <c r="HI163" t="e">
        <f>AND(tecantrop!B576,"AAAAAGdZf9g=")</f>
        <v>#VALUE!</v>
      </c>
      <c r="HJ163" t="e">
        <f>AND(tecantrop!C576,"AAAAAGdZf9k=")</f>
        <v>#VALUE!</v>
      </c>
      <c r="HK163" t="e">
        <f>AND(tecantrop!D576,"AAAAAGdZf9o=")</f>
        <v>#VALUE!</v>
      </c>
      <c r="HL163" t="e">
        <f>AND(tecantrop!E576,"AAAAAGdZf9s=")</f>
        <v>#VALUE!</v>
      </c>
      <c r="HM163" t="e">
        <f>AND(tecantrop!F576,"AAAAAGdZf9w=")</f>
        <v>#VALUE!</v>
      </c>
      <c r="HN163" t="e">
        <f>AND(tecantrop!G576,"AAAAAGdZf90=")</f>
        <v>#VALUE!</v>
      </c>
      <c r="HO163" t="e">
        <f>AND(tecantrop!H576,"AAAAAGdZf94=")</f>
        <v>#VALUE!</v>
      </c>
      <c r="HP163" t="e">
        <f>AND(tecantrop!I576,"AAAAAGdZf98=")</f>
        <v>#VALUE!</v>
      </c>
      <c r="HQ163" t="e">
        <f>AND(tecantrop!J576,"AAAAAGdZf+A=")</f>
        <v>#VALUE!</v>
      </c>
      <c r="HR163" t="e">
        <f>AND(tecantrop!K576,"AAAAAGdZf+E=")</f>
        <v>#VALUE!</v>
      </c>
      <c r="HS163" t="e">
        <f>AND(tecantrop!L576,"AAAAAGdZf+I=")</f>
        <v>#VALUE!</v>
      </c>
      <c r="HT163" t="e">
        <f>AND(tecantrop!M576,"AAAAAGdZf+M=")</f>
        <v>#VALUE!</v>
      </c>
      <c r="HU163" t="e">
        <f>AND(tecantrop!N576,"AAAAAGdZf+Q=")</f>
        <v>#VALUE!</v>
      </c>
      <c r="HV163" t="e">
        <f>AND(tecantrop!O576,"AAAAAGdZf+U=")</f>
        <v>#VALUE!</v>
      </c>
      <c r="HW163" t="e">
        <f>AND(tecantrop!P576,"AAAAAGdZf+Y=")</f>
        <v>#VALUE!</v>
      </c>
      <c r="HX163" t="e">
        <f>AND(tecantrop!Q576,"AAAAAGdZf+c=")</f>
        <v>#VALUE!</v>
      </c>
      <c r="HY163" t="e">
        <f>AND(tecantrop!R576,"AAAAAGdZf+g=")</f>
        <v>#VALUE!</v>
      </c>
      <c r="HZ163" t="e">
        <f>AND(tecantrop!S576,"AAAAAGdZf+k=")</f>
        <v>#VALUE!</v>
      </c>
      <c r="IA163" t="e">
        <f>AND(tecantrop!T576,"AAAAAGdZf+o=")</f>
        <v>#VALUE!</v>
      </c>
      <c r="IB163" t="e">
        <f>AND(tecantrop!U576,"AAAAAGdZf+s=")</f>
        <v>#VALUE!</v>
      </c>
      <c r="IC163" t="e">
        <f>AND(tecantrop!V576,"AAAAAGdZf+w=")</f>
        <v>#VALUE!</v>
      </c>
      <c r="ID163" t="e">
        <f>AND(tecantrop!W576,"AAAAAGdZf+0=")</f>
        <v>#VALUE!</v>
      </c>
      <c r="IE163" t="e">
        <f>AND(tecantrop!X576,"AAAAAGdZf+4=")</f>
        <v>#VALUE!</v>
      </c>
      <c r="IF163">
        <f>IF(tecantrop!577:577,"AAAAAGdZf+8=",0)</f>
        <v>0</v>
      </c>
      <c r="IG163" t="e">
        <f>AND(tecantrop!A577,"AAAAAGdZf/A=")</f>
        <v>#VALUE!</v>
      </c>
      <c r="IH163" t="e">
        <f>AND(tecantrop!B577,"AAAAAGdZf/E=")</f>
        <v>#VALUE!</v>
      </c>
      <c r="II163" t="e">
        <f>AND(tecantrop!C577,"AAAAAGdZf/I=")</f>
        <v>#VALUE!</v>
      </c>
      <c r="IJ163" t="e">
        <f>AND(tecantrop!D577,"AAAAAGdZf/M=")</f>
        <v>#VALUE!</v>
      </c>
      <c r="IK163" t="e">
        <f>AND(tecantrop!E577,"AAAAAGdZf/Q=")</f>
        <v>#VALUE!</v>
      </c>
      <c r="IL163" t="e">
        <f>AND(tecantrop!F577,"AAAAAGdZf/U=")</f>
        <v>#VALUE!</v>
      </c>
      <c r="IM163" t="e">
        <f>AND(tecantrop!G577,"AAAAAGdZf/Y=")</f>
        <v>#VALUE!</v>
      </c>
      <c r="IN163" t="e">
        <f>AND(tecantrop!H577,"AAAAAGdZf/c=")</f>
        <v>#VALUE!</v>
      </c>
      <c r="IO163" t="e">
        <f>AND(tecantrop!I577,"AAAAAGdZf/g=")</f>
        <v>#VALUE!</v>
      </c>
      <c r="IP163" t="e">
        <f>AND(tecantrop!J577,"AAAAAGdZf/k=")</f>
        <v>#VALUE!</v>
      </c>
      <c r="IQ163" t="e">
        <f>AND(tecantrop!K577,"AAAAAGdZf/o=")</f>
        <v>#VALUE!</v>
      </c>
      <c r="IR163" t="e">
        <f>AND(tecantrop!L577,"AAAAAGdZf/s=")</f>
        <v>#VALUE!</v>
      </c>
      <c r="IS163" t="e">
        <f>AND(tecantrop!M577,"AAAAAGdZf/w=")</f>
        <v>#VALUE!</v>
      </c>
      <c r="IT163" t="e">
        <f>AND(tecantrop!N577,"AAAAAGdZf/0=")</f>
        <v>#VALUE!</v>
      </c>
      <c r="IU163" t="e">
        <f>AND(tecantrop!O577,"AAAAAGdZf/4=")</f>
        <v>#VALUE!</v>
      </c>
      <c r="IV163" t="e">
        <f>AND(tecantrop!P577,"AAAAAGdZf/8=")</f>
        <v>#VALUE!</v>
      </c>
    </row>
    <row r="164" spans="1:256" x14ac:dyDescent="0.2">
      <c r="A164" t="e">
        <f>AND(tecantrop!Q577,"AAAAAFu8ywA=")</f>
        <v>#VALUE!</v>
      </c>
      <c r="B164" t="e">
        <f>AND(tecantrop!R577,"AAAAAFu8ywE=")</f>
        <v>#VALUE!</v>
      </c>
      <c r="C164" t="e">
        <f>AND(tecantrop!S577,"AAAAAFu8ywI=")</f>
        <v>#VALUE!</v>
      </c>
      <c r="D164" t="e">
        <f>AND(tecantrop!T577,"AAAAAFu8ywM=")</f>
        <v>#VALUE!</v>
      </c>
      <c r="E164" t="e">
        <f>AND(tecantrop!U577,"AAAAAFu8ywQ=")</f>
        <v>#VALUE!</v>
      </c>
      <c r="F164" t="e">
        <f>AND(tecantrop!V577,"AAAAAFu8ywU=")</f>
        <v>#VALUE!</v>
      </c>
      <c r="G164" t="e">
        <f>AND(tecantrop!W577,"AAAAAFu8ywY=")</f>
        <v>#VALUE!</v>
      </c>
      <c r="H164" t="e">
        <f>AND(tecantrop!X577,"AAAAAFu8ywc=")</f>
        <v>#VALUE!</v>
      </c>
      <c r="I164">
        <f>IF(tecantrop!578:578,"AAAAAFu8ywg=",0)</f>
        <v>0</v>
      </c>
      <c r="J164" t="e">
        <f>AND(tecantrop!A578,"AAAAAFu8ywk=")</f>
        <v>#VALUE!</v>
      </c>
      <c r="K164" t="e">
        <f>AND(tecantrop!B578,"AAAAAFu8ywo=")</f>
        <v>#VALUE!</v>
      </c>
      <c r="L164" t="e">
        <f>AND(tecantrop!C578,"AAAAAFu8yws=")</f>
        <v>#VALUE!</v>
      </c>
      <c r="M164" t="e">
        <f>AND(tecantrop!D578,"AAAAAFu8yww=")</f>
        <v>#VALUE!</v>
      </c>
      <c r="N164" t="e">
        <f>AND(tecantrop!E578,"AAAAAFu8yw0=")</f>
        <v>#VALUE!</v>
      </c>
      <c r="O164" t="e">
        <f>AND(tecantrop!F578,"AAAAAFu8yw4=")</f>
        <v>#VALUE!</v>
      </c>
      <c r="P164" t="e">
        <f>AND(tecantrop!G578,"AAAAAFu8yw8=")</f>
        <v>#VALUE!</v>
      </c>
      <c r="Q164" t="e">
        <f>AND(tecantrop!H578,"AAAAAFu8yxA=")</f>
        <v>#VALUE!</v>
      </c>
      <c r="R164" t="e">
        <f>AND(tecantrop!I578,"AAAAAFu8yxE=")</f>
        <v>#VALUE!</v>
      </c>
      <c r="S164" t="e">
        <f>AND(tecantrop!J578,"AAAAAFu8yxI=")</f>
        <v>#VALUE!</v>
      </c>
      <c r="T164" t="e">
        <f>AND(tecantrop!K578,"AAAAAFu8yxM=")</f>
        <v>#VALUE!</v>
      </c>
      <c r="U164" t="e">
        <f>AND(tecantrop!L578,"AAAAAFu8yxQ=")</f>
        <v>#VALUE!</v>
      </c>
      <c r="V164" t="e">
        <f>AND(tecantrop!M578,"AAAAAFu8yxU=")</f>
        <v>#VALUE!</v>
      </c>
      <c r="W164" t="e">
        <f>AND(tecantrop!N578,"AAAAAFu8yxY=")</f>
        <v>#VALUE!</v>
      </c>
      <c r="X164" t="e">
        <f>AND(tecantrop!O578,"AAAAAFu8yxc=")</f>
        <v>#VALUE!</v>
      </c>
      <c r="Y164" t="e">
        <f>AND(tecantrop!P578,"AAAAAFu8yxg=")</f>
        <v>#VALUE!</v>
      </c>
      <c r="Z164" t="e">
        <f>AND(tecantrop!Q578,"AAAAAFu8yxk=")</f>
        <v>#VALUE!</v>
      </c>
      <c r="AA164" t="e">
        <f>AND(tecantrop!R578,"AAAAAFu8yxo=")</f>
        <v>#VALUE!</v>
      </c>
      <c r="AB164" t="e">
        <f>AND(tecantrop!S578,"AAAAAFu8yxs=")</f>
        <v>#VALUE!</v>
      </c>
      <c r="AC164" t="e">
        <f>AND(tecantrop!T578,"AAAAAFu8yxw=")</f>
        <v>#VALUE!</v>
      </c>
      <c r="AD164" t="e">
        <f>AND(tecantrop!U578,"AAAAAFu8yx0=")</f>
        <v>#VALUE!</v>
      </c>
      <c r="AE164" t="e">
        <f>AND(tecantrop!V578,"AAAAAFu8yx4=")</f>
        <v>#VALUE!</v>
      </c>
      <c r="AF164" t="e">
        <f>AND(tecantrop!W578,"AAAAAFu8yx8=")</f>
        <v>#VALUE!</v>
      </c>
      <c r="AG164" t="e">
        <f>AND(tecantrop!X578,"AAAAAFu8yyA=")</f>
        <v>#VALUE!</v>
      </c>
      <c r="AH164">
        <f>IF(tecantrop!579:579,"AAAAAFu8yyE=",0)</f>
        <v>0</v>
      </c>
      <c r="AI164" t="e">
        <f>AND(tecantrop!A579,"AAAAAFu8yyI=")</f>
        <v>#VALUE!</v>
      </c>
      <c r="AJ164" t="e">
        <f>AND(tecantrop!B579,"AAAAAFu8yyM=")</f>
        <v>#VALUE!</v>
      </c>
      <c r="AK164" t="e">
        <f>AND(tecantrop!C579,"AAAAAFu8yyQ=")</f>
        <v>#VALUE!</v>
      </c>
      <c r="AL164" t="e">
        <f>AND(tecantrop!D579,"AAAAAFu8yyU=")</f>
        <v>#VALUE!</v>
      </c>
      <c r="AM164" t="e">
        <f>AND(tecantrop!E579,"AAAAAFu8yyY=")</f>
        <v>#VALUE!</v>
      </c>
      <c r="AN164" t="e">
        <f>AND(tecantrop!F579,"AAAAAFu8yyc=")</f>
        <v>#VALUE!</v>
      </c>
      <c r="AO164" t="e">
        <f>AND(tecantrop!G579,"AAAAAFu8yyg=")</f>
        <v>#VALUE!</v>
      </c>
      <c r="AP164" t="e">
        <f>AND(tecantrop!H579,"AAAAAFu8yyk=")</f>
        <v>#VALUE!</v>
      </c>
      <c r="AQ164" t="e">
        <f>AND(tecantrop!I579,"AAAAAFu8yyo=")</f>
        <v>#VALUE!</v>
      </c>
      <c r="AR164" t="e">
        <f>AND(tecantrop!J579,"AAAAAFu8yys=")</f>
        <v>#VALUE!</v>
      </c>
      <c r="AS164" t="e">
        <f>AND(tecantrop!K579,"AAAAAFu8yyw=")</f>
        <v>#VALUE!</v>
      </c>
      <c r="AT164" t="e">
        <f>AND(tecantrop!L579,"AAAAAFu8yy0=")</f>
        <v>#VALUE!</v>
      </c>
      <c r="AU164" t="e">
        <f>AND(tecantrop!M579,"AAAAAFu8yy4=")</f>
        <v>#VALUE!</v>
      </c>
      <c r="AV164" t="e">
        <f>AND(tecantrop!N579,"AAAAAFu8yy8=")</f>
        <v>#VALUE!</v>
      </c>
      <c r="AW164" t="e">
        <f>AND(tecantrop!O579,"AAAAAFu8yzA=")</f>
        <v>#VALUE!</v>
      </c>
      <c r="AX164" t="e">
        <f>AND(tecantrop!P579,"AAAAAFu8yzE=")</f>
        <v>#VALUE!</v>
      </c>
      <c r="AY164" t="e">
        <f>AND(tecantrop!Q579,"AAAAAFu8yzI=")</f>
        <v>#VALUE!</v>
      </c>
      <c r="AZ164" t="e">
        <f>AND(tecantrop!R579,"AAAAAFu8yzM=")</f>
        <v>#VALUE!</v>
      </c>
      <c r="BA164" t="e">
        <f>AND(tecantrop!S579,"AAAAAFu8yzQ=")</f>
        <v>#VALUE!</v>
      </c>
      <c r="BB164" t="e">
        <f>AND(tecantrop!T579,"AAAAAFu8yzU=")</f>
        <v>#VALUE!</v>
      </c>
      <c r="BC164" t="e">
        <f>AND(tecantrop!U579,"AAAAAFu8yzY=")</f>
        <v>#VALUE!</v>
      </c>
      <c r="BD164" t="e">
        <f>AND(tecantrop!V579,"AAAAAFu8yzc=")</f>
        <v>#VALUE!</v>
      </c>
      <c r="BE164" t="e">
        <f>AND(tecantrop!W579,"AAAAAFu8yzg=")</f>
        <v>#VALUE!</v>
      </c>
      <c r="BF164" t="e">
        <f>AND(tecantrop!X579,"AAAAAFu8yzk=")</f>
        <v>#VALUE!</v>
      </c>
      <c r="BG164">
        <f>IF(tecantrop!580:580,"AAAAAFu8yzo=",0)</f>
        <v>0</v>
      </c>
      <c r="BH164" t="e">
        <f>AND(tecantrop!A580,"AAAAAFu8yzs=")</f>
        <v>#VALUE!</v>
      </c>
      <c r="BI164" t="e">
        <f>AND(tecantrop!B580,"AAAAAFu8yzw=")</f>
        <v>#VALUE!</v>
      </c>
      <c r="BJ164" t="e">
        <f>AND(tecantrop!C580,"AAAAAFu8yz0=")</f>
        <v>#VALUE!</v>
      </c>
      <c r="BK164" t="e">
        <f>AND(tecantrop!D580,"AAAAAFu8yz4=")</f>
        <v>#VALUE!</v>
      </c>
      <c r="BL164" t="e">
        <f>AND(tecantrop!E580,"AAAAAFu8yz8=")</f>
        <v>#VALUE!</v>
      </c>
      <c r="BM164" t="e">
        <f>AND(tecantrop!F580,"AAAAAFu8y0A=")</f>
        <v>#VALUE!</v>
      </c>
      <c r="BN164" t="e">
        <f>AND(tecantrop!G580,"AAAAAFu8y0E=")</f>
        <v>#VALUE!</v>
      </c>
      <c r="BO164" t="e">
        <f>AND(tecantrop!H580,"AAAAAFu8y0I=")</f>
        <v>#VALUE!</v>
      </c>
      <c r="BP164" t="e">
        <f>AND(tecantrop!I580,"AAAAAFu8y0M=")</f>
        <v>#VALUE!</v>
      </c>
      <c r="BQ164" t="e">
        <f>AND(tecantrop!J580,"AAAAAFu8y0Q=")</f>
        <v>#VALUE!</v>
      </c>
      <c r="BR164" t="e">
        <f>AND(tecantrop!K580,"AAAAAFu8y0U=")</f>
        <v>#VALUE!</v>
      </c>
      <c r="BS164" t="e">
        <f>AND(tecantrop!L580,"AAAAAFu8y0Y=")</f>
        <v>#VALUE!</v>
      </c>
      <c r="BT164" t="e">
        <f>AND(tecantrop!M580,"AAAAAFu8y0c=")</f>
        <v>#VALUE!</v>
      </c>
      <c r="BU164" t="e">
        <f>AND(tecantrop!N580,"AAAAAFu8y0g=")</f>
        <v>#VALUE!</v>
      </c>
      <c r="BV164" t="e">
        <f>AND(tecantrop!O580,"AAAAAFu8y0k=")</f>
        <v>#VALUE!</v>
      </c>
      <c r="BW164" t="e">
        <f>AND(tecantrop!P580,"AAAAAFu8y0o=")</f>
        <v>#VALUE!</v>
      </c>
      <c r="BX164" t="e">
        <f>AND(tecantrop!Q580,"AAAAAFu8y0s=")</f>
        <v>#VALUE!</v>
      </c>
      <c r="BY164" t="e">
        <f>AND(tecantrop!R580,"AAAAAFu8y0w=")</f>
        <v>#VALUE!</v>
      </c>
      <c r="BZ164" t="e">
        <f>AND(tecantrop!S580,"AAAAAFu8y00=")</f>
        <v>#VALUE!</v>
      </c>
      <c r="CA164" t="e">
        <f>AND(tecantrop!T580,"AAAAAFu8y04=")</f>
        <v>#VALUE!</v>
      </c>
      <c r="CB164" t="e">
        <f>AND(tecantrop!U580,"AAAAAFu8y08=")</f>
        <v>#VALUE!</v>
      </c>
      <c r="CC164" t="e">
        <f>AND(tecantrop!V580,"AAAAAFu8y1A=")</f>
        <v>#VALUE!</v>
      </c>
      <c r="CD164" t="e">
        <f>AND(tecantrop!W580,"AAAAAFu8y1E=")</f>
        <v>#VALUE!</v>
      </c>
      <c r="CE164" t="e">
        <f>AND(tecantrop!X580,"AAAAAFu8y1I=")</f>
        <v>#VALUE!</v>
      </c>
      <c r="CF164">
        <f>IF(tecantrop!581:581,"AAAAAFu8y1M=",0)</f>
        <v>0</v>
      </c>
      <c r="CG164" t="e">
        <f>AND(tecantrop!A581,"AAAAAFu8y1Q=")</f>
        <v>#VALUE!</v>
      </c>
      <c r="CH164" t="e">
        <f>AND(tecantrop!B581,"AAAAAFu8y1U=")</f>
        <v>#VALUE!</v>
      </c>
      <c r="CI164" t="e">
        <f>AND(tecantrop!C581,"AAAAAFu8y1Y=")</f>
        <v>#VALUE!</v>
      </c>
      <c r="CJ164" t="e">
        <f>AND(tecantrop!D581,"AAAAAFu8y1c=")</f>
        <v>#VALUE!</v>
      </c>
      <c r="CK164" t="e">
        <f>AND(tecantrop!E581,"AAAAAFu8y1g=")</f>
        <v>#VALUE!</v>
      </c>
      <c r="CL164" t="e">
        <f>AND(tecantrop!F581,"AAAAAFu8y1k=")</f>
        <v>#VALUE!</v>
      </c>
      <c r="CM164" t="e">
        <f>AND(tecantrop!G581,"AAAAAFu8y1o=")</f>
        <v>#VALUE!</v>
      </c>
      <c r="CN164" t="e">
        <f>AND(tecantrop!H581,"AAAAAFu8y1s=")</f>
        <v>#VALUE!</v>
      </c>
      <c r="CO164" t="e">
        <f>AND(tecantrop!I581,"AAAAAFu8y1w=")</f>
        <v>#VALUE!</v>
      </c>
      <c r="CP164" t="e">
        <f>AND(tecantrop!J581,"AAAAAFu8y10=")</f>
        <v>#VALUE!</v>
      </c>
      <c r="CQ164" t="e">
        <f>AND(tecantrop!K581,"AAAAAFu8y14=")</f>
        <v>#VALUE!</v>
      </c>
      <c r="CR164" t="e">
        <f>AND(tecantrop!L581,"AAAAAFu8y18=")</f>
        <v>#VALUE!</v>
      </c>
      <c r="CS164" t="e">
        <f>AND(tecantrop!M581,"AAAAAFu8y2A=")</f>
        <v>#VALUE!</v>
      </c>
      <c r="CT164" t="e">
        <f>AND(tecantrop!N581,"AAAAAFu8y2E=")</f>
        <v>#VALUE!</v>
      </c>
      <c r="CU164" t="e">
        <f>AND(tecantrop!O581,"AAAAAFu8y2I=")</f>
        <v>#VALUE!</v>
      </c>
      <c r="CV164" t="e">
        <f>AND(tecantrop!P581,"AAAAAFu8y2M=")</f>
        <v>#VALUE!</v>
      </c>
      <c r="CW164" t="e">
        <f>AND(tecantrop!Q581,"AAAAAFu8y2Q=")</f>
        <v>#VALUE!</v>
      </c>
      <c r="CX164" t="e">
        <f>AND(tecantrop!R581,"AAAAAFu8y2U=")</f>
        <v>#VALUE!</v>
      </c>
      <c r="CY164" t="e">
        <f>AND(tecantrop!S581,"AAAAAFu8y2Y=")</f>
        <v>#VALUE!</v>
      </c>
      <c r="CZ164" t="e">
        <f>AND(tecantrop!T581,"AAAAAFu8y2c=")</f>
        <v>#VALUE!</v>
      </c>
      <c r="DA164" t="e">
        <f>AND(tecantrop!U581,"AAAAAFu8y2g=")</f>
        <v>#VALUE!</v>
      </c>
      <c r="DB164" t="e">
        <f>AND(tecantrop!V581,"AAAAAFu8y2k=")</f>
        <v>#VALUE!</v>
      </c>
      <c r="DC164" t="e">
        <f>AND(tecantrop!W581,"AAAAAFu8y2o=")</f>
        <v>#VALUE!</v>
      </c>
      <c r="DD164" t="e">
        <f>AND(tecantrop!X581,"AAAAAFu8y2s=")</f>
        <v>#VALUE!</v>
      </c>
      <c r="DE164">
        <f>IF(tecantrop!582:582,"AAAAAFu8y2w=",0)</f>
        <v>0</v>
      </c>
      <c r="DF164" t="e">
        <f>AND(tecantrop!A582,"AAAAAFu8y20=")</f>
        <v>#VALUE!</v>
      </c>
      <c r="DG164" t="e">
        <f>AND(tecantrop!B582,"AAAAAFu8y24=")</f>
        <v>#VALUE!</v>
      </c>
      <c r="DH164" t="e">
        <f>AND(tecantrop!C582,"AAAAAFu8y28=")</f>
        <v>#VALUE!</v>
      </c>
      <c r="DI164" t="e">
        <f>AND(tecantrop!D582,"AAAAAFu8y3A=")</f>
        <v>#VALUE!</v>
      </c>
      <c r="DJ164" t="e">
        <f>AND(tecantrop!E582,"AAAAAFu8y3E=")</f>
        <v>#VALUE!</v>
      </c>
      <c r="DK164" t="e">
        <f>AND(tecantrop!F582,"AAAAAFu8y3I=")</f>
        <v>#VALUE!</v>
      </c>
      <c r="DL164" t="e">
        <f>AND(tecantrop!G582,"AAAAAFu8y3M=")</f>
        <v>#VALUE!</v>
      </c>
      <c r="DM164" t="e">
        <f>AND(tecantrop!H582,"AAAAAFu8y3Q=")</f>
        <v>#VALUE!</v>
      </c>
      <c r="DN164" t="e">
        <f>AND(tecantrop!I582,"AAAAAFu8y3U=")</f>
        <v>#VALUE!</v>
      </c>
      <c r="DO164" t="e">
        <f>AND(tecantrop!J582,"AAAAAFu8y3Y=")</f>
        <v>#VALUE!</v>
      </c>
      <c r="DP164" t="e">
        <f>AND(tecantrop!K582,"AAAAAFu8y3c=")</f>
        <v>#VALUE!</v>
      </c>
      <c r="DQ164" t="e">
        <f>AND(tecantrop!L582,"AAAAAFu8y3g=")</f>
        <v>#VALUE!</v>
      </c>
      <c r="DR164" t="e">
        <f>AND(tecantrop!M582,"AAAAAFu8y3k=")</f>
        <v>#VALUE!</v>
      </c>
      <c r="DS164" t="e">
        <f>AND(tecantrop!N582,"AAAAAFu8y3o=")</f>
        <v>#VALUE!</v>
      </c>
      <c r="DT164" t="e">
        <f>AND(tecantrop!O582,"AAAAAFu8y3s=")</f>
        <v>#VALUE!</v>
      </c>
      <c r="DU164" t="e">
        <f>AND(tecantrop!P582,"AAAAAFu8y3w=")</f>
        <v>#VALUE!</v>
      </c>
      <c r="DV164" t="e">
        <f>AND(tecantrop!Q582,"AAAAAFu8y30=")</f>
        <v>#VALUE!</v>
      </c>
      <c r="DW164" t="e">
        <f>AND(tecantrop!R582,"AAAAAFu8y34=")</f>
        <v>#VALUE!</v>
      </c>
      <c r="DX164" t="e">
        <f>AND(tecantrop!S582,"AAAAAFu8y38=")</f>
        <v>#VALUE!</v>
      </c>
      <c r="DY164" t="e">
        <f>AND(tecantrop!T582,"AAAAAFu8y4A=")</f>
        <v>#VALUE!</v>
      </c>
      <c r="DZ164" t="e">
        <f>AND(tecantrop!U582,"AAAAAFu8y4E=")</f>
        <v>#VALUE!</v>
      </c>
      <c r="EA164" t="e">
        <f>AND(tecantrop!V582,"AAAAAFu8y4I=")</f>
        <v>#VALUE!</v>
      </c>
      <c r="EB164" t="e">
        <f>AND(tecantrop!W582,"AAAAAFu8y4M=")</f>
        <v>#VALUE!</v>
      </c>
      <c r="EC164" t="e">
        <f>AND(tecantrop!X582,"AAAAAFu8y4Q=")</f>
        <v>#VALUE!</v>
      </c>
      <c r="ED164">
        <f>IF(tecantrop!583:583,"AAAAAFu8y4U=",0)</f>
        <v>0</v>
      </c>
      <c r="EE164" t="e">
        <f>AND(tecantrop!A583,"AAAAAFu8y4Y=")</f>
        <v>#VALUE!</v>
      </c>
      <c r="EF164" t="e">
        <f>AND(tecantrop!B583,"AAAAAFu8y4c=")</f>
        <v>#VALUE!</v>
      </c>
      <c r="EG164" t="e">
        <f>AND(tecantrop!C583,"AAAAAFu8y4g=")</f>
        <v>#VALUE!</v>
      </c>
      <c r="EH164" t="e">
        <f>AND(tecantrop!D583,"AAAAAFu8y4k=")</f>
        <v>#VALUE!</v>
      </c>
      <c r="EI164" t="e">
        <f>AND(tecantrop!E583,"AAAAAFu8y4o=")</f>
        <v>#VALUE!</v>
      </c>
      <c r="EJ164" t="e">
        <f>AND(tecantrop!F583,"AAAAAFu8y4s=")</f>
        <v>#VALUE!</v>
      </c>
      <c r="EK164" t="e">
        <f>AND(tecantrop!G583,"AAAAAFu8y4w=")</f>
        <v>#VALUE!</v>
      </c>
      <c r="EL164" t="e">
        <f>AND(tecantrop!H583,"AAAAAFu8y40=")</f>
        <v>#VALUE!</v>
      </c>
      <c r="EM164" t="e">
        <f>AND(tecantrop!I583,"AAAAAFu8y44=")</f>
        <v>#VALUE!</v>
      </c>
      <c r="EN164" t="e">
        <f>AND(tecantrop!J583,"AAAAAFu8y48=")</f>
        <v>#VALUE!</v>
      </c>
      <c r="EO164" t="e">
        <f>AND(tecantrop!K583,"AAAAAFu8y5A=")</f>
        <v>#VALUE!</v>
      </c>
      <c r="EP164" t="e">
        <f>AND(tecantrop!L583,"AAAAAFu8y5E=")</f>
        <v>#VALUE!</v>
      </c>
      <c r="EQ164" t="e">
        <f>AND(tecantrop!M583,"AAAAAFu8y5I=")</f>
        <v>#VALUE!</v>
      </c>
      <c r="ER164" t="e">
        <f>AND(tecantrop!N583,"AAAAAFu8y5M=")</f>
        <v>#VALUE!</v>
      </c>
      <c r="ES164" t="e">
        <f>AND(tecantrop!O583,"AAAAAFu8y5Q=")</f>
        <v>#VALUE!</v>
      </c>
      <c r="ET164" t="e">
        <f>AND(tecantrop!P583,"AAAAAFu8y5U=")</f>
        <v>#VALUE!</v>
      </c>
      <c r="EU164" t="e">
        <f>AND(tecantrop!Q583,"AAAAAFu8y5Y=")</f>
        <v>#VALUE!</v>
      </c>
      <c r="EV164" t="e">
        <f>AND(tecantrop!R583,"AAAAAFu8y5c=")</f>
        <v>#VALUE!</v>
      </c>
      <c r="EW164" t="e">
        <f>AND(tecantrop!S583,"AAAAAFu8y5g=")</f>
        <v>#VALUE!</v>
      </c>
      <c r="EX164" t="e">
        <f>AND(tecantrop!T583,"AAAAAFu8y5k=")</f>
        <v>#VALUE!</v>
      </c>
      <c r="EY164" t="e">
        <f>AND(tecantrop!U583,"AAAAAFu8y5o=")</f>
        <v>#VALUE!</v>
      </c>
      <c r="EZ164" t="e">
        <f>AND(tecantrop!V583,"AAAAAFu8y5s=")</f>
        <v>#VALUE!</v>
      </c>
      <c r="FA164" t="e">
        <f>AND(tecantrop!W583,"AAAAAFu8y5w=")</f>
        <v>#VALUE!</v>
      </c>
      <c r="FB164" t="e">
        <f>AND(tecantrop!X583,"AAAAAFu8y50=")</f>
        <v>#VALUE!</v>
      </c>
      <c r="FC164">
        <f>IF(tecantrop!584:584,"AAAAAFu8y54=",0)</f>
        <v>0</v>
      </c>
      <c r="FD164" t="e">
        <f>AND(tecantrop!A584,"AAAAAFu8y58=")</f>
        <v>#VALUE!</v>
      </c>
      <c r="FE164" t="e">
        <f>AND(tecantrop!B584,"AAAAAFu8y6A=")</f>
        <v>#VALUE!</v>
      </c>
      <c r="FF164" t="e">
        <f>AND(tecantrop!C584,"AAAAAFu8y6E=")</f>
        <v>#VALUE!</v>
      </c>
      <c r="FG164" t="e">
        <f>AND(tecantrop!D584,"AAAAAFu8y6I=")</f>
        <v>#VALUE!</v>
      </c>
      <c r="FH164" t="e">
        <f>AND(tecantrop!E584,"AAAAAFu8y6M=")</f>
        <v>#VALUE!</v>
      </c>
      <c r="FI164" t="e">
        <f>AND(tecantrop!F584,"AAAAAFu8y6Q=")</f>
        <v>#VALUE!</v>
      </c>
      <c r="FJ164" t="e">
        <f>AND(tecantrop!G584,"AAAAAFu8y6U=")</f>
        <v>#VALUE!</v>
      </c>
      <c r="FK164" t="e">
        <f>AND(tecantrop!H584,"AAAAAFu8y6Y=")</f>
        <v>#VALUE!</v>
      </c>
      <c r="FL164" t="e">
        <f>AND(tecantrop!I584,"AAAAAFu8y6c=")</f>
        <v>#VALUE!</v>
      </c>
      <c r="FM164" t="e">
        <f>AND(tecantrop!J584,"AAAAAFu8y6g=")</f>
        <v>#VALUE!</v>
      </c>
      <c r="FN164" t="e">
        <f>AND(tecantrop!K584,"AAAAAFu8y6k=")</f>
        <v>#VALUE!</v>
      </c>
      <c r="FO164" t="e">
        <f>AND(tecantrop!L584,"AAAAAFu8y6o=")</f>
        <v>#VALUE!</v>
      </c>
      <c r="FP164" t="e">
        <f>AND(tecantrop!M584,"AAAAAFu8y6s=")</f>
        <v>#VALUE!</v>
      </c>
      <c r="FQ164" t="e">
        <f>AND(tecantrop!N584,"AAAAAFu8y6w=")</f>
        <v>#VALUE!</v>
      </c>
      <c r="FR164" t="e">
        <f>AND(tecantrop!O584,"AAAAAFu8y60=")</f>
        <v>#VALUE!</v>
      </c>
      <c r="FS164" t="e">
        <f>AND(tecantrop!P584,"AAAAAFu8y64=")</f>
        <v>#VALUE!</v>
      </c>
      <c r="FT164" t="e">
        <f>AND(tecantrop!Q584,"AAAAAFu8y68=")</f>
        <v>#VALUE!</v>
      </c>
      <c r="FU164" t="e">
        <f>AND(tecantrop!R584,"AAAAAFu8y7A=")</f>
        <v>#VALUE!</v>
      </c>
      <c r="FV164" t="e">
        <f>AND(tecantrop!S584,"AAAAAFu8y7E=")</f>
        <v>#VALUE!</v>
      </c>
      <c r="FW164" t="e">
        <f>AND(tecantrop!T584,"AAAAAFu8y7I=")</f>
        <v>#VALUE!</v>
      </c>
      <c r="FX164" t="e">
        <f>AND(tecantrop!U584,"AAAAAFu8y7M=")</f>
        <v>#VALUE!</v>
      </c>
      <c r="FY164" t="e">
        <f>AND(tecantrop!V584,"AAAAAFu8y7Q=")</f>
        <v>#VALUE!</v>
      </c>
      <c r="FZ164" t="e">
        <f>AND(tecantrop!W584,"AAAAAFu8y7U=")</f>
        <v>#VALUE!</v>
      </c>
      <c r="GA164" t="e">
        <f>AND(tecantrop!X584,"AAAAAFu8y7Y=")</f>
        <v>#VALUE!</v>
      </c>
      <c r="GB164">
        <f>IF(tecantrop!585:585,"AAAAAFu8y7c=",0)</f>
        <v>0</v>
      </c>
      <c r="GC164" t="e">
        <f>AND(tecantrop!A585,"AAAAAFu8y7g=")</f>
        <v>#VALUE!</v>
      </c>
      <c r="GD164" t="e">
        <f>AND(tecantrop!B585,"AAAAAFu8y7k=")</f>
        <v>#VALUE!</v>
      </c>
      <c r="GE164" t="e">
        <f>AND(tecantrop!C585,"AAAAAFu8y7o=")</f>
        <v>#VALUE!</v>
      </c>
      <c r="GF164" t="e">
        <f>AND(tecantrop!D585,"AAAAAFu8y7s=")</f>
        <v>#VALUE!</v>
      </c>
      <c r="GG164" t="e">
        <f>AND(tecantrop!E585,"AAAAAFu8y7w=")</f>
        <v>#VALUE!</v>
      </c>
      <c r="GH164" t="e">
        <f>AND(tecantrop!F585,"AAAAAFu8y70=")</f>
        <v>#VALUE!</v>
      </c>
      <c r="GI164" t="e">
        <f>AND(tecantrop!G585,"AAAAAFu8y74=")</f>
        <v>#VALUE!</v>
      </c>
      <c r="GJ164" t="e">
        <f>AND(tecantrop!H585,"AAAAAFu8y78=")</f>
        <v>#VALUE!</v>
      </c>
      <c r="GK164" t="e">
        <f>AND(tecantrop!I585,"AAAAAFu8y8A=")</f>
        <v>#VALUE!</v>
      </c>
      <c r="GL164" t="e">
        <f>AND(tecantrop!J585,"AAAAAFu8y8E=")</f>
        <v>#VALUE!</v>
      </c>
      <c r="GM164" t="e">
        <f>AND(tecantrop!K585,"AAAAAFu8y8I=")</f>
        <v>#VALUE!</v>
      </c>
      <c r="GN164" t="e">
        <f>AND(tecantrop!L585,"AAAAAFu8y8M=")</f>
        <v>#VALUE!</v>
      </c>
      <c r="GO164" t="e">
        <f>AND(tecantrop!M585,"AAAAAFu8y8Q=")</f>
        <v>#VALUE!</v>
      </c>
      <c r="GP164" t="e">
        <f>AND(tecantrop!N585,"AAAAAFu8y8U=")</f>
        <v>#VALUE!</v>
      </c>
      <c r="GQ164" t="e">
        <f>AND(tecantrop!O585,"AAAAAFu8y8Y=")</f>
        <v>#VALUE!</v>
      </c>
      <c r="GR164" t="e">
        <f>AND(tecantrop!P585,"AAAAAFu8y8c=")</f>
        <v>#VALUE!</v>
      </c>
      <c r="GS164" t="e">
        <f>AND(tecantrop!Q585,"AAAAAFu8y8g=")</f>
        <v>#VALUE!</v>
      </c>
      <c r="GT164" t="e">
        <f>AND(tecantrop!R585,"AAAAAFu8y8k=")</f>
        <v>#VALUE!</v>
      </c>
      <c r="GU164" t="e">
        <f>AND(tecantrop!S585,"AAAAAFu8y8o=")</f>
        <v>#VALUE!</v>
      </c>
      <c r="GV164" t="e">
        <f>AND(tecantrop!T585,"AAAAAFu8y8s=")</f>
        <v>#VALUE!</v>
      </c>
      <c r="GW164" t="e">
        <f>AND(tecantrop!U585,"AAAAAFu8y8w=")</f>
        <v>#VALUE!</v>
      </c>
      <c r="GX164" t="e">
        <f>AND(tecantrop!V585,"AAAAAFu8y80=")</f>
        <v>#VALUE!</v>
      </c>
      <c r="GY164" t="e">
        <f>AND(tecantrop!W585,"AAAAAFu8y84=")</f>
        <v>#VALUE!</v>
      </c>
      <c r="GZ164" t="e">
        <f>AND(tecantrop!X585,"AAAAAFu8y88=")</f>
        <v>#VALUE!</v>
      </c>
      <c r="HA164">
        <f>IF(tecantrop!586:586,"AAAAAFu8y9A=",0)</f>
        <v>0</v>
      </c>
      <c r="HB164" t="e">
        <f>AND(tecantrop!A586,"AAAAAFu8y9E=")</f>
        <v>#VALUE!</v>
      </c>
      <c r="HC164" t="e">
        <f>AND(tecantrop!B586,"AAAAAFu8y9I=")</f>
        <v>#VALUE!</v>
      </c>
      <c r="HD164" t="e">
        <f>AND(tecantrop!C586,"AAAAAFu8y9M=")</f>
        <v>#VALUE!</v>
      </c>
      <c r="HE164" t="e">
        <f>AND(tecantrop!D586,"AAAAAFu8y9Q=")</f>
        <v>#VALUE!</v>
      </c>
      <c r="HF164" t="e">
        <f>AND(tecantrop!E586,"AAAAAFu8y9U=")</f>
        <v>#VALUE!</v>
      </c>
      <c r="HG164" t="e">
        <f>AND(tecantrop!F586,"AAAAAFu8y9Y=")</f>
        <v>#VALUE!</v>
      </c>
      <c r="HH164" t="e">
        <f>AND(tecantrop!G586,"AAAAAFu8y9c=")</f>
        <v>#VALUE!</v>
      </c>
      <c r="HI164" t="e">
        <f>AND(tecantrop!H586,"AAAAAFu8y9g=")</f>
        <v>#VALUE!</v>
      </c>
      <c r="HJ164" t="e">
        <f>AND(tecantrop!I586,"AAAAAFu8y9k=")</f>
        <v>#VALUE!</v>
      </c>
      <c r="HK164" t="e">
        <f>AND(tecantrop!J586,"AAAAAFu8y9o=")</f>
        <v>#VALUE!</v>
      </c>
      <c r="HL164" t="e">
        <f>AND(tecantrop!K586,"AAAAAFu8y9s=")</f>
        <v>#VALUE!</v>
      </c>
      <c r="HM164" t="e">
        <f>AND(tecantrop!L586,"AAAAAFu8y9w=")</f>
        <v>#VALUE!</v>
      </c>
      <c r="HN164" t="e">
        <f>AND(tecantrop!M586,"AAAAAFu8y90=")</f>
        <v>#VALUE!</v>
      </c>
      <c r="HO164" t="e">
        <f>AND(tecantrop!N586,"AAAAAFu8y94=")</f>
        <v>#VALUE!</v>
      </c>
      <c r="HP164" t="e">
        <f>AND(tecantrop!O586,"AAAAAFu8y98=")</f>
        <v>#VALUE!</v>
      </c>
      <c r="HQ164" t="e">
        <f>AND(tecantrop!P586,"AAAAAFu8y+A=")</f>
        <v>#VALUE!</v>
      </c>
      <c r="HR164" t="e">
        <f>AND(tecantrop!Q586,"AAAAAFu8y+E=")</f>
        <v>#VALUE!</v>
      </c>
      <c r="HS164" t="e">
        <f>AND(tecantrop!R586,"AAAAAFu8y+I=")</f>
        <v>#VALUE!</v>
      </c>
      <c r="HT164" t="e">
        <f>AND(tecantrop!S586,"AAAAAFu8y+M=")</f>
        <v>#VALUE!</v>
      </c>
      <c r="HU164" t="e">
        <f>AND(tecantrop!T586,"AAAAAFu8y+Q=")</f>
        <v>#VALUE!</v>
      </c>
      <c r="HV164" t="e">
        <f>AND(tecantrop!U586,"AAAAAFu8y+U=")</f>
        <v>#VALUE!</v>
      </c>
      <c r="HW164" t="e">
        <f>AND(tecantrop!V586,"AAAAAFu8y+Y=")</f>
        <v>#VALUE!</v>
      </c>
      <c r="HX164" t="e">
        <f>AND(tecantrop!W586,"AAAAAFu8y+c=")</f>
        <v>#VALUE!</v>
      </c>
      <c r="HY164" t="e">
        <f>AND(tecantrop!X586,"AAAAAFu8y+g=")</f>
        <v>#VALUE!</v>
      </c>
      <c r="HZ164">
        <f>IF(tecantrop!587:587,"AAAAAFu8y+k=",0)</f>
        <v>0</v>
      </c>
      <c r="IA164" t="e">
        <f>AND(tecantrop!A587,"AAAAAFu8y+o=")</f>
        <v>#VALUE!</v>
      </c>
      <c r="IB164" t="e">
        <f>AND(tecantrop!B587,"AAAAAFu8y+s=")</f>
        <v>#VALUE!</v>
      </c>
      <c r="IC164" t="e">
        <f>AND(tecantrop!C587,"AAAAAFu8y+w=")</f>
        <v>#VALUE!</v>
      </c>
      <c r="ID164" t="e">
        <f>AND(tecantrop!D587,"AAAAAFu8y+0=")</f>
        <v>#VALUE!</v>
      </c>
      <c r="IE164" t="e">
        <f>AND(tecantrop!E587,"AAAAAFu8y+4=")</f>
        <v>#VALUE!</v>
      </c>
      <c r="IF164" t="e">
        <f>AND(tecantrop!F587,"AAAAAFu8y+8=")</f>
        <v>#VALUE!</v>
      </c>
      <c r="IG164" t="e">
        <f>AND(tecantrop!G587,"AAAAAFu8y/A=")</f>
        <v>#VALUE!</v>
      </c>
      <c r="IH164" t="e">
        <f>AND(tecantrop!H587,"AAAAAFu8y/E=")</f>
        <v>#VALUE!</v>
      </c>
      <c r="II164" t="e">
        <f>AND(tecantrop!I587,"AAAAAFu8y/I=")</f>
        <v>#VALUE!</v>
      </c>
      <c r="IJ164" t="e">
        <f>AND(tecantrop!J587,"AAAAAFu8y/M=")</f>
        <v>#VALUE!</v>
      </c>
      <c r="IK164" t="e">
        <f>AND(tecantrop!K587,"AAAAAFu8y/Q=")</f>
        <v>#VALUE!</v>
      </c>
      <c r="IL164" t="e">
        <f>AND(tecantrop!L587,"AAAAAFu8y/U=")</f>
        <v>#VALUE!</v>
      </c>
      <c r="IM164" t="e">
        <f>AND(tecantrop!M587,"AAAAAFu8y/Y=")</f>
        <v>#VALUE!</v>
      </c>
      <c r="IN164" t="e">
        <f>AND(tecantrop!N587,"AAAAAFu8y/c=")</f>
        <v>#VALUE!</v>
      </c>
      <c r="IO164" t="e">
        <f>AND(tecantrop!O587,"AAAAAFu8y/g=")</f>
        <v>#VALUE!</v>
      </c>
      <c r="IP164" t="e">
        <f>AND(tecantrop!P587,"AAAAAFu8y/k=")</f>
        <v>#VALUE!</v>
      </c>
      <c r="IQ164" t="e">
        <f>AND(tecantrop!Q587,"AAAAAFu8y/o=")</f>
        <v>#VALUE!</v>
      </c>
      <c r="IR164" t="e">
        <f>AND(tecantrop!R587,"AAAAAFu8y/s=")</f>
        <v>#VALUE!</v>
      </c>
      <c r="IS164" t="e">
        <f>AND(tecantrop!S587,"AAAAAFu8y/w=")</f>
        <v>#VALUE!</v>
      </c>
      <c r="IT164" t="e">
        <f>AND(tecantrop!T587,"AAAAAFu8y/0=")</f>
        <v>#VALUE!</v>
      </c>
      <c r="IU164" t="e">
        <f>AND(tecantrop!U587,"AAAAAFu8y/4=")</f>
        <v>#VALUE!</v>
      </c>
      <c r="IV164" t="e">
        <f>AND(tecantrop!V587,"AAAAAFu8y/8=")</f>
        <v>#VALUE!</v>
      </c>
    </row>
    <row r="165" spans="1:256" x14ac:dyDescent="0.2">
      <c r="A165" t="e">
        <f>AND(tecantrop!W587,"AAAAAHv37QA=")</f>
        <v>#VALUE!</v>
      </c>
      <c r="B165" t="e">
        <f>AND(tecantrop!X587,"AAAAAHv37QE=")</f>
        <v>#VALUE!</v>
      </c>
      <c r="C165">
        <f>IF(tecantrop!588:588,"AAAAAHv37QI=",0)</f>
        <v>0</v>
      </c>
      <c r="D165" t="e">
        <f>AND(tecantrop!A588,"AAAAAHv37QM=")</f>
        <v>#VALUE!</v>
      </c>
      <c r="E165" t="e">
        <f>AND(tecantrop!B588,"AAAAAHv37QQ=")</f>
        <v>#VALUE!</v>
      </c>
      <c r="F165" t="e">
        <f>AND(tecantrop!C588,"AAAAAHv37QU=")</f>
        <v>#VALUE!</v>
      </c>
      <c r="G165" t="e">
        <f>AND(tecantrop!D588,"AAAAAHv37QY=")</f>
        <v>#VALUE!</v>
      </c>
      <c r="H165" t="e">
        <f>AND(tecantrop!E588,"AAAAAHv37Qc=")</f>
        <v>#VALUE!</v>
      </c>
      <c r="I165" t="e">
        <f>AND(tecantrop!F588,"AAAAAHv37Qg=")</f>
        <v>#VALUE!</v>
      </c>
      <c r="J165" t="e">
        <f>AND(tecantrop!G588,"AAAAAHv37Qk=")</f>
        <v>#VALUE!</v>
      </c>
      <c r="K165" t="e">
        <f>AND(tecantrop!H588,"AAAAAHv37Qo=")</f>
        <v>#VALUE!</v>
      </c>
      <c r="L165" t="e">
        <f>AND(tecantrop!I588,"AAAAAHv37Qs=")</f>
        <v>#VALUE!</v>
      </c>
      <c r="M165" t="e">
        <f>AND(tecantrop!J588,"AAAAAHv37Qw=")</f>
        <v>#VALUE!</v>
      </c>
      <c r="N165" t="e">
        <f>AND(tecantrop!K588,"AAAAAHv37Q0=")</f>
        <v>#VALUE!</v>
      </c>
      <c r="O165" t="e">
        <f>AND(tecantrop!L588,"AAAAAHv37Q4=")</f>
        <v>#VALUE!</v>
      </c>
      <c r="P165" t="e">
        <f>AND(tecantrop!M588,"AAAAAHv37Q8=")</f>
        <v>#VALUE!</v>
      </c>
      <c r="Q165" t="e">
        <f>AND(tecantrop!N588,"AAAAAHv37RA=")</f>
        <v>#VALUE!</v>
      </c>
      <c r="R165" t="e">
        <f>AND(tecantrop!O588,"AAAAAHv37RE=")</f>
        <v>#VALUE!</v>
      </c>
      <c r="S165" t="e">
        <f>AND(tecantrop!P588,"AAAAAHv37RI=")</f>
        <v>#VALUE!</v>
      </c>
      <c r="T165" t="e">
        <f>AND(tecantrop!Q588,"AAAAAHv37RM=")</f>
        <v>#VALUE!</v>
      </c>
      <c r="U165" t="e">
        <f>AND(tecantrop!R588,"AAAAAHv37RQ=")</f>
        <v>#VALUE!</v>
      </c>
      <c r="V165" t="e">
        <f>AND(tecantrop!S588,"AAAAAHv37RU=")</f>
        <v>#VALUE!</v>
      </c>
      <c r="W165" t="e">
        <f>AND(tecantrop!T588,"AAAAAHv37RY=")</f>
        <v>#VALUE!</v>
      </c>
      <c r="X165" t="e">
        <f>AND(tecantrop!U588,"AAAAAHv37Rc=")</f>
        <v>#VALUE!</v>
      </c>
      <c r="Y165" t="e">
        <f>AND(tecantrop!V588,"AAAAAHv37Rg=")</f>
        <v>#VALUE!</v>
      </c>
      <c r="Z165" t="e">
        <f>AND(tecantrop!W588,"AAAAAHv37Rk=")</f>
        <v>#VALUE!</v>
      </c>
      <c r="AA165" t="e">
        <f>AND(tecantrop!X588,"AAAAAHv37Ro=")</f>
        <v>#VALUE!</v>
      </c>
      <c r="AB165">
        <f>IF(tecantrop!589:589,"AAAAAHv37Rs=",0)</f>
        <v>0</v>
      </c>
      <c r="AC165" t="e">
        <f>AND(tecantrop!A589,"AAAAAHv37Rw=")</f>
        <v>#VALUE!</v>
      </c>
      <c r="AD165" t="e">
        <f>AND(tecantrop!B589,"AAAAAHv37R0=")</f>
        <v>#VALUE!</v>
      </c>
      <c r="AE165" t="e">
        <f>AND(tecantrop!C589,"AAAAAHv37R4=")</f>
        <v>#VALUE!</v>
      </c>
      <c r="AF165" t="e">
        <f>AND(tecantrop!D589,"AAAAAHv37R8=")</f>
        <v>#VALUE!</v>
      </c>
      <c r="AG165" t="e">
        <f>AND(tecantrop!E589,"AAAAAHv37SA=")</f>
        <v>#VALUE!</v>
      </c>
      <c r="AH165" t="e">
        <f>AND(tecantrop!F589,"AAAAAHv37SE=")</f>
        <v>#VALUE!</v>
      </c>
      <c r="AI165" t="e">
        <f>AND(tecantrop!G589,"AAAAAHv37SI=")</f>
        <v>#VALUE!</v>
      </c>
      <c r="AJ165" t="e">
        <f>AND(tecantrop!H589,"AAAAAHv37SM=")</f>
        <v>#VALUE!</v>
      </c>
      <c r="AK165" t="e">
        <f>AND(tecantrop!I589,"AAAAAHv37SQ=")</f>
        <v>#VALUE!</v>
      </c>
      <c r="AL165" t="e">
        <f>AND(tecantrop!J589,"AAAAAHv37SU=")</f>
        <v>#VALUE!</v>
      </c>
      <c r="AM165" t="e">
        <f>AND(tecantrop!K589,"AAAAAHv37SY=")</f>
        <v>#VALUE!</v>
      </c>
      <c r="AN165" t="e">
        <f>AND(tecantrop!L589,"AAAAAHv37Sc=")</f>
        <v>#VALUE!</v>
      </c>
      <c r="AO165" t="e">
        <f>AND(tecantrop!M589,"AAAAAHv37Sg=")</f>
        <v>#VALUE!</v>
      </c>
      <c r="AP165" t="e">
        <f>AND(tecantrop!N589,"AAAAAHv37Sk=")</f>
        <v>#VALUE!</v>
      </c>
      <c r="AQ165" t="e">
        <f>AND(tecantrop!O589,"AAAAAHv37So=")</f>
        <v>#VALUE!</v>
      </c>
      <c r="AR165" t="e">
        <f>AND(tecantrop!P589,"AAAAAHv37Ss=")</f>
        <v>#VALUE!</v>
      </c>
      <c r="AS165" t="e">
        <f>AND(tecantrop!Q589,"AAAAAHv37Sw=")</f>
        <v>#VALUE!</v>
      </c>
      <c r="AT165" t="e">
        <f>AND(tecantrop!R589,"AAAAAHv37S0=")</f>
        <v>#VALUE!</v>
      </c>
      <c r="AU165" t="e">
        <f>AND(tecantrop!S589,"AAAAAHv37S4=")</f>
        <v>#VALUE!</v>
      </c>
      <c r="AV165" t="e">
        <f>AND(tecantrop!T589,"AAAAAHv37S8=")</f>
        <v>#VALUE!</v>
      </c>
      <c r="AW165" t="e">
        <f>AND(tecantrop!U589,"AAAAAHv37TA=")</f>
        <v>#VALUE!</v>
      </c>
      <c r="AX165" t="e">
        <f>AND(tecantrop!V589,"AAAAAHv37TE=")</f>
        <v>#VALUE!</v>
      </c>
      <c r="AY165" t="e">
        <f>AND(tecantrop!W589,"AAAAAHv37TI=")</f>
        <v>#VALUE!</v>
      </c>
      <c r="AZ165" t="e">
        <f>AND(tecantrop!X589,"AAAAAHv37TM=")</f>
        <v>#VALUE!</v>
      </c>
      <c r="BA165">
        <f>IF(tecantrop!590:590,"AAAAAHv37TQ=",0)</f>
        <v>0</v>
      </c>
      <c r="BB165" t="e">
        <f>AND(tecantrop!A590,"AAAAAHv37TU=")</f>
        <v>#VALUE!</v>
      </c>
      <c r="BC165" t="e">
        <f>AND(tecantrop!B590,"AAAAAHv37TY=")</f>
        <v>#VALUE!</v>
      </c>
      <c r="BD165" t="e">
        <f>AND(tecantrop!C590,"AAAAAHv37Tc=")</f>
        <v>#VALUE!</v>
      </c>
      <c r="BE165" t="e">
        <f>AND(tecantrop!D590,"AAAAAHv37Tg=")</f>
        <v>#VALUE!</v>
      </c>
      <c r="BF165" t="e">
        <f>AND(tecantrop!E590,"AAAAAHv37Tk=")</f>
        <v>#VALUE!</v>
      </c>
      <c r="BG165" t="e">
        <f>AND(tecantrop!F590,"AAAAAHv37To=")</f>
        <v>#VALUE!</v>
      </c>
      <c r="BH165" t="e">
        <f>AND(tecantrop!G590,"AAAAAHv37Ts=")</f>
        <v>#VALUE!</v>
      </c>
      <c r="BI165" t="e">
        <f>AND(tecantrop!H590,"AAAAAHv37Tw=")</f>
        <v>#VALUE!</v>
      </c>
      <c r="BJ165" t="e">
        <f>AND(tecantrop!I590,"AAAAAHv37T0=")</f>
        <v>#VALUE!</v>
      </c>
      <c r="BK165" t="e">
        <f>AND(tecantrop!J590,"AAAAAHv37T4=")</f>
        <v>#VALUE!</v>
      </c>
      <c r="BL165" t="e">
        <f>AND(tecantrop!K590,"AAAAAHv37T8=")</f>
        <v>#VALUE!</v>
      </c>
      <c r="BM165" t="e">
        <f>AND(tecantrop!L590,"AAAAAHv37UA=")</f>
        <v>#VALUE!</v>
      </c>
      <c r="BN165" t="e">
        <f>AND(tecantrop!M590,"AAAAAHv37UE=")</f>
        <v>#VALUE!</v>
      </c>
      <c r="BO165" t="e">
        <f>AND(tecantrop!N590,"AAAAAHv37UI=")</f>
        <v>#VALUE!</v>
      </c>
      <c r="BP165" t="e">
        <f>AND(tecantrop!O590,"AAAAAHv37UM=")</f>
        <v>#VALUE!</v>
      </c>
      <c r="BQ165" t="e">
        <f>AND(tecantrop!P590,"AAAAAHv37UQ=")</f>
        <v>#VALUE!</v>
      </c>
      <c r="BR165" t="e">
        <f>AND(tecantrop!Q590,"AAAAAHv37UU=")</f>
        <v>#VALUE!</v>
      </c>
      <c r="BS165" t="e">
        <f>AND(tecantrop!R590,"AAAAAHv37UY=")</f>
        <v>#VALUE!</v>
      </c>
      <c r="BT165" t="e">
        <f>AND(tecantrop!S590,"AAAAAHv37Uc=")</f>
        <v>#VALUE!</v>
      </c>
      <c r="BU165" t="e">
        <f>AND(tecantrop!T590,"AAAAAHv37Ug=")</f>
        <v>#VALUE!</v>
      </c>
      <c r="BV165" t="e">
        <f>AND(tecantrop!U590,"AAAAAHv37Uk=")</f>
        <v>#VALUE!</v>
      </c>
      <c r="BW165" t="e">
        <f>AND(tecantrop!V590,"AAAAAHv37Uo=")</f>
        <v>#VALUE!</v>
      </c>
      <c r="BX165" t="e">
        <f>AND(tecantrop!W590,"AAAAAHv37Us=")</f>
        <v>#VALUE!</v>
      </c>
      <c r="BY165" t="e">
        <f>AND(tecantrop!X590,"AAAAAHv37Uw=")</f>
        <v>#VALUE!</v>
      </c>
      <c r="BZ165">
        <f>IF(tecantrop!591:591,"AAAAAHv37U0=",0)</f>
        <v>0</v>
      </c>
      <c r="CA165" t="e">
        <f>AND(tecantrop!A591,"AAAAAHv37U4=")</f>
        <v>#VALUE!</v>
      </c>
      <c r="CB165" t="e">
        <f>AND(tecantrop!B591,"AAAAAHv37U8=")</f>
        <v>#VALUE!</v>
      </c>
      <c r="CC165" t="e">
        <f>AND(tecantrop!C591,"AAAAAHv37VA=")</f>
        <v>#VALUE!</v>
      </c>
      <c r="CD165" t="e">
        <f>AND(tecantrop!D591,"AAAAAHv37VE=")</f>
        <v>#VALUE!</v>
      </c>
      <c r="CE165" t="e">
        <f>AND(tecantrop!E591,"AAAAAHv37VI=")</f>
        <v>#VALUE!</v>
      </c>
      <c r="CF165" t="e">
        <f>AND(tecantrop!F591,"AAAAAHv37VM=")</f>
        <v>#VALUE!</v>
      </c>
      <c r="CG165" t="e">
        <f>AND(tecantrop!G591,"AAAAAHv37VQ=")</f>
        <v>#VALUE!</v>
      </c>
      <c r="CH165" t="e">
        <f>AND(tecantrop!H591,"AAAAAHv37VU=")</f>
        <v>#VALUE!</v>
      </c>
      <c r="CI165" t="e">
        <f>AND(tecantrop!I591,"AAAAAHv37VY=")</f>
        <v>#VALUE!</v>
      </c>
      <c r="CJ165" t="e">
        <f>AND(tecantrop!J591,"AAAAAHv37Vc=")</f>
        <v>#VALUE!</v>
      </c>
      <c r="CK165" t="e">
        <f>AND(tecantrop!K591,"AAAAAHv37Vg=")</f>
        <v>#VALUE!</v>
      </c>
      <c r="CL165" t="e">
        <f>AND(tecantrop!L591,"AAAAAHv37Vk=")</f>
        <v>#VALUE!</v>
      </c>
      <c r="CM165" t="e">
        <f>AND(tecantrop!M591,"AAAAAHv37Vo=")</f>
        <v>#VALUE!</v>
      </c>
      <c r="CN165" t="e">
        <f>AND(tecantrop!N591,"AAAAAHv37Vs=")</f>
        <v>#VALUE!</v>
      </c>
      <c r="CO165" t="e">
        <f>AND(tecantrop!O591,"AAAAAHv37Vw=")</f>
        <v>#VALUE!</v>
      </c>
      <c r="CP165" t="e">
        <f>AND(tecantrop!P591,"AAAAAHv37V0=")</f>
        <v>#VALUE!</v>
      </c>
      <c r="CQ165" t="e">
        <f>AND(tecantrop!Q591,"AAAAAHv37V4=")</f>
        <v>#VALUE!</v>
      </c>
      <c r="CR165" t="e">
        <f>AND(tecantrop!R591,"AAAAAHv37V8=")</f>
        <v>#VALUE!</v>
      </c>
      <c r="CS165" t="e">
        <f>AND(tecantrop!S591,"AAAAAHv37WA=")</f>
        <v>#VALUE!</v>
      </c>
      <c r="CT165" t="e">
        <f>AND(tecantrop!T591,"AAAAAHv37WE=")</f>
        <v>#VALUE!</v>
      </c>
      <c r="CU165" t="e">
        <f>AND(tecantrop!U591,"AAAAAHv37WI=")</f>
        <v>#VALUE!</v>
      </c>
      <c r="CV165" t="e">
        <f>AND(tecantrop!V591,"AAAAAHv37WM=")</f>
        <v>#VALUE!</v>
      </c>
      <c r="CW165" t="e">
        <f>AND(tecantrop!W591,"AAAAAHv37WQ=")</f>
        <v>#VALUE!</v>
      </c>
      <c r="CX165" t="e">
        <f>AND(tecantrop!X591,"AAAAAHv37WU=")</f>
        <v>#VALUE!</v>
      </c>
      <c r="CY165">
        <f>IF(tecantrop!592:592,"AAAAAHv37WY=",0)</f>
        <v>0</v>
      </c>
      <c r="CZ165" t="e">
        <f>AND(tecantrop!A592,"AAAAAHv37Wc=")</f>
        <v>#VALUE!</v>
      </c>
      <c r="DA165" t="e">
        <f>AND(tecantrop!B592,"AAAAAHv37Wg=")</f>
        <v>#VALUE!</v>
      </c>
      <c r="DB165" t="e">
        <f>AND(tecantrop!C592,"AAAAAHv37Wk=")</f>
        <v>#VALUE!</v>
      </c>
      <c r="DC165" t="e">
        <f>AND(tecantrop!D592,"AAAAAHv37Wo=")</f>
        <v>#VALUE!</v>
      </c>
      <c r="DD165" t="e">
        <f>AND(tecantrop!E592,"AAAAAHv37Ws=")</f>
        <v>#VALUE!</v>
      </c>
      <c r="DE165" t="e">
        <f>AND(tecantrop!F592,"AAAAAHv37Ww=")</f>
        <v>#VALUE!</v>
      </c>
      <c r="DF165" t="e">
        <f>AND(tecantrop!G592,"AAAAAHv37W0=")</f>
        <v>#VALUE!</v>
      </c>
      <c r="DG165" t="e">
        <f>AND(tecantrop!H592,"AAAAAHv37W4=")</f>
        <v>#VALUE!</v>
      </c>
      <c r="DH165" t="e">
        <f>AND(tecantrop!I592,"AAAAAHv37W8=")</f>
        <v>#VALUE!</v>
      </c>
      <c r="DI165" t="e">
        <f>AND(tecantrop!J592,"AAAAAHv37XA=")</f>
        <v>#VALUE!</v>
      </c>
      <c r="DJ165" t="e">
        <f>AND(tecantrop!K592,"AAAAAHv37XE=")</f>
        <v>#VALUE!</v>
      </c>
      <c r="DK165" t="e">
        <f>AND(tecantrop!L592,"AAAAAHv37XI=")</f>
        <v>#VALUE!</v>
      </c>
      <c r="DL165" t="e">
        <f>AND(tecantrop!M592,"AAAAAHv37XM=")</f>
        <v>#VALUE!</v>
      </c>
      <c r="DM165" t="e">
        <f>AND(tecantrop!N592,"AAAAAHv37XQ=")</f>
        <v>#VALUE!</v>
      </c>
      <c r="DN165" t="e">
        <f>AND(tecantrop!O592,"AAAAAHv37XU=")</f>
        <v>#VALUE!</v>
      </c>
      <c r="DO165" t="e">
        <f>AND(tecantrop!P592,"AAAAAHv37XY=")</f>
        <v>#VALUE!</v>
      </c>
      <c r="DP165" t="e">
        <f>AND(tecantrop!Q592,"AAAAAHv37Xc=")</f>
        <v>#VALUE!</v>
      </c>
      <c r="DQ165" t="e">
        <f>AND(tecantrop!R592,"AAAAAHv37Xg=")</f>
        <v>#VALUE!</v>
      </c>
      <c r="DR165" t="e">
        <f>AND(tecantrop!S592,"AAAAAHv37Xk=")</f>
        <v>#VALUE!</v>
      </c>
      <c r="DS165" t="e">
        <f>AND(tecantrop!T592,"AAAAAHv37Xo=")</f>
        <v>#VALUE!</v>
      </c>
      <c r="DT165" t="e">
        <f>AND(tecantrop!U592,"AAAAAHv37Xs=")</f>
        <v>#VALUE!</v>
      </c>
      <c r="DU165" t="e">
        <f>AND(tecantrop!V592,"AAAAAHv37Xw=")</f>
        <v>#VALUE!</v>
      </c>
      <c r="DV165" t="e">
        <f>AND(tecantrop!W592,"AAAAAHv37X0=")</f>
        <v>#VALUE!</v>
      </c>
      <c r="DW165" t="e">
        <f>AND(tecantrop!X592,"AAAAAHv37X4=")</f>
        <v>#VALUE!</v>
      </c>
      <c r="DX165">
        <f>IF(tecantrop!593:593,"AAAAAHv37X8=",0)</f>
        <v>0</v>
      </c>
      <c r="DY165" t="e">
        <f>AND(tecantrop!A593,"AAAAAHv37YA=")</f>
        <v>#VALUE!</v>
      </c>
      <c r="DZ165" t="e">
        <f>AND(tecantrop!B593,"AAAAAHv37YE=")</f>
        <v>#VALUE!</v>
      </c>
      <c r="EA165" t="e">
        <f>AND(tecantrop!C593,"AAAAAHv37YI=")</f>
        <v>#VALUE!</v>
      </c>
      <c r="EB165" t="e">
        <f>AND(tecantrop!D593,"AAAAAHv37YM=")</f>
        <v>#VALUE!</v>
      </c>
      <c r="EC165" t="e">
        <f>AND(tecantrop!E593,"AAAAAHv37YQ=")</f>
        <v>#VALUE!</v>
      </c>
      <c r="ED165" t="e">
        <f>AND(tecantrop!F593,"AAAAAHv37YU=")</f>
        <v>#VALUE!</v>
      </c>
      <c r="EE165" t="e">
        <f>AND(tecantrop!G593,"AAAAAHv37YY=")</f>
        <v>#VALUE!</v>
      </c>
      <c r="EF165" t="e">
        <f>AND(tecantrop!H593,"AAAAAHv37Yc=")</f>
        <v>#VALUE!</v>
      </c>
      <c r="EG165" t="e">
        <f>AND(tecantrop!I593,"AAAAAHv37Yg=")</f>
        <v>#VALUE!</v>
      </c>
      <c r="EH165" t="e">
        <f>AND(tecantrop!J593,"AAAAAHv37Yk=")</f>
        <v>#VALUE!</v>
      </c>
      <c r="EI165" t="e">
        <f>AND(tecantrop!K593,"AAAAAHv37Yo=")</f>
        <v>#VALUE!</v>
      </c>
      <c r="EJ165" t="e">
        <f>AND(tecantrop!L593,"AAAAAHv37Ys=")</f>
        <v>#VALUE!</v>
      </c>
      <c r="EK165" t="e">
        <f>AND(tecantrop!M593,"AAAAAHv37Yw=")</f>
        <v>#VALUE!</v>
      </c>
      <c r="EL165" t="e">
        <f>AND(tecantrop!N593,"AAAAAHv37Y0=")</f>
        <v>#VALUE!</v>
      </c>
      <c r="EM165" t="e">
        <f>AND(tecantrop!O593,"AAAAAHv37Y4=")</f>
        <v>#VALUE!</v>
      </c>
      <c r="EN165" t="e">
        <f>AND(tecantrop!P593,"AAAAAHv37Y8=")</f>
        <v>#VALUE!</v>
      </c>
      <c r="EO165" t="e">
        <f>AND(tecantrop!Q593,"AAAAAHv37ZA=")</f>
        <v>#VALUE!</v>
      </c>
      <c r="EP165" t="e">
        <f>AND(tecantrop!R593,"AAAAAHv37ZE=")</f>
        <v>#VALUE!</v>
      </c>
      <c r="EQ165" t="e">
        <f>AND(tecantrop!S593,"AAAAAHv37ZI=")</f>
        <v>#VALUE!</v>
      </c>
      <c r="ER165" t="e">
        <f>AND(tecantrop!T593,"AAAAAHv37ZM=")</f>
        <v>#VALUE!</v>
      </c>
      <c r="ES165" t="e">
        <f>AND(tecantrop!U593,"AAAAAHv37ZQ=")</f>
        <v>#VALUE!</v>
      </c>
      <c r="ET165" t="e">
        <f>AND(tecantrop!V593,"AAAAAHv37ZU=")</f>
        <v>#VALUE!</v>
      </c>
      <c r="EU165" t="e">
        <f>AND(tecantrop!W593,"AAAAAHv37ZY=")</f>
        <v>#VALUE!</v>
      </c>
      <c r="EV165" t="e">
        <f>AND(tecantrop!X593,"AAAAAHv37Zc=")</f>
        <v>#VALUE!</v>
      </c>
      <c r="EW165">
        <f>IF(tecantrop!594:594,"AAAAAHv37Zg=",0)</f>
        <v>0</v>
      </c>
      <c r="EX165" t="e">
        <f>AND(tecantrop!A594,"AAAAAHv37Zk=")</f>
        <v>#VALUE!</v>
      </c>
      <c r="EY165" t="e">
        <f>AND(tecantrop!B594,"AAAAAHv37Zo=")</f>
        <v>#VALUE!</v>
      </c>
      <c r="EZ165" t="e">
        <f>AND(tecantrop!C594,"AAAAAHv37Zs=")</f>
        <v>#VALUE!</v>
      </c>
      <c r="FA165" t="e">
        <f>AND(tecantrop!D594,"AAAAAHv37Zw=")</f>
        <v>#VALUE!</v>
      </c>
      <c r="FB165" t="e">
        <f>AND(tecantrop!E594,"AAAAAHv37Z0=")</f>
        <v>#VALUE!</v>
      </c>
      <c r="FC165" t="e">
        <f>AND(tecantrop!F594,"AAAAAHv37Z4=")</f>
        <v>#VALUE!</v>
      </c>
      <c r="FD165" t="e">
        <f>AND(tecantrop!G594,"AAAAAHv37Z8=")</f>
        <v>#VALUE!</v>
      </c>
      <c r="FE165" t="e">
        <f>AND(tecantrop!H594,"AAAAAHv37aA=")</f>
        <v>#VALUE!</v>
      </c>
      <c r="FF165" t="e">
        <f>AND(tecantrop!I594,"AAAAAHv37aE=")</f>
        <v>#VALUE!</v>
      </c>
      <c r="FG165" t="e">
        <f>AND(tecantrop!J594,"AAAAAHv37aI=")</f>
        <v>#VALUE!</v>
      </c>
      <c r="FH165" t="e">
        <f>AND(tecantrop!K594,"AAAAAHv37aM=")</f>
        <v>#VALUE!</v>
      </c>
      <c r="FI165" t="e">
        <f>AND(tecantrop!L594,"AAAAAHv37aQ=")</f>
        <v>#VALUE!</v>
      </c>
      <c r="FJ165" t="e">
        <f>AND(tecantrop!M594,"AAAAAHv37aU=")</f>
        <v>#VALUE!</v>
      </c>
      <c r="FK165" t="e">
        <f>AND(tecantrop!N594,"AAAAAHv37aY=")</f>
        <v>#VALUE!</v>
      </c>
      <c r="FL165" t="e">
        <f>AND(tecantrop!O594,"AAAAAHv37ac=")</f>
        <v>#VALUE!</v>
      </c>
      <c r="FM165" t="e">
        <f>AND(tecantrop!P594,"AAAAAHv37ag=")</f>
        <v>#VALUE!</v>
      </c>
      <c r="FN165" t="e">
        <f>AND(tecantrop!Q594,"AAAAAHv37ak=")</f>
        <v>#VALUE!</v>
      </c>
      <c r="FO165" t="e">
        <f>AND(tecantrop!R594,"AAAAAHv37ao=")</f>
        <v>#VALUE!</v>
      </c>
      <c r="FP165" t="e">
        <f>AND(tecantrop!S594,"AAAAAHv37as=")</f>
        <v>#VALUE!</v>
      </c>
      <c r="FQ165" t="e">
        <f>AND(tecantrop!T594,"AAAAAHv37aw=")</f>
        <v>#VALUE!</v>
      </c>
      <c r="FR165" t="e">
        <f>AND(tecantrop!U594,"AAAAAHv37a0=")</f>
        <v>#VALUE!</v>
      </c>
      <c r="FS165" t="e">
        <f>AND(tecantrop!V594,"AAAAAHv37a4=")</f>
        <v>#VALUE!</v>
      </c>
      <c r="FT165" t="e">
        <f>AND(tecantrop!W594,"AAAAAHv37a8=")</f>
        <v>#VALUE!</v>
      </c>
      <c r="FU165" t="e">
        <f>AND(tecantrop!X594,"AAAAAHv37bA=")</f>
        <v>#VALUE!</v>
      </c>
      <c r="FV165">
        <f>IF(tecantrop!595:595,"AAAAAHv37bE=",0)</f>
        <v>0</v>
      </c>
      <c r="FW165" t="e">
        <f>AND(tecantrop!A595,"AAAAAHv37bI=")</f>
        <v>#VALUE!</v>
      </c>
      <c r="FX165" t="e">
        <f>AND(tecantrop!B595,"AAAAAHv37bM=")</f>
        <v>#VALUE!</v>
      </c>
      <c r="FY165" t="e">
        <f>AND(tecantrop!C595,"AAAAAHv37bQ=")</f>
        <v>#VALUE!</v>
      </c>
      <c r="FZ165" t="e">
        <f>AND(tecantrop!D595,"AAAAAHv37bU=")</f>
        <v>#VALUE!</v>
      </c>
      <c r="GA165" t="e">
        <f>AND(tecantrop!E595,"AAAAAHv37bY=")</f>
        <v>#VALUE!</v>
      </c>
      <c r="GB165" t="e">
        <f>AND(tecantrop!F595,"AAAAAHv37bc=")</f>
        <v>#VALUE!</v>
      </c>
      <c r="GC165" t="e">
        <f>AND(tecantrop!G595,"AAAAAHv37bg=")</f>
        <v>#VALUE!</v>
      </c>
      <c r="GD165" t="e">
        <f>AND(tecantrop!H595,"AAAAAHv37bk=")</f>
        <v>#VALUE!</v>
      </c>
      <c r="GE165" t="e">
        <f>AND(tecantrop!I595,"AAAAAHv37bo=")</f>
        <v>#VALUE!</v>
      </c>
      <c r="GF165" t="e">
        <f>AND(tecantrop!J595,"AAAAAHv37bs=")</f>
        <v>#VALUE!</v>
      </c>
      <c r="GG165" t="e">
        <f>AND(tecantrop!K595,"AAAAAHv37bw=")</f>
        <v>#VALUE!</v>
      </c>
      <c r="GH165" t="e">
        <f>AND(tecantrop!L595,"AAAAAHv37b0=")</f>
        <v>#VALUE!</v>
      </c>
      <c r="GI165" t="e">
        <f>AND(tecantrop!M595,"AAAAAHv37b4=")</f>
        <v>#VALUE!</v>
      </c>
      <c r="GJ165" t="e">
        <f>AND(tecantrop!N595,"AAAAAHv37b8=")</f>
        <v>#VALUE!</v>
      </c>
      <c r="GK165" t="e">
        <f>AND(tecantrop!O595,"AAAAAHv37cA=")</f>
        <v>#VALUE!</v>
      </c>
      <c r="GL165" t="e">
        <f>AND(tecantrop!P595,"AAAAAHv37cE=")</f>
        <v>#VALUE!</v>
      </c>
      <c r="GM165" t="e">
        <f>AND(tecantrop!Q595,"AAAAAHv37cI=")</f>
        <v>#VALUE!</v>
      </c>
      <c r="GN165" t="e">
        <f>AND(tecantrop!R595,"AAAAAHv37cM=")</f>
        <v>#VALUE!</v>
      </c>
      <c r="GO165" t="e">
        <f>AND(tecantrop!S595,"AAAAAHv37cQ=")</f>
        <v>#VALUE!</v>
      </c>
      <c r="GP165" t="e">
        <f>AND(tecantrop!T595,"AAAAAHv37cU=")</f>
        <v>#VALUE!</v>
      </c>
      <c r="GQ165" t="e">
        <f>AND(tecantrop!U595,"AAAAAHv37cY=")</f>
        <v>#VALUE!</v>
      </c>
      <c r="GR165" t="e">
        <f>AND(tecantrop!V595,"AAAAAHv37cc=")</f>
        <v>#VALUE!</v>
      </c>
      <c r="GS165" t="e">
        <f>AND(tecantrop!W595,"AAAAAHv37cg=")</f>
        <v>#VALUE!</v>
      </c>
      <c r="GT165" t="e">
        <f>AND(tecantrop!X595,"AAAAAHv37ck=")</f>
        <v>#VALUE!</v>
      </c>
      <c r="GU165">
        <f>IF(tecantrop!596:596,"AAAAAHv37co=",0)</f>
        <v>0</v>
      </c>
      <c r="GV165" t="e">
        <f>AND(tecantrop!A596,"AAAAAHv37cs=")</f>
        <v>#VALUE!</v>
      </c>
      <c r="GW165" t="e">
        <f>AND(tecantrop!B596,"AAAAAHv37cw=")</f>
        <v>#VALUE!</v>
      </c>
      <c r="GX165" t="e">
        <f>AND(tecantrop!C596,"AAAAAHv37c0=")</f>
        <v>#VALUE!</v>
      </c>
      <c r="GY165" t="e">
        <f>AND(tecantrop!D596,"AAAAAHv37c4=")</f>
        <v>#VALUE!</v>
      </c>
      <c r="GZ165" t="e">
        <f>AND(tecantrop!E596,"AAAAAHv37c8=")</f>
        <v>#VALUE!</v>
      </c>
      <c r="HA165" t="e">
        <f>AND(tecantrop!F596,"AAAAAHv37dA=")</f>
        <v>#VALUE!</v>
      </c>
      <c r="HB165" t="e">
        <f>AND(tecantrop!G596,"AAAAAHv37dE=")</f>
        <v>#VALUE!</v>
      </c>
      <c r="HC165" t="e">
        <f>AND(tecantrop!H596,"AAAAAHv37dI=")</f>
        <v>#VALUE!</v>
      </c>
      <c r="HD165" t="e">
        <f>AND(tecantrop!I596,"AAAAAHv37dM=")</f>
        <v>#VALUE!</v>
      </c>
      <c r="HE165" t="e">
        <f>AND(tecantrop!J596,"AAAAAHv37dQ=")</f>
        <v>#VALUE!</v>
      </c>
      <c r="HF165" t="e">
        <f>AND(tecantrop!K596,"AAAAAHv37dU=")</f>
        <v>#VALUE!</v>
      </c>
      <c r="HG165" t="e">
        <f>AND(tecantrop!L596,"AAAAAHv37dY=")</f>
        <v>#VALUE!</v>
      </c>
      <c r="HH165" t="e">
        <f>AND(tecantrop!M596,"AAAAAHv37dc=")</f>
        <v>#VALUE!</v>
      </c>
      <c r="HI165" t="e">
        <f>AND(tecantrop!N596,"AAAAAHv37dg=")</f>
        <v>#VALUE!</v>
      </c>
      <c r="HJ165" t="e">
        <f>AND(tecantrop!O596,"AAAAAHv37dk=")</f>
        <v>#VALUE!</v>
      </c>
      <c r="HK165" t="e">
        <f>AND(tecantrop!P596,"AAAAAHv37do=")</f>
        <v>#VALUE!</v>
      </c>
      <c r="HL165" t="e">
        <f>AND(tecantrop!Q596,"AAAAAHv37ds=")</f>
        <v>#VALUE!</v>
      </c>
      <c r="HM165" t="e">
        <f>AND(tecantrop!R596,"AAAAAHv37dw=")</f>
        <v>#VALUE!</v>
      </c>
      <c r="HN165" t="e">
        <f>AND(tecantrop!S596,"AAAAAHv37d0=")</f>
        <v>#VALUE!</v>
      </c>
      <c r="HO165" t="e">
        <f>AND(tecantrop!T596,"AAAAAHv37d4=")</f>
        <v>#VALUE!</v>
      </c>
      <c r="HP165" t="e">
        <f>AND(tecantrop!U596,"AAAAAHv37d8=")</f>
        <v>#VALUE!</v>
      </c>
      <c r="HQ165" t="e">
        <f>AND(tecantrop!V596,"AAAAAHv37eA=")</f>
        <v>#VALUE!</v>
      </c>
      <c r="HR165" t="e">
        <f>AND(tecantrop!W596,"AAAAAHv37eE=")</f>
        <v>#VALUE!</v>
      </c>
      <c r="HS165" t="e">
        <f>AND(tecantrop!X596,"AAAAAHv37eI=")</f>
        <v>#VALUE!</v>
      </c>
      <c r="HT165">
        <f>IF(tecantrop!597:597,"AAAAAHv37eM=",0)</f>
        <v>0</v>
      </c>
      <c r="HU165" t="e">
        <f>AND(tecantrop!A597,"AAAAAHv37eQ=")</f>
        <v>#VALUE!</v>
      </c>
      <c r="HV165" t="e">
        <f>AND(tecantrop!B597,"AAAAAHv37eU=")</f>
        <v>#VALUE!</v>
      </c>
      <c r="HW165" t="e">
        <f>AND(tecantrop!C597,"AAAAAHv37eY=")</f>
        <v>#VALUE!</v>
      </c>
      <c r="HX165" t="e">
        <f>AND(tecantrop!D597,"AAAAAHv37ec=")</f>
        <v>#VALUE!</v>
      </c>
      <c r="HY165" t="e">
        <f>AND(tecantrop!E597,"AAAAAHv37eg=")</f>
        <v>#VALUE!</v>
      </c>
      <c r="HZ165" t="e">
        <f>AND(tecantrop!F597,"AAAAAHv37ek=")</f>
        <v>#VALUE!</v>
      </c>
      <c r="IA165" t="e">
        <f>AND(tecantrop!G597,"AAAAAHv37eo=")</f>
        <v>#VALUE!</v>
      </c>
      <c r="IB165" t="e">
        <f>AND(tecantrop!H597,"AAAAAHv37es=")</f>
        <v>#VALUE!</v>
      </c>
      <c r="IC165" t="e">
        <f>AND(tecantrop!I597,"AAAAAHv37ew=")</f>
        <v>#VALUE!</v>
      </c>
      <c r="ID165" t="e">
        <f>AND(tecantrop!J597,"AAAAAHv37e0=")</f>
        <v>#VALUE!</v>
      </c>
      <c r="IE165" t="e">
        <f>AND(tecantrop!K597,"AAAAAHv37e4=")</f>
        <v>#VALUE!</v>
      </c>
      <c r="IF165" t="e">
        <f>AND(tecantrop!L597,"AAAAAHv37e8=")</f>
        <v>#VALUE!</v>
      </c>
      <c r="IG165" t="e">
        <f>AND(tecantrop!M597,"AAAAAHv37fA=")</f>
        <v>#VALUE!</v>
      </c>
      <c r="IH165" t="e">
        <f>AND(tecantrop!N597,"AAAAAHv37fE=")</f>
        <v>#VALUE!</v>
      </c>
      <c r="II165" t="e">
        <f>AND(tecantrop!O597,"AAAAAHv37fI=")</f>
        <v>#VALUE!</v>
      </c>
      <c r="IJ165" t="e">
        <f>AND(tecantrop!P597,"AAAAAHv37fM=")</f>
        <v>#VALUE!</v>
      </c>
      <c r="IK165" t="e">
        <f>AND(tecantrop!Q597,"AAAAAHv37fQ=")</f>
        <v>#VALUE!</v>
      </c>
      <c r="IL165" t="e">
        <f>AND(tecantrop!R597,"AAAAAHv37fU=")</f>
        <v>#VALUE!</v>
      </c>
      <c r="IM165" t="e">
        <f>AND(tecantrop!S597,"AAAAAHv37fY=")</f>
        <v>#VALUE!</v>
      </c>
      <c r="IN165" t="e">
        <f>AND(tecantrop!T597,"AAAAAHv37fc=")</f>
        <v>#VALUE!</v>
      </c>
      <c r="IO165" t="e">
        <f>AND(tecantrop!U597,"AAAAAHv37fg=")</f>
        <v>#VALUE!</v>
      </c>
      <c r="IP165" t="e">
        <f>AND(tecantrop!V597,"AAAAAHv37fk=")</f>
        <v>#VALUE!</v>
      </c>
      <c r="IQ165" t="e">
        <f>AND(tecantrop!W597,"AAAAAHv37fo=")</f>
        <v>#VALUE!</v>
      </c>
      <c r="IR165" t="e">
        <f>AND(tecantrop!X597,"AAAAAHv37fs=")</f>
        <v>#VALUE!</v>
      </c>
      <c r="IS165">
        <f>IF(tecantrop!598:598,"AAAAAHv37fw=",0)</f>
        <v>0</v>
      </c>
      <c r="IT165" t="e">
        <f>AND(tecantrop!A598,"AAAAAHv37f0=")</f>
        <v>#VALUE!</v>
      </c>
      <c r="IU165" t="e">
        <f>AND(tecantrop!B598,"AAAAAHv37f4=")</f>
        <v>#VALUE!</v>
      </c>
      <c r="IV165" t="e">
        <f>AND(tecantrop!C598,"AAAAAHv37f8=")</f>
        <v>#VALUE!</v>
      </c>
    </row>
    <row r="166" spans="1:256" x14ac:dyDescent="0.2">
      <c r="A166" t="e">
        <f>AND(tecantrop!D598,"AAAAAH89fgA=")</f>
        <v>#VALUE!</v>
      </c>
      <c r="B166" t="e">
        <f>AND(tecantrop!E598,"AAAAAH89fgE=")</f>
        <v>#VALUE!</v>
      </c>
      <c r="C166" t="e">
        <f>AND(tecantrop!F598,"AAAAAH89fgI=")</f>
        <v>#VALUE!</v>
      </c>
      <c r="D166" t="e">
        <f>AND(tecantrop!G598,"AAAAAH89fgM=")</f>
        <v>#VALUE!</v>
      </c>
      <c r="E166" t="e">
        <f>AND(tecantrop!H598,"AAAAAH89fgQ=")</f>
        <v>#VALUE!</v>
      </c>
      <c r="F166" t="e">
        <f>AND(tecantrop!I598,"AAAAAH89fgU=")</f>
        <v>#VALUE!</v>
      </c>
      <c r="G166" t="e">
        <f>AND(tecantrop!J598,"AAAAAH89fgY=")</f>
        <v>#VALUE!</v>
      </c>
      <c r="H166" t="e">
        <f>AND(tecantrop!K598,"AAAAAH89fgc=")</f>
        <v>#VALUE!</v>
      </c>
      <c r="I166" t="e">
        <f>AND(tecantrop!L598,"AAAAAH89fgg=")</f>
        <v>#VALUE!</v>
      </c>
      <c r="J166" t="e">
        <f>AND(tecantrop!M598,"AAAAAH89fgk=")</f>
        <v>#VALUE!</v>
      </c>
      <c r="K166" t="e">
        <f>AND(tecantrop!N598,"AAAAAH89fgo=")</f>
        <v>#VALUE!</v>
      </c>
      <c r="L166" t="e">
        <f>AND(tecantrop!O598,"AAAAAH89fgs=")</f>
        <v>#VALUE!</v>
      </c>
      <c r="M166" t="e">
        <f>AND(tecantrop!P598,"AAAAAH89fgw=")</f>
        <v>#VALUE!</v>
      </c>
      <c r="N166" t="e">
        <f>AND(tecantrop!Q598,"AAAAAH89fg0=")</f>
        <v>#VALUE!</v>
      </c>
      <c r="O166" t="e">
        <f>AND(tecantrop!R598,"AAAAAH89fg4=")</f>
        <v>#VALUE!</v>
      </c>
      <c r="P166" t="e">
        <f>AND(tecantrop!S598,"AAAAAH89fg8=")</f>
        <v>#VALUE!</v>
      </c>
      <c r="Q166" t="e">
        <f>AND(tecantrop!T598,"AAAAAH89fhA=")</f>
        <v>#VALUE!</v>
      </c>
      <c r="R166" t="e">
        <f>AND(tecantrop!U598,"AAAAAH89fhE=")</f>
        <v>#VALUE!</v>
      </c>
      <c r="S166" t="e">
        <f>AND(tecantrop!V598,"AAAAAH89fhI=")</f>
        <v>#VALUE!</v>
      </c>
      <c r="T166" t="e">
        <f>AND(tecantrop!W598,"AAAAAH89fhM=")</f>
        <v>#VALUE!</v>
      </c>
      <c r="U166" t="e">
        <f>AND(tecantrop!X598,"AAAAAH89fhQ=")</f>
        <v>#VALUE!</v>
      </c>
      <c r="V166">
        <f>IF(tecantrop!599:599,"AAAAAH89fhU=",0)</f>
        <v>0</v>
      </c>
      <c r="W166" t="e">
        <f>AND(tecantrop!A599,"AAAAAH89fhY=")</f>
        <v>#VALUE!</v>
      </c>
      <c r="X166" t="e">
        <f>AND(tecantrop!B599,"AAAAAH89fhc=")</f>
        <v>#VALUE!</v>
      </c>
      <c r="Y166" t="e">
        <f>AND(tecantrop!C599,"AAAAAH89fhg=")</f>
        <v>#VALUE!</v>
      </c>
      <c r="Z166" t="e">
        <f>AND(tecantrop!D599,"AAAAAH89fhk=")</f>
        <v>#VALUE!</v>
      </c>
      <c r="AA166" t="e">
        <f>AND(tecantrop!E599,"AAAAAH89fho=")</f>
        <v>#VALUE!</v>
      </c>
      <c r="AB166" t="e">
        <f>AND(tecantrop!F599,"AAAAAH89fhs=")</f>
        <v>#VALUE!</v>
      </c>
      <c r="AC166" t="e">
        <f>AND(tecantrop!G599,"AAAAAH89fhw=")</f>
        <v>#VALUE!</v>
      </c>
      <c r="AD166" t="e">
        <f>AND(tecantrop!H599,"AAAAAH89fh0=")</f>
        <v>#VALUE!</v>
      </c>
      <c r="AE166" t="e">
        <f>AND(tecantrop!I599,"AAAAAH89fh4=")</f>
        <v>#VALUE!</v>
      </c>
      <c r="AF166" t="e">
        <f>AND(tecantrop!J599,"AAAAAH89fh8=")</f>
        <v>#VALUE!</v>
      </c>
      <c r="AG166" t="e">
        <f>AND(tecantrop!K599,"AAAAAH89fiA=")</f>
        <v>#VALUE!</v>
      </c>
      <c r="AH166" t="e">
        <f>AND(tecantrop!L599,"AAAAAH89fiE=")</f>
        <v>#VALUE!</v>
      </c>
      <c r="AI166" t="e">
        <f>AND(tecantrop!M599,"AAAAAH89fiI=")</f>
        <v>#VALUE!</v>
      </c>
      <c r="AJ166" t="e">
        <f>AND(tecantrop!N599,"AAAAAH89fiM=")</f>
        <v>#VALUE!</v>
      </c>
      <c r="AK166" t="e">
        <f>AND(tecantrop!O599,"AAAAAH89fiQ=")</f>
        <v>#VALUE!</v>
      </c>
      <c r="AL166" t="e">
        <f>AND(tecantrop!P599,"AAAAAH89fiU=")</f>
        <v>#VALUE!</v>
      </c>
      <c r="AM166" t="e">
        <f>AND(tecantrop!Q599,"AAAAAH89fiY=")</f>
        <v>#VALUE!</v>
      </c>
      <c r="AN166" t="e">
        <f>AND(tecantrop!R599,"AAAAAH89fic=")</f>
        <v>#VALUE!</v>
      </c>
      <c r="AO166" t="e">
        <f>AND(tecantrop!S599,"AAAAAH89fig=")</f>
        <v>#VALUE!</v>
      </c>
      <c r="AP166" t="e">
        <f>AND(tecantrop!T599,"AAAAAH89fik=")</f>
        <v>#VALUE!</v>
      </c>
      <c r="AQ166" t="e">
        <f>AND(tecantrop!U599,"AAAAAH89fio=")</f>
        <v>#VALUE!</v>
      </c>
      <c r="AR166" t="e">
        <f>AND(tecantrop!V599,"AAAAAH89fis=")</f>
        <v>#VALUE!</v>
      </c>
      <c r="AS166" t="e">
        <f>AND(tecantrop!W599,"AAAAAH89fiw=")</f>
        <v>#VALUE!</v>
      </c>
      <c r="AT166" t="e">
        <f>AND(tecantrop!X599,"AAAAAH89fi0=")</f>
        <v>#VALUE!</v>
      </c>
      <c r="AU166">
        <f>IF(tecantrop!600:600,"AAAAAH89fi4=",0)</f>
        <v>0</v>
      </c>
      <c r="AV166" t="e">
        <f>AND(tecantrop!A600,"AAAAAH89fi8=")</f>
        <v>#VALUE!</v>
      </c>
      <c r="AW166" t="e">
        <f>AND(tecantrop!B600,"AAAAAH89fjA=")</f>
        <v>#VALUE!</v>
      </c>
      <c r="AX166" t="e">
        <f>AND(tecantrop!C600,"AAAAAH89fjE=")</f>
        <v>#VALUE!</v>
      </c>
      <c r="AY166" t="e">
        <f>AND(tecantrop!D600,"AAAAAH89fjI=")</f>
        <v>#VALUE!</v>
      </c>
      <c r="AZ166" t="e">
        <f>AND(tecantrop!E600,"AAAAAH89fjM=")</f>
        <v>#VALUE!</v>
      </c>
      <c r="BA166" t="e">
        <f>AND(tecantrop!F600,"AAAAAH89fjQ=")</f>
        <v>#VALUE!</v>
      </c>
      <c r="BB166" t="e">
        <f>AND(tecantrop!G600,"AAAAAH89fjU=")</f>
        <v>#VALUE!</v>
      </c>
      <c r="BC166" t="e">
        <f>AND(tecantrop!H600,"AAAAAH89fjY=")</f>
        <v>#VALUE!</v>
      </c>
      <c r="BD166" t="e">
        <f>AND(tecantrop!I600,"AAAAAH89fjc=")</f>
        <v>#VALUE!</v>
      </c>
      <c r="BE166" t="e">
        <f>AND(tecantrop!J600,"AAAAAH89fjg=")</f>
        <v>#VALUE!</v>
      </c>
      <c r="BF166" t="e">
        <f>AND(tecantrop!K600,"AAAAAH89fjk=")</f>
        <v>#VALUE!</v>
      </c>
      <c r="BG166" t="e">
        <f>AND(tecantrop!L600,"AAAAAH89fjo=")</f>
        <v>#VALUE!</v>
      </c>
      <c r="BH166" t="e">
        <f>AND(tecantrop!M600,"AAAAAH89fjs=")</f>
        <v>#VALUE!</v>
      </c>
      <c r="BI166" t="e">
        <f>AND(tecantrop!N600,"AAAAAH89fjw=")</f>
        <v>#VALUE!</v>
      </c>
      <c r="BJ166" t="e">
        <f>AND(tecantrop!O600,"AAAAAH89fj0=")</f>
        <v>#VALUE!</v>
      </c>
      <c r="BK166" t="e">
        <f>AND(tecantrop!P600,"AAAAAH89fj4=")</f>
        <v>#VALUE!</v>
      </c>
      <c r="BL166" t="e">
        <f>AND(tecantrop!Q600,"AAAAAH89fj8=")</f>
        <v>#VALUE!</v>
      </c>
      <c r="BM166" t="e">
        <f>AND(tecantrop!R600,"AAAAAH89fkA=")</f>
        <v>#VALUE!</v>
      </c>
      <c r="BN166" t="e">
        <f>AND(tecantrop!S600,"AAAAAH89fkE=")</f>
        <v>#VALUE!</v>
      </c>
      <c r="BO166" t="e">
        <f>AND(tecantrop!T600,"AAAAAH89fkI=")</f>
        <v>#VALUE!</v>
      </c>
      <c r="BP166" t="e">
        <f>AND(tecantrop!U600,"AAAAAH89fkM=")</f>
        <v>#VALUE!</v>
      </c>
      <c r="BQ166" t="e">
        <f>AND(tecantrop!V600,"AAAAAH89fkQ=")</f>
        <v>#VALUE!</v>
      </c>
      <c r="BR166" t="e">
        <f>AND(tecantrop!W600,"AAAAAH89fkU=")</f>
        <v>#VALUE!</v>
      </c>
      <c r="BS166" t="e">
        <f>AND(tecantrop!X600,"AAAAAH89fkY=")</f>
        <v>#VALUE!</v>
      </c>
      <c r="BT166">
        <f>IF(tecantrop!601:601,"AAAAAH89fkc=",0)</f>
        <v>0</v>
      </c>
      <c r="BU166" t="e">
        <f>AND(tecantrop!A601,"AAAAAH89fkg=")</f>
        <v>#VALUE!</v>
      </c>
      <c r="BV166" t="e">
        <f>AND(tecantrop!B601,"AAAAAH89fkk=")</f>
        <v>#VALUE!</v>
      </c>
      <c r="BW166" t="e">
        <f>AND(tecantrop!C601,"AAAAAH89fko=")</f>
        <v>#VALUE!</v>
      </c>
      <c r="BX166" t="e">
        <f>AND(tecantrop!D601,"AAAAAH89fks=")</f>
        <v>#VALUE!</v>
      </c>
      <c r="BY166" t="e">
        <f>AND(tecantrop!E601,"AAAAAH89fkw=")</f>
        <v>#VALUE!</v>
      </c>
      <c r="BZ166" t="e">
        <f>AND(tecantrop!F601,"AAAAAH89fk0=")</f>
        <v>#VALUE!</v>
      </c>
      <c r="CA166" t="e">
        <f>AND(tecantrop!G601,"AAAAAH89fk4=")</f>
        <v>#VALUE!</v>
      </c>
      <c r="CB166" t="e">
        <f>AND(tecantrop!H601,"AAAAAH89fk8=")</f>
        <v>#VALUE!</v>
      </c>
      <c r="CC166" t="e">
        <f>AND(tecantrop!I601,"AAAAAH89flA=")</f>
        <v>#VALUE!</v>
      </c>
      <c r="CD166" t="e">
        <f>AND(tecantrop!J601,"AAAAAH89flE=")</f>
        <v>#VALUE!</v>
      </c>
      <c r="CE166" t="e">
        <f>AND(tecantrop!K601,"AAAAAH89flI=")</f>
        <v>#VALUE!</v>
      </c>
      <c r="CF166" t="e">
        <f>AND(tecantrop!L601,"AAAAAH89flM=")</f>
        <v>#VALUE!</v>
      </c>
      <c r="CG166" t="e">
        <f>AND(tecantrop!M601,"AAAAAH89flQ=")</f>
        <v>#VALUE!</v>
      </c>
      <c r="CH166" t="e">
        <f>AND(tecantrop!N601,"AAAAAH89flU=")</f>
        <v>#VALUE!</v>
      </c>
      <c r="CI166" t="e">
        <f>AND(tecantrop!O601,"AAAAAH89flY=")</f>
        <v>#VALUE!</v>
      </c>
      <c r="CJ166" t="e">
        <f>AND(tecantrop!P601,"AAAAAH89flc=")</f>
        <v>#VALUE!</v>
      </c>
      <c r="CK166" t="e">
        <f>AND(tecantrop!Q601,"AAAAAH89flg=")</f>
        <v>#VALUE!</v>
      </c>
      <c r="CL166" t="e">
        <f>AND(tecantrop!R601,"AAAAAH89flk=")</f>
        <v>#VALUE!</v>
      </c>
      <c r="CM166" t="e">
        <f>AND(tecantrop!S601,"AAAAAH89flo=")</f>
        <v>#VALUE!</v>
      </c>
      <c r="CN166" t="e">
        <f>AND(tecantrop!T601,"AAAAAH89fls=")</f>
        <v>#VALUE!</v>
      </c>
      <c r="CO166" t="e">
        <f>AND(tecantrop!U601,"AAAAAH89flw=")</f>
        <v>#VALUE!</v>
      </c>
      <c r="CP166" t="e">
        <f>AND(tecantrop!V601,"AAAAAH89fl0=")</f>
        <v>#VALUE!</v>
      </c>
      <c r="CQ166" t="e">
        <f>AND(tecantrop!W601,"AAAAAH89fl4=")</f>
        <v>#VALUE!</v>
      </c>
      <c r="CR166" t="e">
        <f>AND(tecantrop!X601,"AAAAAH89fl8=")</f>
        <v>#VALUE!</v>
      </c>
      <c r="CS166">
        <f>IF(tecantrop!602:602,"AAAAAH89fmA=",0)</f>
        <v>0</v>
      </c>
      <c r="CT166" t="e">
        <f>AND(tecantrop!A602,"AAAAAH89fmE=")</f>
        <v>#VALUE!</v>
      </c>
      <c r="CU166" t="e">
        <f>AND(tecantrop!B602,"AAAAAH89fmI=")</f>
        <v>#VALUE!</v>
      </c>
      <c r="CV166" t="e">
        <f>AND(tecantrop!C602,"AAAAAH89fmM=")</f>
        <v>#VALUE!</v>
      </c>
      <c r="CW166" t="e">
        <f>AND(tecantrop!D602,"AAAAAH89fmQ=")</f>
        <v>#VALUE!</v>
      </c>
      <c r="CX166" t="e">
        <f>AND(tecantrop!E602,"AAAAAH89fmU=")</f>
        <v>#VALUE!</v>
      </c>
      <c r="CY166" t="e">
        <f>AND(tecantrop!F602,"AAAAAH89fmY=")</f>
        <v>#VALUE!</v>
      </c>
      <c r="CZ166" t="e">
        <f>AND(tecantrop!G602,"AAAAAH89fmc=")</f>
        <v>#VALUE!</v>
      </c>
      <c r="DA166" t="e">
        <f>AND(tecantrop!H602,"AAAAAH89fmg=")</f>
        <v>#VALUE!</v>
      </c>
      <c r="DB166" t="e">
        <f>AND(tecantrop!I602,"AAAAAH89fmk=")</f>
        <v>#VALUE!</v>
      </c>
      <c r="DC166" t="e">
        <f>AND(tecantrop!J602,"AAAAAH89fmo=")</f>
        <v>#VALUE!</v>
      </c>
      <c r="DD166" t="e">
        <f>AND(tecantrop!K602,"AAAAAH89fms=")</f>
        <v>#VALUE!</v>
      </c>
      <c r="DE166" t="e">
        <f>AND(tecantrop!L602,"AAAAAH89fmw=")</f>
        <v>#VALUE!</v>
      </c>
      <c r="DF166" t="e">
        <f>AND(tecantrop!M602,"AAAAAH89fm0=")</f>
        <v>#VALUE!</v>
      </c>
      <c r="DG166" t="e">
        <f>AND(tecantrop!N602,"AAAAAH89fm4=")</f>
        <v>#VALUE!</v>
      </c>
      <c r="DH166" t="e">
        <f>AND(tecantrop!O602,"AAAAAH89fm8=")</f>
        <v>#VALUE!</v>
      </c>
      <c r="DI166" t="e">
        <f>AND(tecantrop!P602,"AAAAAH89fnA=")</f>
        <v>#VALUE!</v>
      </c>
      <c r="DJ166" t="e">
        <f>AND(tecantrop!Q602,"AAAAAH89fnE=")</f>
        <v>#VALUE!</v>
      </c>
      <c r="DK166" t="e">
        <f>AND(tecantrop!R602,"AAAAAH89fnI=")</f>
        <v>#VALUE!</v>
      </c>
      <c r="DL166" t="e">
        <f>AND(tecantrop!S602,"AAAAAH89fnM=")</f>
        <v>#VALUE!</v>
      </c>
      <c r="DM166" t="e">
        <f>AND(tecantrop!T602,"AAAAAH89fnQ=")</f>
        <v>#VALUE!</v>
      </c>
      <c r="DN166" t="e">
        <f>AND(tecantrop!U602,"AAAAAH89fnU=")</f>
        <v>#VALUE!</v>
      </c>
      <c r="DO166" t="e">
        <f>AND(tecantrop!V602,"AAAAAH89fnY=")</f>
        <v>#VALUE!</v>
      </c>
      <c r="DP166" t="e">
        <f>AND(tecantrop!W602,"AAAAAH89fnc=")</f>
        <v>#VALUE!</v>
      </c>
      <c r="DQ166" t="e">
        <f>AND(tecantrop!X602,"AAAAAH89fng=")</f>
        <v>#VALUE!</v>
      </c>
      <c r="DR166">
        <f>IF(tecantrop!603:603,"AAAAAH89fnk=",0)</f>
        <v>0</v>
      </c>
      <c r="DS166" t="e">
        <f>AND(tecantrop!A603,"AAAAAH89fno=")</f>
        <v>#VALUE!</v>
      </c>
      <c r="DT166" t="e">
        <f>AND(tecantrop!B603,"AAAAAH89fns=")</f>
        <v>#VALUE!</v>
      </c>
      <c r="DU166" t="e">
        <f>AND(tecantrop!C603,"AAAAAH89fnw=")</f>
        <v>#VALUE!</v>
      </c>
      <c r="DV166" t="e">
        <f>AND(tecantrop!D603,"AAAAAH89fn0=")</f>
        <v>#VALUE!</v>
      </c>
      <c r="DW166" t="e">
        <f>AND(tecantrop!E603,"AAAAAH89fn4=")</f>
        <v>#VALUE!</v>
      </c>
      <c r="DX166" t="e">
        <f>AND(tecantrop!F603,"AAAAAH89fn8=")</f>
        <v>#VALUE!</v>
      </c>
      <c r="DY166" t="e">
        <f>AND(tecantrop!G603,"AAAAAH89foA=")</f>
        <v>#VALUE!</v>
      </c>
      <c r="DZ166" t="e">
        <f>AND(tecantrop!H603,"AAAAAH89foE=")</f>
        <v>#VALUE!</v>
      </c>
      <c r="EA166" t="e">
        <f>AND(tecantrop!I603,"AAAAAH89foI=")</f>
        <v>#VALUE!</v>
      </c>
      <c r="EB166" t="e">
        <f>AND(tecantrop!J603,"AAAAAH89foM=")</f>
        <v>#VALUE!</v>
      </c>
      <c r="EC166" t="e">
        <f>AND(tecantrop!K603,"AAAAAH89foQ=")</f>
        <v>#VALUE!</v>
      </c>
      <c r="ED166" t="e">
        <f>AND(tecantrop!L603,"AAAAAH89foU=")</f>
        <v>#VALUE!</v>
      </c>
      <c r="EE166" t="e">
        <f>AND(tecantrop!M603,"AAAAAH89foY=")</f>
        <v>#VALUE!</v>
      </c>
      <c r="EF166" t="e">
        <f>AND(tecantrop!N603,"AAAAAH89foc=")</f>
        <v>#VALUE!</v>
      </c>
      <c r="EG166" t="e">
        <f>AND(tecantrop!O603,"AAAAAH89fog=")</f>
        <v>#VALUE!</v>
      </c>
      <c r="EH166" t="e">
        <f>AND(tecantrop!P603,"AAAAAH89fok=")</f>
        <v>#VALUE!</v>
      </c>
      <c r="EI166" t="e">
        <f>AND(tecantrop!Q603,"AAAAAH89foo=")</f>
        <v>#VALUE!</v>
      </c>
      <c r="EJ166" t="e">
        <f>AND(tecantrop!R603,"AAAAAH89fos=")</f>
        <v>#VALUE!</v>
      </c>
      <c r="EK166" t="e">
        <f>AND(tecantrop!S603,"AAAAAH89fow=")</f>
        <v>#VALUE!</v>
      </c>
      <c r="EL166" t="e">
        <f>AND(tecantrop!T603,"AAAAAH89fo0=")</f>
        <v>#VALUE!</v>
      </c>
      <c r="EM166" t="e">
        <f>AND(tecantrop!U603,"AAAAAH89fo4=")</f>
        <v>#VALUE!</v>
      </c>
      <c r="EN166" t="e">
        <f>AND(tecantrop!V603,"AAAAAH89fo8=")</f>
        <v>#VALUE!</v>
      </c>
      <c r="EO166" t="e">
        <f>AND(tecantrop!W603,"AAAAAH89fpA=")</f>
        <v>#VALUE!</v>
      </c>
      <c r="EP166" t="e">
        <f>AND(tecantrop!X603,"AAAAAH89fpE=")</f>
        <v>#VALUE!</v>
      </c>
      <c r="EQ166">
        <f>IF(tecantrop!604:604,"AAAAAH89fpI=",0)</f>
        <v>0</v>
      </c>
      <c r="ER166" t="e">
        <f>AND(tecantrop!A604,"AAAAAH89fpM=")</f>
        <v>#VALUE!</v>
      </c>
      <c r="ES166" t="e">
        <f>AND(tecantrop!B604,"AAAAAH89fpQ=")</f>
        <v>#VALUE!</v>
      </c>
      <c r="ET166" t="e">
        <f>AND(tecantrop!C604,"AAAAAH89fpU=")</f>
        <v>#VALUE!</v>
      </c>
      <c r="EU166" t="e">
        <f>AND(tecantrop!D604,"AAAAAH89fpY=")</f>
        <v>#VALUE!</v>
      </c>
      <c r="EV166" t="e">
        <f>AND(tecantrop!E604,"AAAAAH89fpc=")</f>
        <v>#VALUE!</v>
      </c>
      <c r="EW166" t="e">
        <f>AND(tecantrop!F604,"AAAAAH89fpg=")</f>
        <v>#VALUE!</v>
      </c>
      <c r="EX166" t="e">
        <f>AND(tecantrop!G604,"AAAAAH89fpk=")</f>
        <v>#VALUE!</v>
      </c>
      <c r="EY166" t="e">
        <f>AND(tecantrop!H604,"AAAAAH89fpo=")</f>
        <v>#VALUE!</v>
      </c>
      <c r="EZ166" t="e">
        <f>AND(tecantrop!I604,"AAAAAH89fps=")</f>
        <v>#VALUE!</v>
      </c>
      <c r="FA166" t="e">
        <f>AND(tecantrop!J604,"AAAAAH89fpw=")</f>
        <v>#VALUE!</v>
      </c>
      <c r="FB166" t="e">
        <f>AND(tecantrop!K604,"AAAAAH89fp0=")</f>
        <v>#VALUE!</v>
      </c>
      <c r="FC166" t="e">
        <f>AND(tecantrop!L604,"AAAAAH89fp4=")</f>
        <v>#VALUE!</v>
      </c>
      <c r="FD166" t="e">
        <f>AND(tecantrop!M604,"AAAAAH89fp8=")</f>
        <v>#VALUE!</v>
      </c>
      <c r="FE166" t="e">
        <f>AND(tecantrop!N604,"AAAAAH89fqA=")</f>
        <v>#VALUE!</v>
      </c>
      <c r="FF166" t="e">
        <f>AND(tecantrop!O604,"AAAAAH89fqE=")</f>
        <v>#VALUE!</v>
      </c>
      <c r="FG166" t="e">
        <f>AND(tecantrop!P604,"AAAAAH89fqI=")</f>
        <v>#VALUE!</v>
      </c>
      <c r="FH166" t="e">
        <f>AND(tecantrop!Q604,"AAAAAH89fqM=")</f>
        <v>#VALUE!</v>
      </c>
      <c r="FI166" t="e">
        <f>AND(tecantrop!R604,"AAAAAH89fqQ=")</f>
        <v>#VALUE!</v>
      </c>
      <c r="FJ166" t="e">
        <f>AND(tecantrop!S604,"AAAAAH89fqU=")</f>
        <v>#VALUE!</v>
      </c>
      <c r="FK166" t="e">
        <f>AND(tecantrop!T604,"AAAAAH89fqY=")</f>
        <v>#VALUE!</v>
      </c>
      <c r="FL166" t="e">
        <f>AND(tecantrop!U604,"AAAAAH89fqc=")</f>
        <v>#VALUE!</v>
      </c>
      <c r="FM166" t="e">
        <f>AND(tecantrop!V604,"AAAAAH89fqg=")</f>
        <v>#VALUE!</v>
      </c>
      <c r="FN166" t="e">
        <f>AND(tecantrop!W604,"AAAAAH89fqk=")</f>
        <v>#VALUE!</v>
      </c>
      <c r="FO166" t="e">
        <f>AND(tecantrop!X604,"AAAAAH89fqo=")</f>
        <v>#VALUE!</v>
      </c>
      <c r="FP166">
        <f>IF(tecantrop!605:605,"AAAAAH89fqs=",0)</f>
        <v>0</v>
      </c>
      <c r="FQ166" t="e">
        <f>AND(tecantrop!A605,"AAAAAH89fqw=")</f>
        <v>#VALUE!</v>
      </c>
      <c r="FR166" t="e">
        <f>AND(tecantrop!B605,"AAAAAH89fq0=")</f>
        <v>#VALUE!</v>
      </c>
      <c r="FS166" t="e">
        <f>AND(tecantrop!C605,"AAAAAH89fq4=")</f>
        <v>#VALUE!</v>
      </c>
      <c r="FT166" t="e">
        <f>AND(tecantrop!D605,"AAAAAH89fq8=")</f>
        <v>#VALUE!</v>
      </c>
      <c r="FU166" t="e">
        <f>AND(tecantrop!E605,"AAAAAH89frA=")</f>
        <v>#VALUE!</v>
      </c>
      <c r="FV166" t="e">
        <f>AND(tecantrop!F605,"AAAAAH89frE=")</f>
        <v>#VALUE!</v>
      </c>
      <c r="FW166" t="e">
        <f>AND(tecantrop!G605,"AAAAAH89frI=")</f>
        <v>#VALUE!</v>
      </c>
      <c r="FX166" t="e">
        <f>AND(tecantrop!H605,"AAAAAH89frM=")</f>
        <v>#VALUE!</v>
      </c>
      <c r="FY166" t="e">
        <f>AND(tecantrop!I605,"AAAAAH89frQ=")</f>
        <v>#VALUE!</v>
      </c>
      <c r="FZ166" t="e">
        <f>AND(tecantrop!J605,"AAAAAH89frU=")</f>
        <v>#VALUE!</v>
      </c>
      <c r="GA166" t="e">
        <f>AND(tecantrop!K605,"AAAAAH89frY=")</f>
        <v>#VALUE!</v>
      </c>
      <c r="GB166" t="e">
        <f>AND(tecantrop!L605,"AAAAAH89frc=")</f>
        <v>#VALUE!</v>
      </c>
      <c r="GC166" t="e">
        <f>AND(tecantrop!M605,"AAAAAH89frg=")</f>
        <v>#VALUE!</v>
      </c>
      <c r="GD166" t="e">
        <f>AND(tecantrop!N605,"AAAAAH89frk=")</f>
        <v>#VALUE!</v>
      </c>
      <c r="GE166" t="e">
        <f>AND(tecantrop!O605,"AAAAAH89fro=")</f>
        <v>#VALUE!</v>
      </c>
      <c r="GF166" t="e">
        <f>AND(tecantrop!P605,"AAAAAH89frs=")</f>
        <v>#VALUE!</v>
      </c>
      <c r="GG166" t="e">
        <f>AND(tecantrop!Q605,"AAAAAH89frw=")</f>
        <v>#VALUE!</v>
      </c>
      <c r="GH166" t="e">
        <f>AND(tecantrop!R605,"AAAAAH89fr0=")</f>
        <v>#VALUE!</v>
      </c>
      <c r="GI166" t="e">
        <f>AND(tecantrop!S605,"AAAAAH89fr4=")</f>
        <v>#VALUE!</v>
      </c>
      <c r="GJ166" t="e">
        <f>AND(tecantrop!T605,"AAAAAH89fr8=")</f>
        <v>#VALUE!</v>
      </c>
      <c r="GK166" t="e">
        <f>AND(tecantrop!U605,"AAAAAH89fsA=")</f>
        <v>#VALUE!</v>
      </c>
      <c r="GL166" t="e">
        <f>AND(tecantrop!V605,"AAAAAH89fsE=")</f>
        <v>#VALUE!</v>
      </c>
      <c r="GM166" t="e">
        <f>AND(tecantrop!W605,"AAAAAH89fsI=")</f>
        <v>#VALUE!</v>
      </c>
      <c r="GN166" t="e">
        <f>AND(tecantrop!X605,"AAAAAH89fsM=")</f>
        <v>#VALUE!</v>
      </c>
      <c r="GO166">
        <f>IF(tecantrop!606:606,"AAAAAH89fsQ=",0)</f>
        <v>0</v>
      </c>
      <c r="GP166" t="e">
        <f>AND(tecantrop!A606,"AAAAAH89fsU=")</f>
        <v>#VALUE!</v>
      </c>
      <c r="GQ166" t="e">
        <f>AND(tecantrop!B606,"AAAAAH89fsY=")</f>
        <v>#VALUE!</v>
      </c>
      <c r="GR166" t="e">
        <f>AND(tecantrop!C606,"AAAAAH89fsc=")</f>
        <v>#VALUE!</v>
      </c>
      <c r="GS166" t="e">
        <f>AND(tecantrop!D606,"AAAAAH89fsg=")</f>
        <v>#VALUE!</v>
      </c>
      <c r="GT166" t="e">
        <f>AND(tecantrop!E606,"AAAAAH89fsk=")</f>
        <v>#VALUE!</v>
      </c>
      <c r="GU166" t="e">
        <f>AND(tecantrop!F606,"AAAAAH89fso=")</f>
        <v>#VALUE!</v>
      </c>
      <c r="GV166" t="e">
        <f>AND(tecantrop!G606,"AAAAAH89fss=")</f>
        <v>#VALUE!</v>
      </c>
      <c r="GW166" t="e">
        <f>AND(tecantrop!H606,"AAAAAH89fsw=")</f>
        <v>#VALUE!</v>
      </c>
      <c r="GX166" t="e">
        <f>AND(tecantrop!I606,"AAAAAH89fs0=")</f>
        <v>#VALUE!</v>
      </c>
      <c r="GY166" t="e">
        <f>AND(tecantrop!J606,"AAAAAH89fs4=")</f>
        <v>#VALUE!</v>
      </c>
      <c r="GZ166" t="e">
        <f>AND(tecantrop!K606,"AAAAAH89fs8=")</f>
        <v>#VALUE!</v>
      </c>
      <c r="HA166" t="e">
        <f>AND(tecantrop!L606,"AAAAAH89ftA=")</f>
        <v>#VALUE!</v>
      </c>
      <c r="HB166" t="e">
        <f>AND(tecantrop!M606,"AAAAAH89ftE=")</f>
        <v>#VALUE!</v>
      </c>
      <c r="HC166" t="e">
        <f>AND(tecantrop!N606,"AAAAAH89ftI=")</f>
        <v>#VALUE!</v>
      </c>
      <c r="HD166" t="e">
        <f>AND(tecantrop!O606,"AAAAAH89ftM=")</f>
        <v>#VALUE!</v>
      </c>
      <c r="HE166" t="e">
        <f>AND(tecantrop!P606,"AAAAAH89ftQ=")</f>
        <v>#VALUE!</v>
      </c>
      <c r="HF166" t="e">
        <f>AND(tecantrop!Q606,"AAAAAH89ftU=")</f>
        <v>#VALUE!</v>
      </c>
      <c r="HG166" t="e">
        <f>AND(tecantrop!R606,"AAAAAH89ftY=")</f>
        <v>#VALUE!</v>
      </c>
      <c r="HH166" t="e">
        <f>AND(tecantrop!S606,"AAAAAH89ftc=")</f>
        <v>#VALUE!</v>
      </c>
      <c r="HI166" t="e">
        <f>AND(tecantrop!T606,"AAAAAH89ftg=")</f>
        <v>#VALUE!</v>
      </c>
      <c r="HJ166" t="e">
        <f>AND(tecantrop!U606,"AAAAAH89ftk=")</f>
        <v>#VALUE!</v>
      </c>
      <c r="HK166" t="e">
        <f>AND(tecantrop!V606,"AAAAAH89fto=")</f>
        <v>#VALUE!</v>
      </c>
      <c r="HL166" t="e">
        <f>AND(tecantrop!W606,"AAAAAH89fts=")</f>
        <v>#VALUE!</v>
      </c>
      <c r="HM166" t="e">
        <f>AND(tecantrop!X606,"AAAAAH89ftw=")</f>
        <v>#VALUE!</v>
      </c>
      <c r="HN166">
        <f>IF(tecantrop!607:607,"AAAAAH89ft0=",0)</f>
        <v>0</v>
      </c>
      <c r="HO166" t="e">
        <f>AND(tecantrop!A607,"AAAAAH89ft4=")</f>
        <v>#VALUE!</v>
      </c>
      <c r="HP166" t="e">
        <f>AND(tecantrop!B607,"AAAAAH89ft8=")</f>
        <v>#VALUE!</v>
      </c>
      <c r="HQ166" t="e">
        <f>AND(tecantrop!C607,"AAAAAH89fuA=")</f>
        <v>#VALUE!</v>
      </c>
      <c r="HR166" t="e">
        <f>AND(tecantrop!D607,"AAAAAH89fuE=")</f>
        <v>#VALUE!</v>
      </c>
      <c r="HS166" t="e">
        <f>AND(tecantrop!E607,"AAAAAH89fuI=")</f>
        <v>#VALUE!</v>
      </c>
      <c r="HT166" t="e">
        <f>AND(tecantrop!F607,"AAAAAH89fuM=")</f>
        <v>#VALUE!</v>
      </c>
      <c r="HU166" t="e">
        <f>AND(tecantrop!G607,"AAAAAH89fuQ=")</f>
        <v>#VALUE!</v>
      </c>
      <c r="HV166" t="e">
        <f>AND(tecantrop!H607,"AAAAAH89fuU=")</f>
        <v>#VALUE!</v>
      </c>
      <c r="HW166" t="e">
        <f>AND(tecantrop!I607,"AAAAAH89fuY=")</f>
        <v>#VALUE!</v>
      </c>
      <c r="HX166" t="e">
        <f>AND(tecantrop!J607,"AAAAAH89fuc=")</f>
        <v>#VALUE!</v>
      </c>
      <c r="HY166" t="e">
        <f>AND(tecantrop!K607,"AAAAAH89fug=")</f>
        <v>#VALUE!</v>
      </c>
      <c r="HZ166" t="e">
        <f>AND(tecantrop!L607,"AAAAAH89fuk=")</f>
        <v>#VALUE!</v>
      </c>
      <c r="IA166" t="e">
        <f>AND(tecantrop!M607,"AAAAAH89fuo=")</f>
        <v>#VALUE!</v>
      </c>
      <c r="IB166" t="e">
        <f>AND(tecantrop!N607,"AAAAAH89fus=")</f>
        <v>#VALUE!</v>
      </c>
      <c r="IC166" t="e">
        <f>AND(tecantrop!O607,"AAAAAH89fuw=")</f>
        <v>#VALUE!</v>
      </c>
      <c r="ID166" t="e">
        <f>AND(tecantrop!P607,"AAAAAH89fu0=")</f>
        <v>#VALUE!</v>
      </c>
      <c r="IE166" t="e">
        <f>AND(tecantrop!Q607,"AAAAAH89fu4=")</f>
        <v>#VALUE!</v>
      </c>
      <c r="IF166" t="e">
        <f>AND(tecantrop!R607,"AAAAAH89fu8=")</f>
        <v>#VALUE!</v>
      </c>
      <c r="IG166" t="e">
        <f>AND(tecantrop!S607,"AAAAAH89fvA=")</f>
        <v>#VALUE!</v>
      </c>
      <c r="IH166" t="e">
        <f>AND(tecantrop!T607,"AAAAAH89fvE=")</f>
        <v>#VALUE!</v>
      </c>
      <c r="II166" t="e">
        <f>AND(tecantrop!U607,"AAAAAH89fvI=")</f>
        <v>#VALUE!</v>
      </c>
      <c r="IJ166" t="e">
        <f>AND(tecantrop!V607,"AAAAAH89fvM=")</f>
        <v>#VALUE!</v>
      </c>
      <c r="IK166" t="e">
        <f>AND(tecantrop!W607,"AAAAAH89fvQ=")</f>
        <v>#VALUE!</v>
      </c>
      <c r="IL166" t="e">
        <f>AND(tecantrop!X607,"AAAAAH89fvU=")</f>
        <v>#VALUE!</v>
      </c>
      <c r="IM166">
        <f>IF(tecantrop!608:608,"AAAAAH89fvY=",0)</f>
        <v>0</v>
      </c>
      <c r="IN166" t="e">
        <f>AND(tecantrop!A608,"AAAAAH89fvc=")</f>
        <v>#VALUE!</v>
      </c>
      <c r="IO166" t="e">
        <f>AND(tecantrop!B608,"AAAAAH89fvg=")</f>
        <v>#VALUE!</v>
      </c>
      <c r="IP166" t="e">
        <f>AND(tecantrop!C608,"AAAAAH89fvk=")</f>
        <v>#VALUE!</v>
      </c>
      <c r="IQ166" t="e">
        <f>AND(tecantrop!D608,"AAAAAH89fvo=")</f>
        <v>#VALUE!</v>
      </c>
      <c r="IR166" t="e">
        <f>AND(tecantrop!E608,"AAAAAH89fvs=")</f>
        <v>#VALUE!</v>
      </c>
      <c r="IS166" t="e">
        <f>AND(tecantrop!F608,"AAAAAH89fvw=")</f>
        <v>#VALUE!</v>
      </c>
      <c r="IT166" t="e">
        <f>AND(tecantrop!G608,"AAAAAH89fv0=")</f>
        <v>#VALUE!</v>
      </c>
      <c r="IU166" t="e">
        <f>AND(tecantrop!H608,"AAAAAH89fv4=")</f>
        <v>#VALUE!</v>
      </c>
      <c r="IV166" t="e">
        <f>AND(tecantrop!I608,"AAAAAH89fv8=")</f>
        <v>#VALUE!</v>
      </c>
    </row>
    <row r="167" spans="1:256" x14ac:dyDescent="0.2">
      <c r="A167" t="e">
        <f>AND(tecantrop!J608,"AAAAAH1izgA=")</f>
        <v>#VALUE!</v>
      </c>
      <c r="B167" t="e">
        <f>AND(tecantrop!K608,"AAAAAH1izgE=")</f>
        <v>#VALUE!</v>
      </c>
      <c r="C167" t="e">
        <f>AND(tecantrop!L608,"AAAAAH1izgI=")</f>
        <v>#VALUE!</v>
      </c>
      <c r="D167" t="e">
        <f>AND(tecantrop!M608,"AAAAAH1izgM=")</f>
        <v>#VALUE!</v>
      </c>
      <c r="E167" t="e">
        <f>AND(tecantrop!N608,"AAAAAH1izgQ=")</f>
        <v>#VALUE!</v>
      </c>
      <c r="F167" t="e">
        <f>AND(tecantrop!O608,"AAAAAH1izgU=")</f>
        <v>#VALUE!</v>
      </c>
      <c r="G167" t="e">
        <f>AND(tecantrop!P608,"AAAAAH1izgY=")</f>
        <v>#VALUE!</v>
      </c>
      <c r="H167" t="e">
        <f>AND(tecantrop!Q608,"AAAAAH1izgc=")</f>
        <v>#VALUE!</v>
      </c>
      <c r="I167" t="e">
        <f>AND(tecantrop!R608,"AAAAAH1izgg=")</f>
        <v>#VALUE!</v>
      </c>
      <c r="J167" t="e">
        <f>AND(tecantrop!S608,"AAAAAH1izgk=")</f>
        <v>#VALUE!</v>
      </c>
      <c r="K167" t="e">
        <f>AND(tecantrop!T608,"AAAAAH1izgo=")</f>
        <v>#VALUE!</v>
      </c>
      <c r="L167" t="e">
        <f>AND(tecantrop!U608,"AAAAAH1izgs=")</f>
        <v>#VALUE!</v>
      </c>
      <c r="M167" t="e">
        <f>AND(tecantrop!V608,"AAAAAH1izgw=")</f>
        <v>#VALUE!</v>
      </c>
      <c r="N167" t="e">
        <f>AND(tecantrop!W608,"AAAAAH1izg0=")</f>
        <v>#VALUE!</v>
      </c>
      <c r="O167" t="e">
        <f>AND(tecantrop!X608,"AAAAAH1izg4=")</f>
        <v>#VALUE!</v>
      </c>
      <c r="P167">
        <f>IF(tecantrop!609:609,"AAAAAH1izg8=",0)</f>
        <v>0</v>
      </c>
      <c r="Q167" t="e">
        <f>AND(tecantrop!A609,"AAAAAH1izhA=")</f>
        <v>#VALUE!</v>
      </c>
      <c r="R167" t="e">
        <f>AND(tecantrop!B609,"AAAAAH1izhE=")</f>
        <v>#VALUE!</v>
      </c>
      <c r="S167" t="e">
        <f>AND(tecantrop!C609,"AAAAAH1izhI=")</f>
        <v>#VALUE!</v>
      </c>
      <c r="T167" t="e">
        <f>AND(tecantrop!D609,"AAAAAH1izhM=")</f>
        <v>#VALUE!</v>
      </c>
      <c r="U167" t="e">
        <f>AND(tecantrop!E609,"AAAAAH1izhQ=")</f>
        <v>#VALUE!</v>
      </c>
      <c r="V167" t="e">
        <f>AND(tecantrop!F609,"AAAAAH1izhU=")</f>
        <v>#VALUE!</v>
      </c>
      <c r="W167" t="e">
        <f>AND(tecantrop!G609,"AAAAAH1izhY=")</f>
        <v>#VALUE!</v>
      </c>
      <c r="X167" t="e">
        <f>AND(tecantrop!H609,"AAAAAH1izhc=")</f>
        <v>#VALUE!</v>
      </c>
      <c r="Y167" t="e">
        <f>AND(tecantrop!I609,"AAAAAH1izhg=")</f>
        <v>#VALUE!</v>
      </c>
      <c r="Z167" t="e">
        <f>AND(tecantrop!J609,"AAAAAH1izhk=")</f>
        <v>#VALUE!</v>
      </c>
      <c r="AA167" t="e">
        <f>AND(tecantrop!K609,"AAAAAH1izho=")</f>
        <v>#VALUE!</v>
      </c>
      <c r="AB167" t="e">
        <f>AND(tecantrop!L609,"AAAAAH1izhs=")</f>
        <v>#VALUE!</v>
      </c>
      <c r="AC167" t="e">
        <f>AND(tecantrop!M609,"AAAAAH1izhw=")</f>
        <v>#VALUE!</v>
      </c>
      <c r="AD167" t="e">
        <f>AND(tecantrop!N609,"AAAAAH1izh0=")</f>
        <v>#VALUE!</v>
      </c>
      <c r="AE167" t="e">
        <f>AND(tecantrop!O609,"AAAAAH1izh4=")</f>
        <v>#VALUE!</v>
      </c>
      <c r="AF167" t="e">
        <f>AND(tecantrop!P609,"AAAAAH1izh8=")</f>
        <v>#VALUE!</v>
      </c>
      <c r="AG167" t="e">
        <f>AND(tecantrop!Q609,"AAAAAH1iziA=")</f>
        <v>#VALUE!</v>
      </c>
      <c r="AH167" t="e">
        <f>AND(tecantrop!R609,"AAAAAH1iziE=")</f>
        <v>#VALUE!</v>
      </c>
      <c r="AI167" t="e">
        <f>AND(tecantrop!S609,"AAAAAH1iziI=")</f>
        <v>#VALUE!</v>
      </c>
      <c r="AJ167" t="e">
        <f>AND(tecantrop!T609,"AAAAAH1iziM=")</f>
        <v>#VALUE!</v>
      </c>
      <c r="AK167" t="e">
        <f>AND(tecantrop!U609,"AAAAAH1iziQ=")</f>
        <v>#VALUE!</v>
      </c>
      <c r="AL167" t="e">
        <f>AND(tecantrop!V609,"AAAAAH1iziU=")</f>
        <v>#VALUE!</v>
      </c>
      <c r="AM167" t="e">
        <f>AND(tecantrop!W609,"AAAAAH1iziY=")</f>
        <v>#VALUE!</v>
      </c>
      <c r="AN167" t="e">
        <f>AND(tecantrop!X609,"AAAAAH1izic=")</f>
        <v>#VALUE!</v>
      </c>
      <c r="AO167">
        <f>IF(tecantrop!610:610,"AAAAAH1izig=",0)</f>
        <v>0</v>
      </c>
      <c r="AP167" t="e">
        <f>AND(tecantrop!A610,"AAAAAH1izik=")</f>
        <v>#VALUE!</v>
      </c>
      <c r="AQ167" t="e">
        <f>AND(tecantrop!B610,"AAAAAH1izio=")</f>
        <v>#VALUE!</v>
      </c>
      <c r="AR167" t="e">
        <f>AND(tecantrop!C610,"AAAAAH1izis=")</f>
        <v>#VALUE!</v>
      </c>
      <c r="AS167" t="e">
        <f>AND(tecantrop!D610,"AAAAAH1iziw=")</f>
        <v>#VALUE!</v>
      </c>
      <c r="AT167" t="e">
        <f>AND(tecantrop!E610,"AAAAAH1izi0=")</f>
        <v>#VALUE!</v>
      </c>
      <c r="AU167" t="e">
        <f>AND(tecantrop!F610,"AAAAAH1izi4=")</f>
        <v>#VALUE!</v>
      </c>
      <c r="AV167" t="e">
        <f>AND(tecantrop!G610,"AAAAAH1izi8=")</f>
        <v>#VALUE!</v>
      </c>
      <c r="AW167" t="e">
        <f>AND(tecantrop!H610,"AAAAAH1izjA=")</f>
        <v>#VALUE!</v>
      </c>
      <c r="AX167" t="e">
        <f>AND(tecantrop!I610,"AAAAAH1izjE=")</f>
        <v>#VALUE!</v>
      </c>
      <c r="AY167" t="e">
        <f>AND(tecantrop!J610,"AAAAAH1izjI=")</f>
        <v>#VALUE!</v>
      </c>
      <c r="AZ167" t="e">
        <f>AND(tecantrop!K610,"AAAAAH1izjM=")</f>
        <v>#VALUE!</v>
      </c>
      <c r="BA167" t="e">
        <f>AND(tecantrop!L610,"AAAAAH1izjQ=")</f>
        <v>#VALUE!</v>
      </c>
      <c r="BB167" t="e">
        <f>AND(tecantrop!M610,"AAAAAH1izjU=")</f>
        <v>#VALUE!</v>
      </c>
      <c r="BC167" t="e">
        <f>AND(tecantrop!N610,"AAAAAH1izjY=")</f>
        <v>#VALUE!</v>
      </c>
      <c r="BD167" t="e">
        <f>AND(tecantrop!O610,"AAAAAH1izjc=")</f>
        <v>#VALUE!</v>
      </c>
      <c r="BE167" t="e">
        <f>AND(tecantrop!P610,"AAAAAH1izjg=")</f>
        <v>#VALUE!</v>
      </c>
      <c r="BF167" t="e">
        <f>AND(tecantrop!Q610,"AAAAAH1izjk=")</f>
        <v>#VALUE!</v>
      </c>
      <c r="BG167" t="e">
        <f>AND(tecantrop!R610,"AAAAAH1izjo=")</f>
        <v>#VALUE!</v>
      </c>
      <c r="BH167" t="e">
        <f>AND(tecantrop!S610,"AAAAAH1izjs=")</f>
        <v>#VALUE!</v>
      </c>
      <c r="BI167" t="e">
        <f>AND(tecantrop!T610,"AAAAAH1izjw=")</f>
        <v>#VALUE!</v>
      </c>
      <c r="BJ167" t="e">
        <f>AND(tecantrop!U610,"AAAAAH1izj0=")</f>
        <v>#VALUE!</v>
      </c>
      <c r="BK167" t="e">
        <f>AND(tecantrop!V610,"AAAAAH1izj4=")</f>
        <v>#VALUE!</v>
      </c>
      <c r="BL167" t="e">
        <f>AND(tecantrop!W610,"AAAAAH1izj8=")</f>
        <v>#VALUE!</v>
      </c>
      <c r="BM167" t="e">
        <f>AND(tecantrop!X610,"AAAAAH1izkA=")</f>
        <v>#VALUE!</v>
      </c>
      <c r="BN167">
        <f>IF(tecantrop!611:611,"AAAAAH1izkE=",0)</f>
        <v>0</v>
      </c>
      <c r="BO167" t="e">
        <f>AND(tecantrop!A611,"AAAAAH1izkI=")</f>
        <v>#VALUE!</v>
      </c>
      <c r="BP167" t="e">
        <f>AND(tecantrop!B611,"AAAAAH1izkM=")</f>
        <v>#VALUE!</v>
      </c>
      <c r="BQ167" t="e">
        <f>AND(tecantrop!C611,"AAAAAH1izkQ=")</f>
        <v>#VALUE!</v>
      </c>
      <c r="BR167" t="e">
        <f>AND(tecantrop!D611,"AAAAAH1izkU=")</f>
        <v>#VALUE!</v>
      </c>
      <c r="BS167" t="e">
        <f>AND(tecantrop!E611,"AAAAAH1izkY=")</f>
        <v>#VALUE!</v>
      </c>
      <c r="BT167" t="e">
        <f>AND(tecantrop!F611,"AAAAAH1izkc=")</f>
        <v>#VALUE!</v>
      </c>
      <c r="BU167" t="e">
        <f>AND(tecantrop!G611,"AAAAAH1izkg=")</f>
        <v>#VALUE!</v>
      </c>
      <c r="BV167" t="e">
        <f>AND(tecantrop!H611,"AAAAAH1izkk=")</f>
        <v>#VALUE!</v>
      </c>
      <c r="BW167" t="e">
        <f>AND(tecantrop!I611,"AAAAAH1izko=")</f>
        <v>#VALUE!</v>
      </c>
      <c r="BX167" t="e">
        <f>AND(tecantrop!J611,"AAAAAH1izks=")</f>
        <v>#VALUE!</v>
      </c>
      <c r="BY167" t="e">
        <f>AND(tecantrop!K611,"AAAAAH1izkw=")</f>
        <v>#VALUE!</v>
      </c>
      <c r="BZ167" t="e">
        <f>AND(tecantrop!L611,"AAAAAH1izk0=")</f>
        <v>#VALUE!</v>
      </c>
      <c r="CA167" t="e">
        <f>AND(tecantrop!M611,"AAAAAH1izk4=")</f>
        <v>#VALUE!</v>
      </c>
      <c r="CB167" t="e">
        <f>AND(tecantrop!N611,"AAAAAH1izk8=")</f>
        <v>#VALUE!</v>
      </c>
      <c r="CC167" t="e">
        <f>AND(tecantrop!O611,"AAAAAH1izlA=")</f>
        <v>#VALUE!</v>
      </c>
      <c r="CD167" t="e">
        <f>AND(tecantrop!P611,"AAAAAH1izlE=")</f>
        <v>#VALUE!</v>
      </c>
      <c r="CE167" t="e">
        <f>AND(tecantrop!Q611,"AAAAAH1izlI=")</f>
        <v>#VALUE!</v>
      </c>
      <c r="CF167" t="e">
        <f>AND(tecantrop!R611,"AAAAAH1izlM=")</f>
        <v>#VALUE!</v>
      </c>
      <c r="CG167" t="e">
        <f>AND(tecantrop!S611,"AAAAAH1izlQ=")</f>
        <v>#VALUE!</v>
      </c>
      <c r="CH167" t="e">
        <f>AND(tecantrop!T611,"AAAAAH1izlU=")</f>
        <v>#VALUE!</v>
      </c>
      <c r="CI167" t="e">
        <f>AND(tecantrop!U611,"AAAAAH1izlY=")</f>
        <v>#VALUE!</v>
      </c>
      <c r="CJ167" t="e">
        <f>AND(tecantrop!V611,"AAAAAH1izlc=")</f>
        <v>#VALUE!</v>
      </c>
      <c r="CK167" t="e">
        <f>AND(tecantrop!W611,"AAAAAH1izlg=")</f>
        <v>#VALUE!</v>
      </c>
      <c r="CL167" t="e">
        <f>AND(tecantrop!X611,"AAAAAH1izlk=")</f>
        <v>#VALUE!</v>
      </c>
      <c r="CM167">
        <f>IF(tecantrop!612:612,"AAAAAH1izlo=",0)</f>
        <v>0</v>
      </c>
      <c r="CN167" t="e">
        <f>AND(tecantrop!A612,"AAAAAH1izls=")</f>
        <v>#VALUE!</v>
      </c>
      <c r="CO167" t="e">
        <f>AND(tecantrop!B612,"AAAAAH1izlw=")</f>
        <v>#VALUE!</v>
      </c>
      <c r="CP167" t="e">
        <f>AND(tecantrop!C612,"AAAAAH1izl0=")</f>
        <v>#VALUE!</v>
      </c>
      <c r="CQ167" t="e">
        <f>AND(tecantrop!D612,"AAAAAH1izl4=")</f>
        <v>#VALUE!</v>
      </c>
      <c r="CR167" t="e">
        <f>AND(tecantrop!E612,"AAAAAH1izl8=")</f>
        <v>#VALUE!</v>
      </c>
      <c r="CS167" t="e">
        <f>AND(tecantrop!F612,"AAAAAH1izmA=")</f>
        <v>#VALUE!</v>
      </c>
      <c r="CT167" t="e">
        <f>AND(tecantrop!G612,"AAAAAH1izmE=")</f>
        <v>#VALUE!</v>
      </c>
      <c r="CU167" t="e">
        <f>AND(tecantrop!H612,"AAAAAH1izmI=")</f>
        <v>#VALUE!</v>
      </c>
      <c r="CV167" t="e">
        <f>AND(tecantrop!I612,"AAAAAH1izmM=")</f>
        <v>#VALUE!</v>
      </c>
      <c r="CW167" t="e">
        <f>AND(tecantrop!J612,"AAAAAH1izmQ=")</f>
        <v>#VALUE!</v>
      </c>
      <c r="CX167" t="e">
        <f>AND(tecantrop!K612,"AAAAAH1izmU=")</f>
        <v>#VALUE!</v>
      </c>
      <c r="CY167" t="e">
        <f>AND(tecantrop!L612,"AAAAAH1izmY=")</f>
        <v>#VALUE!</v>
      </c>
      <c r="CZ167" t="e">
        <f>AND(tecantrop!M612,"AAAAAH1izmc=")</f>
        <v>#VALUE!</v>
      </c>
      <c r="DA167" t="e">
        <f>AND(tecantrop!N612,"AAAAAH1izmg=")</f>
        <v>#VALUE!</v>
      </c>
      <c r="DB167" t="e">
        <f>AND(tecantrop!O612,"AAAAAH1izmk=")</f>
        <v>#VALUE!</v>
      </c>
      <c r="DC167" t="e">
        <f>AND(tecantrop!P612,"AAAAAH1izmo=")</f>
        <v>#VALUE!</v>
      </c>
      <c r="DD167" t="e">
        <f>AND(tecantrop!Q612,"AAAAAH1izms=")</f>
        <v>#VALUE!</v>
      </c>
      <c r="DE167" t="e">
        <f>AND(tecantrop!R612,"AAAAAH1izmw=")</f>
        <v>#VALUE!</v>
      </c>
      <c r="DF167" t="e">
        <f>AND(tecantrop!S612,"AAAAAH1izm0=")</f>
        <v>#VALUE!</v>
      </c>
      <c r="DG167" t="e">
        <f>AND(tecantrop!T612,"AAAAAH1izm4=")</f>
        <v>#VALUE!</v>
      </c>
      <c r="DH167" t="e">
        <f>AND(tecantrop!U612,"AAAAAH1izm8=")</f>
        <v>#VALUE!</v>
      </c>
      <c r="DI167" t="e">
        <f>AND(tecantrop!V612,"AAAAAH1iznA=")</f>
        <v>#VALUE!</v>
      </c>
      <c r="DJ167" t="e">
        <f>AND(tecantrop!W612,"AAAAAH1iznE=")</f>
        <v>#VALUE!</v>
      </c>
      <c r="DK167" t="e">
        <f>AND(tecantrop!X612,"AAAAAH1iznI=")</f>
        <v>#VALUE!</v>
      </c>
      <c r="DL167">
        <f>IF(tecantrop!613:613,"AAAAAH1iznM=",0)</f>
        <v>0</v>
      </c>
      <c r="DM167" t="e">
        <f>AND(tecantrop!A613,"AAAAAH1iznQ=")</f>
        <v>#VALUE!</v>
      </c>
      <c r="DN167" t="e">
        <f>AND(tecantrop!B613,"AAAAAH1iznU=")</f>
        <v>#VALUE!</v>
      </c>
      <c r="DO167" t="e">
        <f>AND(tecantrop!C613,"AAAAAH1iznY=")</f>
        <v>#VALUE!</v>
      </c>
      <c r="DP167" t="e">
        <f>AND(tecantrop!D613,"AAAAAH1iznc=")</f>
        <v>#VALUE!</v>
      </c>
      <c r="DQ167" t="e">
        <f>AND(tecantrop!E613,"AAAAAH1izng=")</f>
        <v>#VALUE!</v>
      </c>
      <c r="DR167" t="e">
        <f>AND(tecantrop!F613,"AAAAAH1iznk=")</f>
        <v>#VALUE!</v>
      </c>
      <c r="DS167" t="e">
        <f>AND(tecantrop!G613,"AAAAAH1izno=")</f>
        <v>#VALUE!</v>
      </c>
      <c r="DT167" t="e">
        <f>AND(tecantrop!H613,"AAAAAH1izns=")</f>
        <v>#VALUE!</v>
      </c>
      <c r="DU167" t="e">
        <f>AND(tecantrop!I613,"AAAAAH1iznw=")</f>
        <v>#VALUE!</v>
      </c>
      <c r="DV167" t="e">
        <f>AND(tecantrop!J613,"AAAAAH1izn0=")</f>
        <v>#VALUE!</v>
      </c>
      <c r="DW167" t="e">
        <f>AND(tecantrop!K613,"AAAAAH1izn4=")</f>
        <v>#VALUE!</v>
      </c>
      <c r="DX167" t="e">
        <f>AND(tecantrop!L613,"AAAAAH1izn8=")</f>
        <v>#VALUE!</v>
      </c>
      <c r="DY167" t="e">
        <f>AND(tecantrop!M613,"AAAAAH1izoA=")</f>
        <v>#VALUE!</v>
      </c>
      <c r="DZ167" t="e">
        <f>AND(tecantrop!N613,"AAAAAH1izoE=")</f>
        <v>#VALUE!</v>
      </c>
      <c r="EA167" t="e">
        <f>AND(tecantrop!O613,"AAAAAH1izoI=")</f>
        <v>#VALUE!</v>
      </c>
      <c r="EB167" t="e">
        <f>AND(tecantrop!P613,"AAAAAH1izoM=")</f>
        <v>#VALUE!</v>
      </c>
      <c r="EC167" t="e">
        <f>AND(tecantrop!Q613,"AAAAAH1izoQ=")</f>
        <v>#VALUE!</v>
      </c>
      <c r="ED167" t="e">
        <f>AND(tecantrop!R613,"AAAAAH1izoU=")</f>
        <v>#VALUE!</v>
      </c>
      <c r="EE167" t="e">
        <f>AND(tecantrop!S613,"AAAAAH1izoY=")</f>
        <v>#VALUE!</v>
      </c>
      <c r="EF167" t="e">
        <f>AND(tecantrop!T613,"AAAAAH1izoc=")</f>
        <v>#VALUE!</v>
      </c>
      <c r="EG167" t="e">
        <f>AND(tecantrop!U613,"AAAAAH1izog=")</f>
        <v>#VALUE!</v>
      </c>
      <c r="EH167" t="e">
        <f>AND(tecantrop!V613,"AAAAAH1izok=")</f>
        <v>#VALUE!</v>
      </c>
      <c r="EI167" t="e">
        <f>AND(tecantrop!W613,"AAAAAH1izoo=")</f>
        <v>#VALUE!</v>
      </c>
      <c r="EJ167" t="e">
        <f>AND(tecantrop!X613,"AAAAAH1izos=")</f>
        <v>#VALUE!</v>
      </c>
      <c r="EK167">
        <f>IF(tecantrop!614:614,"AAAAAH1izow=",0)</f>
        <v>0</v>
      </c>
      <c r="EL167" t="e">
        <f>AND(tecantrop!A614,"AAAAAH1izo0=")</f>
        <v>#VALUE!</v>
      </c>
      <c r="EM167" t="e">
        <f>AND(tecantrop!B614,"AAAAAH1izo4=")</f>
        <v>#VALUE!</v>
      </c>
      <c r="EN167" t="e">
        <f>AND(tecantrop!C614,"AAAAAH1izo8=")</f>
        <v>#VALUE!</v>
      </c>
      <c r="EO167" t="e">
        <f>AND(tecantrop!D614,"AAAAAH1izpA=")</f>
        <v>#VALUE!</v>
      </c>
      <c r="EP167" t="e">
        <f>AND(tecantrop!E614,"AAAAAH1izpE=")</f>
        <v>#VALUE!</v>
      </c>
      <c r="EQ167" t="e">
        <f>AND(tecantrop!F614,"AAAAAH1izpI=")</f>
        <v>#VALUE!</v>
      </c>
      <c r="ER167" t="e">
        <f>AND(tecantrop!G614,"AAAAAH1izpM=")</f>
        <v>#VALUE!</v>
      </c>
      <c r="ES167" t="e">
        <f>AND(tecantrop!H614,"AAAAAH1izpQ=")</f>
        <v>#VALUE!</v>
      </c>
      <c r="ET167" t="e">
        <f>AND(tecantrop!I614,"AAAAAH1izpU=")</f>
        <v>#VALUE!</v>
      </c>
      <c r="EU167" t="e">
        <f>AND(tecantrop!J614,"AAAAAH1izpY=")</f>
        <v>#VALUE!</v>
      </c>
      <c r="EV167" t="e">
        <f>AND(tecantrop!K614,"AAAAAH1izpc=")</f>
        <v>#VALUE!</v>
      </c>
      <c r="EW167" t="e">
        <f>AND(tecantrop!L614,"AAAAAH1izpg=")</f>
        <v>#VALUE!</v>
      </c>
      <c r="EX167" t="e">
        <f>AND(tecantrop!M614,"AAAAAH1izpk=")</f>
        <v>#VALUE!</v>
      </c>
      <c r="EY167" t="e">
        <f>AND(tecantrop!N614,"AAAAAH1izpo=")</f>
        <v>#VALUE!</v>
      </c>
      <c r="EZ167" t="e">
        <f>AND(tecantrop!O614,"AAAAAH1izps=")</f>
        <v>#VALUE!</v>
      </c>
      <c r="FA167" t="e">
        <f>AND(tecantrop!P614,"AAAAAH1izpw=")</f>
        <v>#VALUE!</v>
      </c>
      <c r="FB167" t="e">
        <f>AND(tecantrop!Q614,"AAAAAH1izp0=")</f>
        <v>#VALUE!</v>
      </c>
      <c r="FC167" t="e">
        <f>AND(tecantrop!R614,"AAAAAH1izp4=")</f>
        <v>#VALUE!</v>
      </c>
      <c r="FD167" t="e">
        <f>AND(tecantrop!S614,"AAAAAH1izp8=")</f>
        <v>#VALUE!</v>
      </c>
      <c r="FE167" t="e">
        <f>AND(tecantrop!T614,"AAAAAH1izqA=")</f>
        <v>#VALUE!</v>
      </c>
      <c r="FF167" t="e">
        <f>AND(tecantrop!U614,"AAAAAH1izqE=")</f>
        <v>#VALUE!</v>
      </c>
      <c r="FG167" t="e">
        <f>AND(tecantrop!V614,"AAAAAH1izqI=")</f>
        <v>#VALUE!</v>
      </c>
      <c r="FH167" t="e">
        <f>AND(tecantrop!W614,"AAAAAH1izqM=")</f>
        <v>#VALUE!</v>
      </c>
      <c r="FI167" t="e">
        <f>AND(tecantrop!X614,"AAAAAH1izqQ=")</f>
        <v>#VALUE!</v>
      </c>
      <c r="FJ167">
        <f>IF(tecantrop!615:615,"AAAAAH1izqU=",0)</f>
        <v>0</v>
      </c>
      <c r="FK167" t="e">
        <f>AND(tecantrop!A615,"AAAAAH1izqY=")</f>
        <v>#VALUE!</v>
      </c>
      <c r="FL167" t="e">
        <f>AND(tecantrop!B615,"AAAAAH1izqc=")</f>
        <v>#VALUE!</v>
      </c>
      <c r="FM167" t="e">
        <f>AND(tecantrop!C615,"AAAAAH1izqg=")</f>
        <v>#VALUE!</v>
      </c>
      <c r="FN167" t="e">
        <f>AND(tecantrop!D615,"AAAAAH1izqk=")</f>
        <v>#VALUE!</v>
      </c>
      <c r="FO167" t="e">
        <f>AND(tecantrop!E615,"AAAAAH1izqo=")</f>
        <v>#VALUE!</v>
      </c>
      <c r="FP167" t="e">
        <f>AND(tecantrop!F615,"AAAAAH1izqs=")</f>
        <v>#VALUE!</v>
      </c>
      <c r="FQ167" t="e">
        <f>AND(tecantrop!G615,"AAAAAH1izqw=")</f>
        <v>#VALUE!</v>
      </c>
      <c r="FR167" t="e">
        <f>AND(tecantrop!H615,"AAAAAH1izq0=")</f>
        <v>#VALUE!</v>
      </c>
      <c r="FS167" t="e">
        <f>AND(tecantrop!I615,"AAAAAH1izq4=")</f>
        <v>#VALUE!</v>
      </c>
      <c r="FT167" t="e">
        <f>AND(tecantrop!J615,"AAAAAH1izq8=")</f>
        <v>#VALUE!</v>
      </c>
      <c r="FU167" t="e">
        <f>AND(tecantrop!K615,"AAAAAH1izrA=")</f>
        <v>#VALUE!</v>
      </c>
      <c r="FV167" t="e">
        <f>AND(tecantrop!L615,"AAAAAH1izrE=")</f>
        <v>#VALUE!</v>
      </c>
      <c r="FW167" t="e">
        <f>AND(tecantrop!M615,"AAAAAH1izrI=")</f>
        <v>#VALUE!</v>
      </c>
      <c r="FX167" t="e">
        <f>AND(tecantrop!N615,"AAAAAH1izrM=")</f>
        <v>#VALUE!</v>
      </c>
      <c r="FY167" t="e">
        <f>AND(tecantrop!O615,"AAAAAH1izrQ=")</f>
        <v>#VALUE!</v>
      </c>
      <c r="FZ167" t="e">
        <f>AND(tecantrop!P615,"AAAAAH1izrU=")</f>
        <v>#VALUE!</v>
      </c>
      <c r="GA167" t="e">
        <f>AND(tecantrop!Q615,"AAAAAH1izrY=")</f>
        <v>#VALUE!</v>
      </c>
      <c r="GB167" t="e">
        <f>AND(tecantrop!R615,"AAAAAH1izrc=")</f>
        <v>#VALUE!</v>
      </c>
      <c r="GC167" t="e">
        <f>AND(tecantrop!S615,"AAAAAH1izrg=")</f>
        <v>#VALUE!</v>
      </c>
      <c r="GD167" t="e">
        <f>AND(tecantrop!T615,"AAAAAH1izrk=")</f>
        <v>#VALUE!</v>
      </c>
      <c r="GE167" t="e">
        <f>AND(tecantrop!U615,"AAAAAH1izro=")</f>
        <v>#VALUE!</v>
      </c>
      <c r="GF167" t="e">
        <f>AND(tecantrop!V615,"AAAAAH1izrs=")</f>
        <v>#VALUE!</v>
      </c>
      <c r="GG167" t="e">
        <f>AND(tecantrop!W615,"AAAAAH1izrw=")</f>
        <v>#VALUE!</v>
      </c>
      <c r="GH167" t="e">
        <f>AND(tecantrop!X615,"AAAAAH1izr0=")</f>
        <v>#VALUE!</v>
      </c>
      <c r="GI167">
        <f>IF(tecantrop!616:616,"AAAAAH1izr4=",0)</f>
        <v>0</v>
      </c>
      <c r="GJ167" t="e">
        <f>AND(tecantrop!A616,"AAAAAH1izr8=")</f>
        <v>#VALUE!</v>
      </c>
      <c r="GK167" t="e">
        <f>AND(tecantrop!B616,"AAAAAH1izsA=")</f>
        <v>#VALUE!</v>
      </c>
      <c r="GL167" t="e">
        <f>AND(tecantrop!C616,"AAAAAH1izsE=")</f>
        <v>#VALUE!</v>
      </c>
      <c r="GM167" t="e">
        <f>AND(tecantrop!D616,"AAAAAH1izsI=")</f>
        <v>#VALUE!</v>
      </c>
      <c r="GN167" t="e">
        <f>AND(tecantrop!E616,"AAAAAH1izsM=")</f>
        <v>#VALUE!</v>
      </c>
      <c r="GO167" t="e">
        <f>AND(tecantrop!F616,"AAAAAH1izsQ=")</f>
        <v>#VALUE!</v>
      </c>
      <c r="GP167" t="e">
        <f>AND(tecantrop!G616,"AAAAAH1izsU=")</f>
        <v>#VALUE!</v>
      </c>
      <c r="GQ167" t="e">
        <f>AND(tecantrop!H616,"AAAAAH1izsY=")</f>
        <v>#VALUE!</v>
      </c>
      <c r="GR167" t="e">
        <f>AND(tecantrop!I616,"AAAAAH1izsc=")</f>
        <v>#VALUE!</v>
      </c>
      <c r="GS167" t="e">
        <f>AND(tecantrop!J616,"AAAAAH1izsg=")</f>
        <v>#VALUE!</v>
      </c>
      <c r="GT167" t="e">
        <f>AND(tecantrop!K616,"AAAAAH1izsk=")</f>
        <v>#VALUE!</v>
      </c>
      <c r="GU167" t="e">
        <f>AND(tecantrop!L616,"AAAAAH1izso=")</f>
        <v>#VALUE!</v>
      </c>
      <c r="GV167" t="e">
        <f>AND(tecantrop!M616,"AAAAAH1izss=")</f>
        <v>#VALUE!</v>
      </c>
      <c r="GW167" t="e">
        <f>AND(tecantrop!N616,"AAAAAH1izsw=")</f>
        <v>#VALUE!</v>
      </c>
      <c r="GX167" t="e">
        <f>AND(tecantrop!O616,"AAAAAH1izs0=")</f>
        <v>#VALUE!</v>
      </c>
      <c r="GY167" t="e">
        <f>AND(tecantrop!P616,"AAAAAH1izs4=")</f>
        <v>#VALUE!</v>
      </c>
      <c r="GZ167" t="e">
        <f>AND(tecantrop!Q616,"AAAAAH1izs8=")</f>
        <v>#VALUE!</v>
      </c>
      <c r="HA167" t="e">
        <f>AND(tecantrop!R616,"AAAAAH1iztA=")</f>
        <v>#VALUE!</v>
      </c>
      <c r="HB167" t="e">
        <f>AND(tecantrop!S616,"AAAAAH1iztE=")</f>
        <v>#VALUE!</v>
      </c>
      <c r="HC167" t="e">
        <f>AND(tecantrop!T616,"AAAAAH1iztI=")</f>
        <v>#VALUE!</v>
      </c>
      <c r="HD167" t="e">
        <f>AND(tecantrop!U616,"AAAAAH1iztM=")</f>
        <v>#VALUE!</v>
      </c>
      <c r="HE167" t="e">
        <f>AND(tecantrop!V616,"AAAAAH1iztQ=")</f>
        <v>#VALUE!</v>
      </c>
      <c r="HF167" t="e">
        <f>AND(tecantrop!W616,"AAAAAH1iztU=")</f>
        <v>#VALUE!</v>
      </c>
      <c r="HG167" t="e">
        <f>AND(tecantrop!X616,"AAAAAH1iztY=")</f>
        <v>#VALUE!</v>
      </c>
      <c r="HH167">
        <f>IF(tecantrop!617:617,"AAAAAH1iztc=",0)</f>
        <v>0</v>
      </c>
      <c r="HI167" t="e">
        <f>AND(tecantrop!A617,"AAAAAH1iztg=")</f>
        <v>#VALUE!</v>
      </c>
      <c r="HJ167" t="e">
        <f>AND(tecantrop!B617,"AAAAAH1iztk=")</f>
        <v>#VALUE!</v>
      </c>
      <c r="HK167" t="e">
        <f>AND(tecantrop!C617,"AAAAAH1izto=")</f>
        <v>#VALUE!</v>
      </c>
      <c r="HL167" t="e">
        <f>AND(tecantrop!D617,"AAAAAH1izts=")</f>
        <v>#VALUE!</v>
      </c>
      <c r="HM167" t="e">
        <f>AND(tecantrop!E617,"AAAAAH1iztw=")</f>
        <v>#VALUE!</v>
      </c>
      <c r="HN167" t="e">
        <f>AND(tecantrop!F617,"AAAAAH1izt0=")</f>
        <v>#VALUE!</v>
      </c>
      <c r="HO167" t="e">
        <f>AND(tecantrop!G617,"AAAAAH1izt4=")</f>
        <v>#VALUE!</v>
      </c>
      <c r="HP167" t="e">
        <f>AND(tecantrop!H617,"AAAAAH1izt8=")</f>
        <v>#VALUE!</v>
      </c>
      <c r="HQ167" t="e">
        <f>AND(tecantrop!I617,"AAAAAH1izuA=")</f>
        <v>#VALUE!</v>
      </c>
      <c r="HR167" t="e">
        <f>AND(tecantrop!J617,"AAAAAH1izuE=")</f>
        <v>#VALUE!</v>
      </c>
      <c r="HS167" t="e">
        <f>AND(tecantrop!K617,"AAAAAH1izuI=")</f>
        <v>#VALUE!</v>
      </c>
      <c r="HT167" t="e">
        <f>AND(tecantrop!L617,"AAAAAH1izuM=")</f>
        <v>#VALUE!</v>
      </c>
      <c r="HU167" t="e">
        <f>AND(tecantrop!M617,"AAAAAH1izuQ=")</f>
        <v>#VALUE!</v>
      </c>
      <c r="HV167" t="e">
        <f>AND(tecantrop!N617,"AAAAAH1izuU=")</f>
        <v>#VALUE!</v>
      </c>
      <c r="HW167" t="e">
        <f>AND(tecantrop!O617,"AAAAAH1izuY=")</f>
        <v>#VALUE!</v>
      </c>
      <c r="HX167" t="e">
        <f>AND(tecantrop!P617,"AAAAAH1izuc=")</f>
        <v>#VALUE!</v>
      </c>
      <c r="HY167" t="e">
        <f>AND(tecantrop!Q617,"AAAAAH1izug=")</f>
        <v>#VALUE!</v>
      </c>
      <c r="HZ167" t="e">
        <f>AND(tecantrop!R617,"AAAAAH1izuk=")</f>
        <v>#VALUE!</v>
      </c>
      <c r="IA167" t="e">
        <f>AND(tecantrop!S617,"AAAAAH1izuo=")</f>
        <v>#VALUE!</v>
      </c>
      <c r="IB167" t="e">
        <f>AND(tecantrop!T617,"AAAAAH1izus=")</f>
        <v>#VALUE!</v>
      </c>
      <c r="IC167" t="e">
        <f>AND(tecantrop!U617,"AAAAAH1izuw=")</f>
        <v>#VALUE!</v>
      </c>
      <c r="ID167" t="e">
        <f>AND(tecantrop!V617,"AAAAAH1izu0=")</f>
        <v>#VALUE!</v>
      </c>
      <c r="IE167" t="e">
        <f>AND(tecantrop!W617,"AAAAAH1izu4=")</f>
        <v>#VALUE!</v>
      </c>
      <c r="IF167" t="e">
        <f>AND(tecantrop!X617,"AAAAAH1izu8=")</f>
        <v>#VALUE!</v>
      </c>
      <c r="IG167">
        <f>IF(tecantrop!618:618,"AAAAAH1izvA=",0)</f>
        <v>0</v>
      </c>
      <c r="IH167" t="e">
        <f>AND(tecantrop!A618,"AAAAAH1izvE=")</f>
        <v>#VALUE!</v>
      </c>
      <c r="II167" t="e">
        <f>AND(tecantrop!B618,"AAAAAH1izvI=")</f>
        <v>#VALUE!</v>
      </c>
      <c r="IJ167" t="e">
        <f>AND(tecantrop!C618,"AAAAAH1izvM=")</f>
        <v>#VALUE!</v>
      </c>
      <c r="IK167" t="e">
        <f>AND(tecantrop!D618,"AAAAAH1izvQ=")</f>
        <v>#VALUE!</v>
      </c>
      <c r="IL167" t="e">
        <f>AND(tecantrop!E618,"AAAAAH1izvU=")</f>
        <v>#VALUE!</v>
      </c>
      <c r="IM167" t="e">
        <f>AND(tecantrop!F618,"AAAAAH1izvY=")</f>
        <v>#VALUE!</v>
      </c>
      <c r="IN167" t="e">
        <f>AND(tecantrop!G618,"AAAAAH1izvc=")</f>
        <v>#VALUE!</v>
      </c>
      <c r="IO167" t="e">
        <f>AND(tecantrop!H618,"AAAAAH1izvg=")</f>
        <v>#VALUE!</v>
      </c>
      <c r="IP167" t="e">
        <f>AND(tecantrop!I618,"AAAAAH1izvk=")</f>
        <v>#VALUE!</v>
      </c>
      <c r="IQ167" t="e">
        <f>AND(tecantrop!J618,"AAAAAH1izvo=")</f>
        <v>#VALUE!</v>
      </c>
      <c r="IR167" t="e">
        <f>AND(tecantrop!K618,"AAAAAH1izvs=")</f>
        <v>#VALUE!</v>
      </c>
      <c r="IS167" t="e">
        <f>AND(tecantrop!L618,"AAAAAH1izvw=")</f>
        <v>#VALUE!</v>
      </c>
      <c r="IT167" t="e">
        <f>AND(tecantrop!M618,"AAAAAH1izv0=")</f>
        <v>#VALUE!</v>
      </c>
      <c r="IU167" t="e">
        <f>AND(tecantrop!N618,"AAAAAH1izv4=")</f>
        <v>#VALUE!</v>
      </c>
      <c r="IV167" t="e">
        <f>AND(tecantrop!O618,"AAAAAH1izv8=")</f>
        <v>#VALUE!</v>
      </c>
    </row>
    <row r="168" spans="1:256" x14ac:dyDescent="0.2">
      <c r="A168" t="e">
        <f>AND(tecantrop!P618,"AAAAAH/71QA=")</f>
        <v>#VALUE!</v>
      </c>
      <c r="B168" t="e">
        <f>AND(tecantrop!Q618,"AAAAAH/71QE=")</f>
        <v>#VALUE!</v>
      </c>
      <c r="C168" t="e">
        <f>AND(tecantrop!R618,"AAAAAH/71QI=")</f>
        <v>#VALUE!</v>
      </c>
      <c r="D168" t="e">
        <f>AND(tecantrop!S618,"AAAAAH/71QM=")</f>
        <v>#VALUE!</v>
      </c>
      <c r="E168" t="e">
        <f>AND(tecantrop!T618,"AAAAAH/71QQ=")</f>
        <v>#VALUE!</v>
      </c>
      <c r="F168" t="e">
        <f>AND(tecantrop!U618,"AAAAAH/71QU=")</f>
        <v>#VALUE!</v>
      </c>
      <c r="G168" t="e">
        <f>AND(tecantrop!V618,"AAAAAH/71QY=")</f>
        <v>#VALUE!</v>
      </c>
      <c r="H168" t="e">
        <f>AND(tecantrop!W618,"AAAAAH/71Qc=")</f>
        <v>#VALUE!</v>
      </c>
      <c r="I168" t="e">
        <f>AND(tecantrop!X618,"AAAAAH/71Qg=")</f>
        <v>#VALUE!</v>
      </c>
      <c r="J168">
        <f>IF(tecantrop!619:619,"AAAAAH/71Qk=",0)</f>
        <v>0</v>
      </c>
      <c r="K168" t="e">
        <f>AND(tecantrop!A619,"AAAAAH/71Qo=")</f>
        <v>#VALUE!</v>
      </c>
      <c r="L168" t="e">
        <f>AND(tecantrop!B619,"AAAAAH/71Qs=")</f>
        <v>#VALUE!</v>
      </c>
      <c r="M168" t="e">
        <f>AND(tecantrop!C619,"AAAAAH/71Qw=")</f>
        <v>#VALUE!</v>
      </c>
      <c r="N168" t="e">
        <f>AND(tecantrop!D619,"AAAAAH/71Q0=")</f>
        <v>#VALUE!</v>
      </c>
      <c r="O168" t="e">
        <f>AND(tecantrop!E619,"AAAAAH/71Q4=")</f>
        <v>#VALUE!</v>
      </c>
      <c r="P168" t="e">
        <f>AND(tecantrop!F619,"AAAAAH/71Q8=")</f>
        <v>#VALUE!</v>
      </c>
      <c r="Q168" t="e">
        <f>AND(tecantrop!G619,"AAAAAH/71RA=")</f>
        <v>#VALUE!</v>
      </c>
      <c r="R168" t="e">
        <f>AND(tecantrop!H619,"AAAAAH/71RE=")</f>
        <v>#VALUE!</v>
      </c>
      <c r="S168" t="e">
        <f>AND(tecantrop!I619,"AAAAAH/71RI=")</f>
        <v>#VALUE!</v>
      </c>
      <c r="T168" t="e">
        <f>AND(tecantrop!J619,"AAAAAH/71RM=")</f>
        <v>#VALUE!</v>
      </c>
      <c r="U168" t="e">
        <f>AND(tecantrop!K619,"AAAAAH/71RQ=")</f>
        <v>#VALUE!</v>
      </c>
      <c r="V168" t="e">
        <f>AND(tecantrop!L619,"AAAAAH/71RU=")</f>
        <v>#VALUE!</v>
      </c>
      <c r="W168" t="e">
        <f>AND(tecantrop!M619,"AAAAAH/71RY=")</f>
        <v>#VALUE!</v>
      </c>
      <c r="X168" t="e">
        <f>AND(tecantrop!N619,"AAAAAH/71Rc=")</f>
        <v>#VALUE!</v>
      </c>
      <c r="Y168" t="e">
        <f>AND(tecantrop!O619,"AAAAAH/71Rg=")</f>
        <v>#VALUE!</v>
      </c>
      <c r="Z168" t="e">
        <f>AND(tecantrop!P619,"AAAAAH/71Rk=")</f>
        <v>#VALUE!</v>
      </c>
      <c r="AA168" t="e">
        <f>AND(tecantrop!Q619,"AAAAAH/71Ro=")</f>
        <v>#VALUE!</v>
      </c>
      <c r="AB168" t="e">
        <f>AND(tecantrop!R619,"AAAAAH/71Rs=")</f>
        <v>#VALUE!</v>
      </c>
      <c r="AC168" t="e">
        <f>AND(tecantrop!S619,"AAAAAH/71Rw=")</f>
        <v>#VALUE!</v>
      </c>
      <c r="AD168" t="e">
        <f>AND(tecantrop!T619,"AAAAAH/71R0=")</f>
        <v>#VALUE!</v>
      </c>
      <c r="AE168" t="e">
        <f>AND(tecantrop!U619,"AAAAAH/71R4=")</f>
        <v>#VALUE!</v>
      </c>
      <c r="AF168" t="e">
        <f>AND(tecantrop!V619,"AAAAAH/71R8=")</f>
        <v>#VALUE!</v>
      </c>
      <c r="AG168" t="e">
        <f>AND(tecantrop!W619,"AAAAAH/71SA=")</f>
        <v>#VALUE!</v>
      </c>
      <c r="AH168" t="e">
        <f>AND(tecantrop!X619,"AAAAAH/71SE=")</f>
        <v>#VALUE!</v>
      </c>
      <c r="AI168">
        <f>IF(tecantrop!620:620,"AAAAAH/71SI=",0)</f>
        <v>0</v>
      </c>
      <c r="AJ168" t="e">
        <f>AND(tecantrop!A620,"AAAAAH/71SM=")</f>
        <v>#VALUE!</v>
      </c>
      <c r="AK168" t="e">
        <f>AND(tecantrop!B620,"AAAAAH/71SQ=")</f>
        <v>#VALUE!</v>
      </c>
      <c r="AL168" t="e">
        <f>AND(tecantrop!C620,"AAAAAH/71SU=")</f>
        <v>#VALUE!</v>
      </c>
      <c r="AM168" t="e">
        <f>AND(tecantrop!D620,"AAAAAH/71SY=")</f>
        <v>#VALUE!</v>
      </c>
      <c r="AN168" t="e">
        <f>AND(tecantrop!E620,"AAAAAH/71Sc=")</f>
        <v>#VALUE!</v>
      </c>
      <c r="AO168" t="e">
        <f>AND(tecantrop!F620,"AAAAAH/71Sg=")</f>
        <v>#VALUE!</v>
      </c>
      <c r="AP168" t="e">
        <f>AND(tecantrop!G620,"AAAAAH/71Sk=")</f>
        <v>#VALUE!</v>
      </c>
      <c r="AQ168" t="e">
        <f>AND(tecantrop!H620,"AAAAAH/71So=")</f>
        <v>#VALUE!</v>
      </c>
      <c r="AR168" t="e">
        <f>AND(tecantrop!I620,"AAAAAH/71Ss=")</f>
        <v>#VALUE!</v>
      </c>
      <c r="AS168" t="e">
        <f>AND(tecantrop!J620,"AAAAAH/71Sw=")</f>
        <v>#VALUE!</v>
      </c>
      <c r="AT168" t="e">
        <f>AND(tecantrop!K620,"AAAAAH/71S0=")</f>
        <v>#VALUE!</v>
      </c>
      <c r="AU168" t="e">
        <f>AND(tecantrop!L620,"AAAAAH/71S4=")</f>
        <v>#VALUE!</v>
      </c>
      <c r="AV168" t="e">
        <f>AND(tecantrop!M620,"AAAAAH/71S8=")</f>
        <v>#VALUE!</v>
      </c>
      <c r="AW168" t="e">
        <f>AND(tecantrop!N620,"AAAAAH/71TA=")</f>
        <v>#VALUE!</v>
      </c>
      <c r="AX168" t="e">
        <f>AND(tecantrop!O620,"AAAAAH/71TE=")</f>
        <v>#VALUE!</v>
      </c>
      <c r="AY168" t="e">
        <f>AND(tecantrop!P620,"AAAAAH/71TI=")</f>
        <v>#VALUE!</v>
      </c>
      <c r="AZ168" t="e">
        <f>AND(tecantrop!Q620,"AAAAAH/71TM=")</f>
        <v>#VALUE!</v>
      </c>
      <c r="BA168" t="e">
        <f>AND(tecantrop!R620,"AAAAAH/71TQ=")</f>
        <v>#VALUE!</v>
      </c>
      <c r="BB168" t="e">
        <f>AND(tecantrop!S620,"AAAAAH/71TU=")</f>
        <v>#VALUE!</v>
      </c>
      <c r="BC168" t="e">
        <f>AND(tecantrop!T620,"AAAAAH/71TY=")</f>
        <v>#VALUE!</v>
      </c>
      <c r="BD168" t="e">
        <f>AND(tecantrop!U620,"AAAAAH/71Tc=")</f>
        <v>#VALUE!</v>
      </c>
      <c r="BE168" t="e">
        <f>AND(tecantrop!V620,"AAAAAH/71Tg=")</f>
        <v>#VALUE!</v>
      </c>
      <c r="BF168" t="e">
        <f>AND(tecantrop!W620,"AAAAAH/71Tk=")</f>
        <v>#VALUE!</v>
      </c>
      <c r="BG168" t="e">
        <f>AND(tecantrop!X620,"AAAAAH/71To=")</f>
        <v>#VALUE!</v>
      </c>
      <c r="BH168">
        <f>IF(tecantrop!621:621,"AAAAAH/71Ts=",0)</f>
        <v>0</v>
      </c>
      <c r="BI168" t="e">
        <f>AND(tecantrop!A621,"AAAAAH/71Tw=")</f>
        <v>#VALUE!</v>
      </c>
      <c r="BJ168" t="e">
        <f>AND(tecantrop!B621,"AAAAAH/71T0=")</f>
        <v>#VALUE!</v>
      </c>
      <c r="BK168" t="e">
        <f>AND(tecantrop!C621,"AAAAAH/71T4=")</f>
        <v>#VALUE!</v>
      </c>
      <c r="BL168" t="e">
        <f>AND(tecantrop!D621,"AAAAAH/71T8=")</f>
        <v>#VALUE!</v>
      </c>
      <c r="BM168" t="e">
        <f>AND(tecantrop!E621,"AAAAAH/71UA=")</f>
        <v>#VALUE!</v>
      </c>
      <c r="BN168" t="e">
        <f>AND(tecantrop!F621,"AAAAAH/71UE=")</f>
        <v>#VALUE!</v>
      </c>
      <c r="BO168" t="e">
        <f>AND(tecantrop!G621,"AAAAAH/71UI=")</f>
        <v>#VALUE!</v>
      </c>
      <c r="BP168" t="e">
        <f>AND(tecantrop!H621,"AAAAAH/71UM=")</f>
        <v>#VALUE!</v>
      </c>
      <c r="BQ168" t="e">
        <f>AND(tecantrop!I621,"AAAAAH/71UQ=")</f>
        <v>#VALUE!</v>
      </c>
      <c r="BR168" t="e">
        <f>AND(tecantrop!J621,"AAAAAH/71UU=")</f>
        <v>#VALUE!</v>
      </c>
      <c r="BS168" t="e">
        <f>AND(tecantrop!K621,"AAAAAH/71UY=")</f>
        <v>#VALUE!</v>
      </c>
      <c r="BT168" t="e">
        <f>AND(tecantrop!L621,"AAAAAH/71Uc=")</f>
        <v>#VALUE!</v>
      </c>
      <c r="BU168" t="e">
        <f>AND(tecantrop!M621,"AAAAAH/71Ug=")</f>
        <v>#VALUE!</v>
      </c>
      <c r="BV168" t="e">
        <f>AND(tecantrop!N621,"AAAAAH/71Uk=")</f>
        <v>#VALUE!</v>
      </c>
      <c r="BW168" t="e">
        <f>AND(tecantrop!O621,"AAAAAH/71Uo=")</f>
        <v>#VALUE!</v>
      </c>
      <c r="BX168" t="e">
        <f>AND(tecantrop!P621,"AAAAAH/71Us=")</f>
        <v>#VALUE!</v>
      </c>
      <c r="BY168" t="e">
        <f>AND(tecantrop!Q621,"AAAAAH/71Uw=")</f>
        <v>#VALUE!</v>
      </c>
      <c r="BZ168" t="e">
        <f>AND(tecantrop!R621,"AAAAAH/71U0=")</f>
        <v>#VALUE!</v>
      </c>
      <c r="CA168" t="e">
        <f>AND(tecantrop!S621,"AAAAAH/71U4=")</f>
        <v>#VALUE!</v>
      </c>
      <c r="CB168" t="e">
        <f>AND(tecantrop!T621,"AAAAAH/71U8=")</f>
        <v>#VALUE!</v>
      </c>
      <c r="CC168" t="e">
        <f>AND(tecantrop!U621,"AAAAAH/71VA=")</f>
        <v>#VALUE!</v>
      </c>
      <c r="CD168" t="e">
        <f>AND(tecantrop!V621,"AAAAAH/71VE=")</f>
        <v>#VALUE!</v>
      </c>
      <c r="CE168" t="e">
        <f>AND(tecantrop!W621,"AAAAAH/71VI=")</f>
        <v>#VALUE!</v>
      </c>
      <c r="CF168" t="e">
        <f>AND(tecantrop!X621,"AAAAAH/71VM=")</f>
        <v>#VALUE!</v>
      </c>
      <c r="CG168">
        <f>IF(tecantrop!622:622,"AAAAAH/71VQ=",0)</f>
        <v>0</v>
      </c>
      <c r="CH168" t="e">
        <f>AND(tecantrop!A622,"AAAAAH/71VU=")</f>
        <v>#VALUE!</v>
      </c>
      <c r="CI168" t="e">
        <f>AND(tecantrop!B622,"AAAAAH/71VY=")</f>
        <v>#VALUE!</v>
      </c>
      <c r="CJ168" t="e">
        <f>AND(tecantrop!C622,"AAAAAH/71Vc=")</f>
        <v>#VALUE!</v>
      </c>
      <c r="CK168" t="e">
        <f>AND(tecantrop!D622,"AAAAAH/71Vg=")</f>
        <v>#VALUE!</v>
      </c>
      <c r="CL168" t="e">
        <f>AND(tecantrop!E622,"AAAAAH/71Vk=")</f>
        <v>#VALUE!</v>
      </c>
      <c r="CM168" t="e">
        <f>AND(tecantrop!F622,"AAAAAH/71Vo=")</f>
        <v>#VALUE!</v>
      </c>
      <c r="CN168" t="e">
        <f>AND(tecantrop!G622,"AAAAAH/71Vs=")</f>
        <v>#VALUE!</v>
      </c>
      <c r="CO168" t="e">
        <f>AND(tecantrop!H622,"AAAAAH/71Vw=")</f>
        <v>#VALUE!</v>
      </c>
      <c r="CP168" t="e">
        <f>AND(tecantrop!I622,"AAAAAH/71V0=")</f>
        <v>#VALUE!</v>
      </c>
      <c r="CQ168" t="e">
        <f>AND(tecantrop!J622,"AAAAAH/71V4=")</f>
        <v>#VALUE!</v>
      </c>
      <c r="CR168" t="e">
        <f>AND(tecantrop!K622,"AAAAAH/71V8=")</f>
        <v>#VALUE!</v>
      </c>
      <c r="CS168" t="e">
        <f>AND(tecantrop!L622,"AAAAAH/71WA=")</f>
        <v>#VALUE!</v>
      </c>
      <c r="CT168" t="e">
        <f>AND(tecantrop!M622,"AAAAAH/71WE=")</f>
        <v>#VALUE!</v>
      </c>
      <c r="CU168" t="e">
        <f>AND(tecantrop!N622,"AAAAAH/71WI=")</f>
        <v>#VALUE!</v>
      </c>
      <c r="CV168" t="e">
        <f>AND(tecantrop!O622,"AAAAAH/71WM=")</f>
        <v>#VALUE!</v>
      </c>
      <c r="CW168" t="e">
        <f>AND(tecantrop!P622,"AAAAAH/71WQ=")</f>
        <v>#VALUE!</v>
      </c>
      <c r="CX168" t="e">
        <f>AND(tecantrop!Q622,"AAAAAH/71WU=")</f>
        <v>#VALUE!</v>
      </c>
      <c r="CY168" t="e">
        <f>AND(tecantrop!R622,"AAAAAH/71WY=")</f>
        <v>#VALUE!</v>
      </c>
      <c r="CZ168" t="e">
        <f>AND(tecantrop!S622,"AAAAAH/71Wc=")</f>
        <v>#VALUE!</v>
      </c>
      <c r="DA168" t="e">
        <f>AND(tecantrop!T622,"AAAAAH/71Wg=")</f>
        <v>#VALUE!</v>
      </c>
      <c r="DB168" t="e">
        <f>AND(tecantrop!U622,"AAAAAH/71Wk=")</f>
        <v>#VALUE!</v>
      </c>
      <c r="DC168" t="e">
        <f>AND(tecantrop!V622,"AAAAAH/71Wo=")</f>
        <v>#VALUE!</v>
      </c>
      <c r="DD168" t="e">
        <f>AND(tecantrop!W622,"AAAAAH/71Ws=")</f>
        <v>#VALUE!</v>
      </c>
      <c r="DE168" t="e">
        <f>AND(tecantrop!X622,"AAAAAH/71Ww=")</f>
        <v>#VALUE!</v>
      </c>
      <c r="DF168">
        <f>IF(tecantrop!623:623,"AAAAAH/71W0=",0)</f>
        <v>0</v>
      </c>
      <c r="DG168" t="e">
        <f>AND(tecantrop!A623,"AAAAAH/71W4=")</f>
        <v>#VALUE!</v>
      </c>
      <c r="DH168" t="e">
        <f>AND(tecantrop!B623,"AAAAAH/71W8=")</f>
        <v>#VALUE!</v>
      </c>
      <c r="DI168" t="e">
        <f>AND(tecantrop!C623,"AAAAAH/71XA=")</f>
        <v>#VALUE!</v>
      </c>
      <c r="DJ168" t="e">
        <f>AND(tecantrop!D623,"AAAAAH/71XE=")</f>
        <v>#VALUE!</v>
      </c>
      <c r="DK168" t="e">
        <f>AND(tecantrop!E623,"AAAAAH/71XI=")</f>
        <v>#VALUE!</v>
      </c>
      <c r="DL168" t="e">
        <f>AND(tecantrop!F623,"AAAAAH/71XM=")</f>
        <v>#VALUE!</v>
      </c>
      <c r="DM168" t="e">
        <f>AND(tecantrop!G623,"AAAAAH/71XQ=")</f>
        <v>#VALUE!</v>
      </c>
      <c r="DN168" t="e">
        <f>AND(tecantrop!H623,"AAAAAH/71XU=")</f>
        <v>#VALUE!</v>
      </c>
      <c r="DO168" t="e">
        <f>AND(tecantrop!I623,"AAAAAH/71XY=")</f>
        <v>#VALUE!</v>
      </c>
      <c r="DP168" t="e">
        <f>AND(tecantrop!J623,"AAAAAH/71Xc=")</f>
        <v>#VALUE!</v>
      </c>
      <c r="DQ168" t="e">
        <f>AND(tecantrop!K623,"AAAAAH/71Xg=")</f>
        <v>#VALUE!</v>
      </c>
      <c r="DR168" t="e">
        <f>AND(tecantrop!L623,"AAAAAH/71Xk=")</f>
        <v>#VALUE!</v>
      </c>
      <c r="DS168" t="e">
        <f>AND(tecantrop!M623,"AAAAAH/71Xo=")</f>
        <v>#VALUE!</v>
      </c>
      <c r="DT168" t="e">
        <f>AND(tecantrop!N623,"AAAAAH/71Xs=")</f>
        <v>#VALUE!</v>
      </c>
      <c r="DU168" t="e">
        <f>AND(tecantrop!O623,"AAAAAH/71Xw=")</f>
        <v>#VALUE!</v>
      </c>
      <c r="DV168" t="e">
        <f>AND(tecantrop!P623,"AAAAAH/71X0=")</f>
        <v>#VALUE!</v>
      </c>
      <c r="DW168" t="e">
        <f>AND(tecantrop!Q623,"AAAAAH/71X4=")</f>
        <v>#VALUE!</v>
      </c>
      <c r="DX168" t="e">
        <f>AND(tecantrop!R623,"AAAAAH/71X8=")</f>
        <v>#VALUE!</v>
      </c>
      <c r="DY168" t="e">
        <f>AND(tecantrop!S623,"AAAAAH/71YA=")</f>
        <v>#VALUE!</v>
      </c>
      <c r="DZ168" t="e">
        <f>AND(tecantrop!T623,"AAAAAH/71YE=")</f>
        <v>#VALUE!</v>
      </c>
      <c r="EA168" t="e">
        <f>AND(tecantrop!U623,"AAAAAH/71YI=")</f>
        <v>#VALUE!</v>
      </c>
      <c r="EB168" t="e">
        <f>AND(tecantrop!V623,"AAAAAH/71YM=")</f>
        <v>#VALUE!</v>
      </c>
      <c r="EC168" t="e">
        <f>AND(tecantrop!W623,"AAAAAH/71YQ=")</f>
        <v>#VALUE!</v>
      </c>
      <c r="ED168" t="e">
        <f>AND(tecantrop!X623,"AAAAAH/71YU=")</f>
        <v>#VALUE!</v>
      </c>
      <c r="EE168">
        <f>IF(tecantrop!624:624,"AAAAAH/71YY=",0)</f>
        <v>0</v>
      </c>
      <c r="EF168" t="e">
        <f>AND(tecantrop!A624,"AAAAAH/71Yc=")</f>
        <v>#VALUE!</v>
      </c>
      <c r="EG168" t="e">
        <f>AND(tecantrop!B624,"AAAAAH/71Yg=")</f>
        <v>#VALUE!</v>
      </c>
      <c r="EH168" t="e">
        <f>AND(tecantrop!C624,"AAAAAH/71Yk=")</f>
        <v>#VALUE!</v>
      </c>
      <c r="EI168" t="e">
        <f>AND(tecantrop!D624,"AAAAAH/71Yo=")</f>
        <v>#VALUE!</v>
      </c>
      <c r="EJ168" t="e">
        <f>AND(tecantrop!E624,"AAAAAH/71Ys=")</f>
        <v>#VALUE!</v>
      </c>
      <c r="EK168" t="e">
        <f>AND(tecantrop!F624,"AAAAAH/71Yw=")</f>
        <v>#VALUE!</v>
      </c>
      <c r="EL168" t="e">
        <f>AND(tecantrop!G624,"AAAAAH/71Y0=")</f>
        <v>#VALUE!</v>
      </c>
      <c r="EM168" t="e">
        <f>AND(tecantrop!H624,"AAAAAH/71Y4=")</f>
        <v>#VALUE!</v>
      </c>
      <c r="EN168" t="e">
        <f>AND(tecantrop!I624,"AAAAAH/71Y8=")</f>
        <v>#VALUE!</v>
      </c>
      <c r="EO168" t="e">
        <f>AND(tecantrop!J624,"AAAAAH/71ZA=")</f>
        <v>#VALUE!</v>
      </c>
      <c r="EP168" t="e">
        <f>AND(tecantrop!K624,"AAAAAH/71ZE=")</f>
        <v>#VALUE!</v>
      </c>
      <c r="EQ168" t="e">
        <f>AND(tecantrop!L624,"AAAAAH/71ZI=")</f>
        <v>#VALUE!</v>
      </c>
      <c r="ER168" t="e">
        <f>AND(tecantrop!M624,"AAAAAH/71ZM=")</f>
        <v>#VALUE!</v>
      </c>
      <c r="ES168" t="e">
        <f>AND(tecantrop!N624,"AAAAAH/71ZQ=")</f>
        <v>#VALUE!</v>
      </c>
      <c r="ET168" t="e">
        <f>AND(tecantrop!O624,"AAAAAH/71ZU=")</f>
        <v>#VALUE!</v>
      </c>
      <c r="EU168" t="e">
        <f>AND(tecantrop!P624,"AAAAAH/71ZY=")</f>
        <v>#VALUE!</v>
      </c>
      <c r="EV168" t="e">
        <f>AND(tecantrop!Q624,"AAAAAH/71Zc=")</f>
        <v>#VALUE!</v>
      </c>
      <c r="EW168" t="e">
        <f>AND(tecantrop!R624,"AAAAAH/71Zg=")</f>
        <v>#VALUE!</v>
      </c>
      <c r="EX168" t="e">
        <f>AND(tecantrop!S624,"AAAAAH/71Zk=")</f>
        <v>#VALUE!</v>
      </c>
      <c r="EY168" t="e">
        <f>AND(tecantrop!T624,"AAAAAH/71Zo=")</f>
        <v>#VALUE!</v>
      </c>
      <c r="EZ168" t="e">
        <f>AND(tecantrop!U624,"AAAAAH/71Zs=")</f>
        <v>#VALUE!</v>
      </c>
      <c r="FA168" t="e">
        <f>AND(tecantrop!V624,"AAAAAH/71Zw=")</f>
        <v>#VALUE!</v>
      </c>
      <c r="FB168" t="e">
        <f>AND(tecantrop!W624,"AAAAAH/71Z0=")</f>
        <v>#VALUE!</v>
      </c>
      <c r="FC168" t="e">
        <f>AND(tecantrop!X624,"AAAAAH/71Z4=")</f>
        <v>#VALUE!</v>
      </c>
      <c r="FD168">
        <f>IF(tecantrop!625:625,"AAAAAH/71Z8=",0)</f>
        <v>0</v>
      </c>
      <c r="FE168" t="e">
        <f>AND(tecantrop!A625,"AAAAAH/71aA=")</f>
        <v>#VALUE!</v>
      </c>
      <c r="FF168" t="e">
        <f>AND(tecantrop!B625,"AAAAAH/71aE=")</f>
        <v>#VALUE!</v>
      </c>
      <c r="FG168" t="e">
        <f>AND(tecantrop!C625,"AAAAAH/71aI=")</f>
        <v>#VALUE!</v>
      </c>
      <c r="FH168" t="e">
        <f>AND(tecantrop!D625,"AAAAAH/71aM=")</f>
        <v>#VALUE!</v>
      </c>
      <c r="FI168" t="e">
        <f>AND(tecantrop!E625,"AAAAAH/71aQ=")</f>
        <v>#VALUE!</v>
      </c>
      <c r="FJ168" t="e">
        <f>AND(tecantrop!F625,"AAAAAH/71aU=")</f>
        <v>#VALUE!</v>
      </c>
      <c r="FK168" t="e">
        <f>AND(tecantrop!G625,"AAAAAH/71aY=")</f>
        <v>#VALUE!</v>
      </c>
      <c r="FL168" t="e">
        <f>AND(tecantrop!H625,"AAAAAH/71ac=")</f>
        <v>#VALUE!</v>
      </c>
      <c r="FM168" t="e">
        <f>AND(tecantrop!I625,"AAAAAH/71ag=")</f>
        <v>#VALUE!</v>
      </c>
      <c r="FN168" t="e">
        <f>AND(tecantrop!J625,"AAAAAH/71ak=")</f>
        <v>#VALUE!</v>
      </c>
      <c r="FO168" t="e">
        <f>AND(tecantrop!K625,"AAAAAH/71ao=")</f>
        <v>#VALUE!</v>
      </c>
      <c r="FP168" t="e">
        <f>AND(tecantrop!L625,"AAAAAH/71as=")</f>
        <v>#VALUE!</v>
      </c>
      <c r="FQ168" t="e">
        <f>AND(tecantrop!M625,"AAAAAH/71aw=")</f>
        <v>#VALUE!</v>
      </c>
      <c r="FR168" t="e">
        <f>AND(tecantrop!N625,"AAAAAH/71a0=")</f>
        <v>#VALUE!</v>
      </c>
      <c r="FS168" t="e">
        <f>AND(tecantrop!O625,"AAAAAH/71a4=")</f>
        <v>#VALUE!</v>
      </c>
      <c r="FT168" t="e">
        <f>AND(tecantrop!P625,"AAAAAH/71a8=")</f>
        <v>#VALUE!</v>
      </c>
      <c r="FU168" t="e">
        <f>AND(tecantrop!Q625,"AAAAAH/71bA=")</f>
        <v>#VALUE!</v>
      </c>
      <c r="FV168" t="e">
        <f>AND(tecantrop!R625,"AAAAAH/71bE=")</f>
        <v>#VALUE!</v>
      </c>
      <c r="FW168" t="e">
        <f>AND(tecantrop!S625,"AAAAAH/71bI=")</f>
        <v>#VALUE!</v>
      </c>
      <c r="FX168" t="e">
        <f>AND(tecantrop!T625,"AAAAAH/71bM=")</f>
        <v>#VALUE!</v>
      </c>
      <c r="FY168" t="e">
        <f>AND(tecantrop!U625,"AAAAAH/71bQ=")</f>
        <v>#VALUE!</v>
      </c>
      <c r="FZ168" t="e">
        <f>AND(tecantrop!V625,"AAAAAH/71bU=")</f>
        <v>#VALUE!</v>
      </c>
      <c r="GA168" t="e">
        <f>AND(tecantrop!W625,"AAAAAH/71bY=")</f>
        <v>#VALUE!</v>
      </c>
      <c r="GB168" t="e">
        <f>AND(tecantrop!X625,"AAAAAH/71bc=")</f>
        <v>#VALUE!</v>
      </c>
      <c r="GC168">
        <f>IF(tecantrop!626:626,"AAAAAH/71bg=",0)</f>
        <v>0</v>
      </c>
      <c r="GD168" t="e">
        <f>AND(tecantrop!A626,"AAAAAH/71bk=")</f>
        <v>#VALUE!</v>
      </c>
      <c r="GE168" t="e">
        <f>AND(tecantrop!B626,"AAAAAH/71bo=")</f>
        <v>#VALUE!</v>
      </c>
      <c r="GF168" t="e">
        <f>AND(tecantrop!C626,"AAAAAH/71bs=")</f>
        <v>#VALUE!</v>
      </c>
      <c r="GG168" t="e">
        <f>AND(tecantrop!D626,"AAAAAH/71bw=")</f>
        <v>#VALUE!</v>
      </c>
      <c r="GH168" t="e">
        <f>AND(tecantrop!E626,"AAAAAH/71b0=")</f>
        <v>#VALUE!</v>
      </c>
      <c r="GI168" t="e">
        <f>AND(tecantrop!F626,"AAAAAH/71b4=")</f>
        <v>#VALUE!</v>
      </c>
      <c r="GJ168" t="e">
        <f>AND(tecantrop!G626,"AAAAAH/71b8=")</f>
        <v>#VALUE!</v>
      </c>
      <c r="GK168" t="e">
        <f>AND(tecantrop!H626,"AAAAAH/71cA=")</f>
        <v>#VALUE!</v>
      </c>
      <c r="GL168" t="e">
        <f>AND(tecantrop!I626,"AAAAAH/71cE=")</f>
        <v>#VALUE!</v>
      </c>
      <c r="GM168" t="e">
        <f>AND(tecantrop!J626,"AAAAAH/71cI=")</f>
        <v>#VALUE!</v>
      </c>
      <c r="GN168" t="e">
        <f>AND(tecantrop!K626,"AAAAAH/71cM=")</f>
        <v>#VALUE!</v>
      </c>
      <c r="GO168" t="e">
        <f>AND(tecantrop!L626,"AAAAAH/71cQ=")</f>
        <v>#VALUE!</v>
      </c>
      <c r="GP168" t="e">
        <f>AND(tecantrop!M626,"AAAAAH/71cU=")</f>
        <v>#VALUE!</v>
      </c>
      <c r="GQ168" t="e">
        <f>AND(tecantrop!N626,"AAAAAH/71cY=")</f>
        <v>#VALUE!</v>
      </c>
      <c r="GR168" t="e">
        <f>AND(tecantrop!O626,"AAAAAH/71cc=")</f>
        <v>#VALUE!</v>
      </c>
      <c r="GS168" t="e">
        <f>AND(tecantrop!P626,"AAAAAH/71cg=")</f>
        <v>#VALUE!</v>
      </c>
      <c r="GT168" t="e">
        <f>AND(tecantrop!Q626,"AAAAAH/71ck=")</f>
        <v>#VALUE!</v>
      </c>
      <c r="GU168" t="e">
        <f>AND(tecantrop!R626,"AAAAAH/71co=")</f>
        <v>#VALUE!</v>
      </c>
      <c r="GV168" t="e">
        <f>AND(tecantrop!S626,"AAAAAH/71cs=")</f>
        <v>#VALUE!</v>
      </c>
      <c r="GW168" t="e">
        <f>AND(tecantrop!T626,"AAAAAH/71cw=")</f>
        <v>#VALUE!</v>
      </c>
      <c r="GX168" t="e">
        <f>AND(tecantrop!U626,"AAAAAH/71c0=")</f>
        <v>#VALUE!</v>
      </c>
      <c r="GY168" t="e">
        <f>AND(tecantrop!V626,"AAAAAH/71c4=")</f>
        <v>#VALUE!</v>
      </c>
      <c r="GZ168" t="e">
        <f>AND(tecantrop!W626,"AAAAAH/71c8=")</f>
        <v>#VALUE!</v>
      </c>
      <c r="HA168" t="e">
        <f>AND(tecantrop!X626,"AAAAAH/71dA=")</f>
        <v>#VALUE!</v>
      </c>
      <c r="HB168">
        <f>IF(tecantrop!627:627,"AAAAAH/71dE=",0)</f>
        <v>0</v>
      </c>
      <c r="HC168" t="e">
        <f>AND(tecantrop!A627,"AAAAAH/71dI=")</f>
        <v>#VALUE!</v>
      </c>
      <c r="HD168" t="e">
        <f>AND(tecantrop!B627,"AAAAAH/71dM=")</f>
        <v>#VALUE!</v>
      </c>
      <c r="HE168" t="e">
        <f>AND(tecantrop!C627,"AAAAAH/71dQ=")</f>
        <v>#VALUE!</v>
      </c>
      <c r="HF168" t="e">
        <f>AND(tecantrop!D627,"AAAAAH/71dU=")</f>
        <v>#VALUE!</v>
      </c>
      <c r="HG168" t="e">
        <f>AND(tecantrop!E627,"AAAAAH/71dY=")</f>
        <v>#VALUE!</v>
      </c>
      <c r="HH168" t="e">
        <f>AND(tecantrop!F627,"AAAAAH/71dc=")</f>
        <v>#VALUE!</v>
      </c>
      <c r="HI168" t="e">
        <f>AND(tecantrop!G627,"AAAAAH/71dg=")</f>
        <v>#VALUE!</v>
      </c>
      <c r="HJ168" t="e">
        <f>AND(tecantrop!H627,"AAAAAH/71dk=")</f>
        <v>#VALUE!</v>
      </c>
      <c r="HK168" t="e">
        <f>AND(tecantrop!I627,"AAAAAH/71do=")</f>
        <v>#VALUE!</v>
      </c>
      <c r="HL168" t="e">
        <f>AND(tecantrop!J627,"AAAAAH/71ds=")</f>
        <v>#VALUE!</v>
      </c>
      <c r="HM168" t="e">
        <f>AND(tecantrop!K627,"AAAAAH/71dw=")</f>
        <v>#VALUE!</v>
      </c>
      <c r="HN168" t="e">
        <f>AND(tecantrop!L627,"AAAAAH/71d0=")</f>
        <v>#VALUE!</v>
      </c>
      <c r="HO168" t="e">
        <f>AND(tecantrop!M627,"AAAAAH/71d4=")</f>
        <v>#VALUE!</v>
      </c>
      <c r="HP168" t="e">
        <f>AND(tecantrop!N627,"AAAAAH/71d8=")</f>
        <v>#VALUE!</v>
      </c>
      <c r="HQ168" t="e">
        <f>AND(tecantrop!O627,"AAAAAH/71eA=")</f>
        <v>#VALUE!</v>
      </c>
      <c r="HR168" t="e">
        <f>AND(tecantrop!P627,"AAAAAH/71eE=")</f>
        <v>#VALUE!</v>
      </c>
      <c r="HS168" t="e">
        <f>AND(tecantrop!Q627,"AAAAAH/71eI=")</f>
        <v>#VALUE!</v>
      </c>
      <c r="HT168" t="e">
        <f>AND(tecantrop!R627,"AAAAAH/71eM=")</f>
        <v>#VALUE!</v>
      </c>
      <c r="HU168" t="e">
        <f>AND(tecantrop!S627,"AAAAAH/71eQ=")</f>
        <v>#VALUE!</v>
      </c>
      <c r="HV168" t="e">
        <f>AND(tecantrop!T627,"AAAAAH/71eU=")</f>
        <v>#VALUE!</v>
      </c>
      <c r="HW168" t="e">
        <f>AND(tecantrop!U627,"AAAAAH/71eY=")</f>
        <v>#VALUE!</v>
      </c>
      <c r="HX168" t="e">
        <f>AND(tecantrop!V627,"AAAAAH/71ec=")</f>
        <v>#VALUE!</v>
      </c>
      <c r="HY168" t="e">
        <f>AND(tecantrop!W627,"AAAAAH/71eg=")</f>
        <v>#VALUE!</v>
      </c>
      <c r="HZ168" t="e">
        <f>AND(tecantrop!X627,"AAAAAH/71ek=")</f>
        <v>#VALUE!</v>
      </c>
      <c r="IA168">
        <f>IF(tecantrop!628:628,"AAAAAH/71eo=",0)</f>
        <v>0</v>
      </c>
      <c r="IB168" t="e">
        <f>AND(tecantrop!A628,"AAAAAH/71es=")</f>
        <v>#VALUE!</v>
      </c>
      <c r="IC168" t="e">
        <f>AND(tecantrop!B628,"AAAAAH/71ew=")</f>
        <v>#VALUE!</v>
      </c>
      <c r="ID168" t="e">
        <f>AND(tecantrop!C628,"AAAAAH/71e0=")</f>
        <v>#VALUE!</v>
      </c>
      <c r="IE168" t="e">
        <f>AND(tecantrop!D628,"AAAAAH/71e4=")</f>
        <v>#VALUE!</v>
      </c>
      <c r="IF168" t="e">
        <f>AND(tecantrop!E628,"AAAAAH/71e8=")</f>
        <v>#VALUE!</v>
      </c>
      <c r="IG168" t="e">
        <f>AND(tecantrop!F628,"AAAAAH/71fA=")</f>
        <v>#VALUE!</v>
      </c>
      <c r="IH168" t="e">
        <f>AND(tecantrop!G628,"AAAAAH/71fE=")</f>
        <v>#VALUE!</v>
      </c>
      <c r="II168" t="e">
        <f>AND(tecantrop!H628,"AAAAAH/71fI=")</f>
        <v>#VALUE!</v>
      </c>
      <c r="IJ168" t="e">
        <f>AND(tecantrop!I628,"AAAAAH/71fM=")</f>
        <v>#VALUE!</v>
      </c>
      <c r="IK168" t="e">
        <f>AND(tecantrop!J628,"AAAAAH/71fQ=")</f>
        <v>#VALUE!</v>
      </c>
      <c r="IL168" t="e">
        <f>AND(tecantrop!K628,"AAAAAH/71fU=")</f>
        <v>#VALUE!</v>
      </c>
      <c r="IM168" t="e">
        <f>AND(tecantrop!L628,"AAAAAH/71fY=")</f>
        <v>#VALUE!</v>
      </c>
      <c r="IN168" t="e">
        <f>AND(tecantrop!M628,"AAAAAH/71fc=")</f>
        <v>#VALUE!</v>
      </c>
      <c r="IO168" t="e">
        <f>AND(tecantrop!N628,"AAAAAH/71fg=")</f>
        <v>#VALUE!</v>
      </c>
      <c r="IP168" t="e">
        <f>AND(tecantrop!O628,"AAAAAH/71fk=")</f>
        <v>#VALUE!</v>
      </c>
      <c r="IQ168" t="e">
        <f>AND(tecantrop!P628,"AAAAAH/71fo=")</f>
        <v>#VALUE!</v>
      </c>
      <c r="IR168" t="e">
        <f>AND(tecantrop!Q628,"AAAAAH/71fs=")</f>
        <v>#VALUE!</v>
      </c>
      <c r="IS168" t="e">
        <f>AND(tecantrop!R628,"AAAAAH/71fw=")</f>
        <v>#VALUE!</v>
      </c>
      <c r="IT168" t="e">
        <f>AND(tecantrop!S628,"AAAAAH/71f0=")</f>
        <v>#VALUE!</v>
      </c>
      <c r="IU168" t="e">
        <f>AND(tecantrop!T628,"AAAAAH/71f4=")</f>
        <v>#VALUE!</v>
      </c>
      <c r="IV168" t="e">
        <f>AND(tecantrop!U628,"AAAAAH/71f8=")</f>
        <v>#VALUE!</v>
      </c>
    </row>
    <row r="169" spans="1:256" x14ac:dyDescent="0.2">
      <c r="A169" t="e">
        <f>AND(tecantrop!V628,"AAAAAHoe+gA=")</f>
        <v>#VALUE!</v>
      </c>
      <c r="B169" t="e">
        <f>AND(tecantrop!W628,"AAAAAHoe+gE=")</f>
        <v>#VALUE!</v>
      </c>
      <c r="C169" t="e">
        <f>AND(tecantrop!X628,"AAAAAHoe+gI=")</f>
        <v>#VALUE!</v>
      </c>
      <c r="D169">
        <f>IF(tecantrop!629:629,"AAAAAHoe+gM=",0)</f>
        <v>0</v>
      </c>
      <c r="E169" t="e">
        <f>AND(tecantrop!A629,"AAAAAHoe+gQ=")</f>
        <v>#VALUE!</v>
      </c>
      <c r="F169" t="e">
        <f>AND(tecantrop!B629,"AAAAAHoe+gU=")</f>
        <v>#VALUE!</v>
      </c>
      <c r="G169" t="e">
        <f>AND(tecantrop!C629,"AAAAAHoe+gY=")</f>
        <v>#VALUE!</v>
      </c>
      <c r="H169" t="e">
        <f>AND(tecantrop!D629,"AAAAAHoe+gc=")</f>
        <v>#VALUE!</v>
      </c>
      <c r="I169" t="e">
        <f>AND(tecantrop!E629,"AAAAAHoe+gg=")</f>
        <v>#VALUE!</v>
      </c>
      <c r="J169" t="e">
        <f>AND(tecantrop!F629,"AAAAAHoe+gk=")</f>
        <v>#VALUE!</v>
      </c>
      <c r="K169" t="e">
        <f>AND(tecantrop!G629,"AAAAAHoe+go=")</f>
        <v>#VALUE!</v>
      </c>
      <c r="L169" t="e">
        <f>AND(tecantrop!H629,"AAAAAHoe+gs=")</f>
        <v>#VALUE!</v>
      </c>
      <c r="M169" t="e">
        <f>AND(tecantrop!I629,"AAAAAHoe+gw=")</f>
        <v>#VALUE!</v>
      </c>
      <c r="N169" t="e">
        <f>AND(tecantrop!J629,"AAAAAHoe+g0=")</f>
        <v>#VALUE!</v>
      </c>
      <c r="O169" t="e">
        <f>AND(tecantrop!K629,"AAAAAHoe+g4=")</f>
        <v>#VALUE!</v>
      </c>
      <c r="P169" t="e">
        <f>AND(tecantrop!L629,"AAAAAHoe+g8=")</f>
        <v>#VALUE!</v>
      </c>
      <c r="Q169" t="e">
        <f>AND(tecantrop!M629,"AAAAAHoe+hA=")</f>
        <v>#VALUE!</v>
      </c>
      <c r="R169" t="e">
        <f>AND(tecantrop!N629,"AAAAAHoe+hE=")</f>
        <v>#VALUE!</v>
      </c>
      <c r="S169" t="e">
        <f>AND(tecantrop!O629,"AAAAAHoe+hI=")</f>
        <v>#VALUE!</v>
      </c>
      <c r="T169" t="e">
        <f>AND(tecantrop!P629,"AAAAAHoe+hM=")</f>
        <v>#VALUE!</v>
      </c>
      <c r="U169" t="e">
        <f>AND(tecantrop!Q629,"AAAAAHoe+hQ=")</f>
        <v>#VALUE!</v>
      </c>
      <c r="V169" t="e">
        <f>AND(tecantrop!R629,"AAAAAHoe+hU=")</f>
        <v>#VALUE!</v>
      </c>
      <c r="W169" t="e">
        <f>AND(tecantrop!S629,"AAAAAHoe+hY=")</f>
        <v>#VALUE!</v>
      </c>
      <c r="X169" t="e">
        <f>AND(tecantrop!T629,"AAAAAHoe+hc=")</f>
        <v>#VALUE!</v>
      </c>
      <c r="Y169" t="e">
        <f>AND(tecantrop!U629,"AAAAAHoe+hg=")</f>
        <v>#VALUE!</v>
      </c>
      <c r="Z169" t="e">
        <f>AND(tecantrop!V629,"AAAAAHoe+hk=")</f>
        <v>#VALUE!</v>
      </c>
      <c r="AA169" t="e">
        <f>AND(tecantrop!W629,"AAAAAHoe+ho=")</f>
        <v>#VALUE!</v>
      </c>
      <c r="AB169" t="e">
        <f>AND(tecantrop!X629,"AAAAAHoe+hs=")</f>
        <v>#VALUE!</v>
      </c>
      <c r="AC169">
        <f>IF(tecantrop!630:630,"AAAAAHoe+hw=",0)</f>
        <v>0</v>
      </c>
      <c r="AD169" t="e">
        <f>AND(tecantrop!A630,"AAAAAHoe+h0=")</f>
        <v>#VALUE!</v>
      </c>
      <c r="AE169" t="e">
        <f>AND(tecantrop!B630,"AAAAAHoe+h4=")</f>
        <v>#VALUE!</v>
      </c>
      <c r="AF169" t="e">
        <f>AND(tecantrop!C630,"AAAAAHoe+h8=")</f>
        <v>#VALUE!</v>
      </c>
      <c r="AG169" t="e">
        <f>AND(tecantrop!D630,"AAAAAHoe+iA=")</f>
        <v>#VALUE!</v>
      </c>
      <c r="AH169" t="e">
        <f>AND(tecantrop!E630,"AAAAAHoe+iE=")</f>
        <v>#VALUE!</v>
      </c>
      <c r="AI169" t="e">
        <f>AND(tecantrop!F630,"AAAAAHoe+iI=")</f>
        <v>#VALUE!</v>
      </c>
      <c r="AJ169" t="e">
        <f>AND(tecantrop!G630,"AAAAAHoe+iM=")</f>
        <v>#VALUE!</v>
      </c>
      <c r="AK169" t="e">
        <f>AND(tecantrop!H630,"AAAAAHoe+iQ=")</f>
        <v>#VALUE!</v>
      </c>
      <c r="AL169" t="e">
        <f>AND(tecantrop!I630,"AAAAAHoe+iU=")</f>
        <v>#VALUE!</v>
      </c>
      <c r="AM169" t="e">
        <f>AND(tecantrop!J630,"AAAAAHoe+iY=")</f>
        <v>#VALUE!</v>
      </c>
      <c r="AN169" t="e">
        <f>AND(tecantrop!K630,"AAAAAHoe+ic=")</f>
        <v>#VALUE!</v>
      </c>
      <c r="AO169" t="e">
        <f>AND(tecantrop!L630,"AAAAAHoe+ig=")</f>
        <v>#VALUE!</v>
      </c>
      <c r="AP169" t="e">
        <f>AND(tecantrop!M630,"AAAAAHoe+ik=")</f>
        <v>#VALUE!</v>
      </c>
      <c r="AQ169" t="e">
        <f>AND(tecantrop!N630,"AAAAAHoe+io=")</f>
        <v>#VALUE!</v>
      </c>
      <c r="AR169" t="e">
        <f>AND(tecantrop!O630,"AAAAAHoe+is=")</f>
        <v>#VALUE!</v>
      </c>
      <c r="AS169" t="e">
        <f>AND(tecantrop!P630,"AAAAAHoe+iw=")</f>
        <v>#VALUE!</v>
      </c>
      <c r="AT169" t="e">
        <f>AND(tecantrop!Q630,"AAAAAHoe+i0=")</f>
        <v>#VALUE!</v>
      </c>
      <c r="AU169" t="e">
        <f>AND(tecantrop!R630,"AAAAAHoe+i4=")</f>
        <v>#VALUE!</v>
      </c>
      <c r="AV169" t="e">
        <f>AND(tecantrop!S630,"AAAAAHoe+i8=")</f>
        <v>#VALUE!</v>
      </c>
      <c r="AW169" t="e">
        <f>AND(tecantrop!T630,"AAAAAHoe+jA=")</f>
        <v>#VALUE!</v>
      </c>
      <c r="AX169" t="e">
        <f>AND(tecantrop!U630,"AAAAAHoe+jE=")</f>
        <v>#VALUE!</v>
      </c>
      <c r="AY169" t="e">
        <f>AND(tecantrop!V630,"AAAAAHoe+jI=")</f>
        <v>#VALUE!</v>
      </c>
      <c r="AZ169" t="e">
        <f>AND(tecantrop!W630,"AAAAAHoe+jM=")</f>
        <v>#VALUE!</v>
      </c>
      <c r="BA169" t="e">
        <f>AND(tecantrop!X630,"AAAAAHoe+jQ=")</f>
        <v>#VALUE!</v>
      </c>
      <c r="BB169">
        <f>IF(tecantrop!631:631,"AAAAAHoe+jU=",0)</f>
        <v>0</v>
      </c>
      <c r="BC169" t="e">
        <f>AND(tecantrop!A631,"AAAAAHoe+jY=")</f>
        <v>#VALUE!</v>
      </c>
      <c r="BD169" t="e">
        <f>AND(tecantrop!B631,"AAAAAHoe+jc=")</f>
        <v>#VALUE!</v>
      </c>
      <c r="BE169" t="e">
        <f>AND(tecantrop!C631,"AAAAAHoe+jg=")</f>
        <v>#VALUE!</v>
      </c>
      <c r="BF169" t="e">
        <f>AND(tecantrop!D631,"AAAAAHoe+jk=")</f>
        <v>#VALUE!</v>
      </c>
      <c r="BG169" t="e">
        <f>AND(tecantrop!E631,"AAAAAHoe+jo=")</f>
        <v>#VALUE!</v>
      </c>
      <c r="BH169" t="e">
        <f>AND(tecantrop!F631,"AAAAAHoe+js=")</f>
        <v>#VALUE!</v>
      </c>
      <c r="BI169" t="e">
        <f>AND(tecantrop!G631,"AAAAAHoe+jw=")</f>
        <v>#VALUE!</v>
      </c>
      <c r="BJ169" t="e">
        <f>AND(tecantrop!H631,"AAAAAHoe+j0=")</f>
        <v>#VALUE!</v>
      </c>
      <c r="BK169" t="e">
        <f>AND(tecantrop!I631,"AAAAAHoe+j4=")</f>
        <v>#VALUE!</v>
      </c>
      <c r="BL169" t="e">
        <f>AND(tecantrop!J631,"AAAAAHoe+j8=")</f>
        <v>#VALUE!</v>
      </c>
      <c r="BM169" t="e">
        <f>AND(tecantrop!K631,"AAAAAHoe+kA=")</f>
        <v>#VALUE!</v>
      </c>
      <c r="BN169" t="e">
        <f>AND(tecantrop!L631,"AAAAAHoe+kE=")</f>
        <v>#VALUE!</v>
      </c>
      <c r="BO169" t="e">
        <f>AND(tecantrop!M631,"AAAAAHoe+kI=")</f>
        <v>#VALUE!</v>
      </c>
      <c r="BP169" t="e">
        <f>AND(tecantrop!N631,"AAAAAHoe+kM=")</f>
        <v>#VALUE!</v>
      </c>
      <c r="BQ169" t="e">
        <f>AND(tecantrop!O631,"AAAAAHoe+kQ=")</f>
        <v>#VALUE!</v>
      </c>
      <c r="BR169" t="e">
        <f>AND(tecantrop!P631,"AAAAAHoe+kU=")</f>
        <v>#VALUE!</v>
      </c>
      <c r="BS169" t="e">
        <f>AND(tecantrop!Q631,"AAAAAHoe+kY=")</f>
        <v>#VALUE!</v>
      </c>
      <c r="BT169" t="e">
        <f>AND(tecantrop!R631,"AAAAAHoe+kc=")</f>
        <v>#VALUE!</v>
      </c>
      <c r="BU169" t="e">
        <f>AND(tecantrop!S631,"AAAAAHoe+kg=")</f>
        <v>#VALUE!</v>
      </c>
      <c r="BV169" t="e">
        <f>AND(tecantrop!T631,"AAAAAHoe+kk=")</f>
        <v>#VALUE!</v>
      </c>
      <c r="BW169" t="e">
        <f>AND(tecantrop!U631,"AAAAAHoe+ko=")</f>
        <v>#VALUE!</v>
      </c>
      <c r="BX169" t="e">
        <f>AND(tecantrop!V631,"AAAAAHoe+ks=")</f>
        <v>#VALUE!</v>
      </c>
      <c r="BY169" t="e">
        <f>AND(tecantrop!W631,"AAAAAHoe+kw=")</f>
        <v>#VALUE!</v>
      </c>
      <c r="BZ169" t="e">
        <f>AND(tecantrop!X631,"AAAAAHoe+k0=")</f>
        <v>#VALUE!</v>
      </c>
      <c r="CA169">
        <f>IF(tecantrop!632:632,"AAAAAHoe+k4=",0)</f>
        <v>0</v>
      </c>
      <c r="CB169" t="e">
        <f>AND(tecantrop!A632,"AAAAAHoe+k8=")</f>
        <v>#VALUE!</v>
      </c>
      <c r="CC169" t="e">
        <f>AND(tecantrop!B632,"AAAAAHoe+lA=")</f>
        <v>#VALUE!</v>
      </c>
      <c r="CD169" t="e">
        <f>AND(tecantrop!C632,"AAAAAHoe+lE=")</f>
        <v>#VALUE!</v>
      </c>
      <c r="CE169" t="e">
        <f>AND(tecantrop!D632,"AAAAAHoe+lI=")</f>
        <v>#VALUE!</v>
      </c>
      <c r="CF169" t="e">
        <f>AND(tecantrop!E632,"AAAAAHoe+lM=")</f>
        <v>#VALUE!</v>
      </c>
      <c r="CG169" t="e">
        <f>AND(tecantrop!F632,"AAAAAHoe+lQ=")</f>
        <v>#VALUE!</v>
      </c>
      <c r="CH169" t="e">
        <f>AND(tecantrop!G632,"AAAAAHoe+lU=")</f>
        <v>#VALUE!</v>
      </c>
      <c r="CI169" t="e">
        <f>AND(tecantrop!H632,"AAAAAHoe+lY=")</f>
        <v>#VALUE!</v>
      </c>
      <c r="CJ169" t="e">
        <f>AND(tecantrop!I632,"AAAAAHoe+lc=")</f>
        <v>#VALUE!</v>
      </c>
      <c r="CK169" t="e">
        <f>AND(tecantrop!J632,"AAAAAHoe+lg=")</f>
        <v>#VALUE!</v>
      </c>
      <c r="CL169" t="e">
        <f>AND(tecantrop!K632,"AAAAAHoe+lk=")</f>
        <v>#VALUE!</v>
      </c>
      <c r="CM169" t="e">
        <f>AND(tecantrop!L632,"AAAAAHoe+lo=")</f>
        <v>#VALUE!</v>
      </c>
      <c r="CN169" t="e">
        <f>AND(tecantrop!M632,"AAAAAHoe+ls=")</f>
        <v>#VALUE!</v>
      </c>
      <c r="CO169" t="e">
        <f>AND(tecantrop!N632,"AAAAAHoe+lw=")</f>
        <v>#VALUE!</v>
      </c>
      <c r="CP169" t="e">
        <f>AND(tecantrop!O632,"AAAAAHoe+l0=")</f>
        <v>#VALUE!</v>
      </c>
      <c r="CQ169" t="e">
        <f>AND(tecantrop!P632,"AAAAAHoe+l4=")</f>
        <v>#VALUE!</v>
      </c>
      <c r="CR169" t="e">
        <f>AND(tecantrop!Q632,"AAAAAHoe+l8=")</f>
        <v>#VALUE!</v>
      </c>
      <c r="CS169" t="e">
        <f>AND(tecantrop!R632,"AAAAAHoe+mA=")</f>
        <v>#VALUE!</v>
      </c>
      <c r="CT169" t="e">
        <f>AND(tecantrop!S632,"AAAAAHoe+mE=")</f>
        <v>#VALUE!</v>
      </c>
      <c r="CU169" t="e">
        <f>AND(tecantrop!T632,"AAAAAHoe+mI=")</f>
        <v>#VALUE!</v>
      </c>
      <c r="CV169" t="e">
        <f>AND(tecantrop!U632,"AAAAAHoe+mM=")</f>
        <v>#VALUE!</v>
      </c>
      <c r="CW169" t="e">
        <f>AND(tecantrop!V632,"AAAAAHoe+mQ=")</f>
        <v>#VALUE!</v>
      </c>
      <c r="CX169" t="e">
        <f>AND(tecantrop!W632,"AAAAAHoe+mU=")</f>
        <v>#VALUE!</v>
      </c>
      <c r="CY169" t="e">
        <f>AND(tecantrop!X632,"AAAAAHoe+mY=")</f>
        <v>#VALUE!</v>
      </c>
      <c r="CZ169">
        <f>IF(tecantrop!633:633,"AAAAAHoe+mc=",0)</f>
        <v>0</v>
      </c>
      <c r="DA169" t="e">
        <f>AND(tecantrop!A633,"AAAAAHoe+mg=")</f>
        <v>#VALUE!</v>
      </c>
      <c r="DB169" t="e">
        <f>AND(tecantrop!B633,"AAAAAHoe+mk=")</f>
        <v>#VALUE!</v>
      </c>
      <c r="DC169" t="e">
        <f>AND(tecantrop!C633,"AAAAAHoe+mo=")</f>
        <v>#VALUE!</v>
      </c>
      <c r="DD169" t="e">
        <f>AND(tecantrop!D633,"AAAAAHoe+ms=")</f>
        <v>#VALUE!</v>
      </c>
      <c r="DE169" t="e">
        <f>AND(tecantrop!E633,"AAAAAHoe+mw=")</f>
        <v>#VALUE!</v>
      </c>
      <c r="DF169" t="e">
        <f>AND(tecantrop!F633,"AAAAAHoe+m0=")</f>
        <v>#VALUE!</v>
      </c>
      <c r="DG169" t="e">
        <f>AND(tecantrop!G633,"AAAAAHoe+m4=")</f>
        <v>#VALUE!</v>
      </c>
      <c r="DH169" t="e">
        <f>AND(tecantrop!H633,"AAAAAHoe+m8=")</f>
        <v>#VALUE!</v>
      </c>
      <c r="DI169" t="e">
        <f>AND(tecantrop!I633,"AAAAAHoe+nA=")</f>
        <v>#VALUE!</v>
      </c>
      <c r="DJ169" t="e">
        <f>AND(tecantrop!J633,"AAAAAHoe+nE=")</f>
        <v>#VALUE!</v>
      </c>
      <c r="DK169" t="e">
        <f>AND(tecantrop!K633,"AAAAAHoe+nI=")</f>
        <v>#VALUE!</v>
      </c>
      <c r="DL169" t="e">
        <f>AND(tecantrop!L633,"AAAAAHoe+nM=")</f>
        <v>#VALUE!</v>
      </c>
      <c r="DM169" t="e">
        <f>AND(tecantrop!M633,"AAAAAHoe+nQ=")</f>
        <v>#VALUE!</v>
      </c>
      <c r="DN169" t="e">
        <f>AND(tecantrop!N633,"AAAAAHoe+nU=")</f>
        <v>#VALUE!</v>
      </c>
      <c r="DO169" t="e">
        <f>AND(tecantrop!O633,"AAAAAHoe+nY=")</f>
        <v>#VALUE!</v>
      </c>
      <c r="DP169" t="e">
        <f>AND(tecantrop!P633,"AAAAAHoe+nc=")</f>
        <v>#VALUE!</v>
      </c>
      <c r="DQ169" t="e">
        <f>AND(tecantrop!Q633,"AAAAAHoe+ng=")</f>
        <v>#VALUE!</v>
      </c>
      <c r="DR169" t="e">
        <f>AND(tecantrop!R633,"AAAAAHoe+nk=")</f>
        <v>#VALUE!</v>
      </c>
      <c r="DS169" t="e">
        <f>AND(tecantrop!S633,"AAAAAHoe+no=")</f>
        <v>#VALUE!</v>
      </c>
      <c r="DT169" t="e">
        <f>AND(tecantrop!T633,"AAAAAHoe+ns=")</f>
        <v>#VALUE!</v>
      </c>
      <c r="DU169" t="e">
        <f>AND(tecantrop!U633,"AAAAAHoe+nw=")</f>
        <v>#VALUE!</v>
      </c>
      <c r="DV169" t="e">
        <f>AND(tecantrop!V633,"AAAAAHoe+n0=")</f>
        <v>#VALUE!</v>
      </c>
      <c r="DW169" t="e">
        <f>AND(tecantrop!W633,"AAAAAHoe+n4=")</f>
        <v>#VALUE!</v>
      </c>
      <c r="DX169" t="e">
        <f>AND(tecantrop!X633,"AAAAAHoe+n8=")</f>
        <v>#VALUE!</v>
      </c>
      <c r="DY169">
        <f>IF(tecantrop!634:634,"AAAAAHoe+oA=",0)</f>
        <v>0</v>
      </c>
      <c r="DZ169" t="e">
        <f>AND(tecantrop!A634,"AAAAAHoe+oE=")</f>
        <v>#VALUE!</v>
      </c>
      <c r="EA169" t="e">
        <f>AND(tecantrop!B634,"AAAAAHoe+oI=")</f>
        <v>#VALUE!</v>
      </c>
      <c r="EB169" t="e">
        <f>AND(tecantrop!C634,"AAAAAHoe+oM=")</f>
        <v>#VALUE!</v>
      </c>
      <c r="EC169" t="e">
        <f>AND(tecantrop!D634,"AAAAAHoe+oQ=")</f>
        <v>#VALUE!</v>
      </c>
      <c r="ED169" t="e">
        <f>AND(tecantrop!E634,"AAAAAHoe+oU=")</f>
        <v>#VALUE!</v>
      </c>
      <c r="EE169" t="e">
        <f>AND(tecantrop!F634,"AAAAAHoe+oY=")</f>
        <v>#VALUE!</v>
      </c>
      <c r="EF169" t="e">
        <f>AND(tecantrop!G634,"AAAAAHoe+oc=")</f>
        <v>#VALUE!</v>
      </c>
      <c r="EG169" t="e">
        <f>AND(tecantrop!H634,"AAAAAHoe+og=")</f>
        <v>#VALUE!</v>
      </c>
      <c r="EH169" t="e">
        <f>AND(tecantrop!I634,"AAAAAHoe+ok=")</f>
        <v>#VALUE!</v>
      </c>
      <c r="EI169" t="e">
        <f>AND(tecantrop!J634,"AAAAAHoe+oo=")</f>
        <v>#VALUE!</v>
      </c>
      <c r="EJ169" t="e">
        <f>AND(tecantrop!K634,"AAAAAHoe+os=")</f>
        <v>#VALUE!</v>
      </c>
      <c r="EK169" t="e">
        <f>AND(tecantrop!L634,"AAAAAHoe+ow=")</f>
        <v>#VALUE!</v>
      </c>
      <c r="EL169" t="e">
        <f>AND(tecantrop!M634,"AAAAAHoe+o0=")</f>
        <v>#VALUE!</v>
      </c>
      <c r="EM169" t="e">
        <f>AND(tecantrop!N634,"AAAAAHoe+o4=")</f>
        <v>#VALUE!</v>
      </c>
      <c r="EN169" t="e">
        <f>AND(tecantrop!O634,"AAAAAHoe+o8=")</f>
        <v>#VALUE!</v>
      </c>
      <c r="EO169" t="e">
        <f>AND(tecantrop!P634,"AAAAAHoe+pA=")</f>
        <v>#VALUE!</v>
      </c>
      <c r="EP169" t="e">
        <f>AND(tecantrop!Q634,"AAAAAHoe+pE=")</f>
        <v>#VALUE!</v>
      </c>
      <c r="EQ169" t="e">
        <f>AND(tecantrop!R634,"AAAAAHoe+pI=")</f>
        <v>#VALUE!</v>
      </c>
      <c r="ER169" t="e">
        <f>AND(tecantrop!S634,"AAAAAHoe+pM=")</f>
        <v>#VALUE!</v>
      </c>
      <c r="ES169" t="e">
        <f>AND(tecantrop!T634,"AAAAAHoe+pQ=")</f>
        <v>#VALUE!</v>
      </c>
      <c r="ET169" t="e">
        <f>AND(tecantrop!U634,"AAAAAHoe+pU=")</f>
        <v>#VALUE!</v>
      </c>
      <c r="EU169" t="e">
        <f>AND(tecantrop!V634,"AAAAAHoe+pY=")</f>
        <v>#VALUE!</v>
      </c>
      <c r="EV169" t="e">
        <f>AND(tecantrop!W634,"AAAAAHoe+pc=")</f>
        <v>#VALUE!</v>
      </c>
      <c r="EW169" t="e">
        <f>AND(tecantrop!X634,"AAAAAHoe+pg=")</f>
        <v>#VALUE!</v>
      </c>
      <c r="EX169">
        <f>IF(tecantrop!635:635,"AAAAAHoe+pk=",0)</f>
        <v>0</v>
      </c>
      <c r="EY169" t="e">
        <f>AND(tecantrop!A635,"AAAAAHoe+po=")</f>
        <v>#VALUE!</v>
      </c>
      <c r="EZ169" t="e">
        <f>AND(tecantrop!B635,"AAAAAHoe+ps=")</f>
        <v>#VALUE!</v>
      </c>
      <c r="FA169" t="e">
        <f>AND(tecantrop!C635,"AAAAAHoe+pw=")</f>
        <v>#VALUE!</v>
      </c>
      <c r="FB169" t="e">
        <f>AND(tecantrop!D635,"AAAAAHoe+p0=")</f>
        <v>#VALUE!</v>
      </c>
      <c r="FC169" t="e">
        <f>AND(tecantrop!E635,"AAAAAHoe+p4=")</f>
        <v>#VALUE!</v>
      </c>
      <c r="FD169" t="e">
        <f>AND(tecantrop!F635,"AAAAAHoe+p8=")</f>
        <v>#VALUE!</v>
      </c>
      <c r="FE169" t="e">
        <f>AND(tecantrop!G635,"AAAAAHoe+qA=")</f>
        <v>#VALUE!</v>
      </c>
      <c r="FF169" t="e">
        <f>AND(tecantrop!H635,"AAAAAHoe+qE=")</f>
        <v>#VALUE!</v>
      </c>
      <c r="FG169" t="e">
        <f>AND(tecantrop!I635,"AAAAAHoe+qI=")</f>
        <v>#VALUE!</v>
      </c>
      <c r="FH169" t="e">
        <f>AND(tecantrop!J635,"AAAAAHoe+qM=")</f>
        <v>#VALUE!</v>
      </c>
      <c r="FI169" t="e">
        <f>AND(tecantrop!K635,"AAAAAHoe+qQ=")</f>
        <v>#VALUE!</v>
      </c>
      <c r="FJ169" t="e">
        <f>AND(tecantrop!L635,"AAAAAHoe+qU=")</f>
        <v>#VALUE!</v>
      </c>
      <c r="FK169" t="e">
        <f>AND(tecantrop!M635,"AAAAAHoe+qY=")</f>
        <v>#VALUE!</v>
      </c>
      <c r="FL169" t="e">
        <f>AND(tecantrop!N635,"AAAAAHoe+qc=")</f>
        <v>#VALUE!</v>
      </c>
      <c r="FM169" t="e">
        <f>AND(tecantrop!O635,"AAAAAHoe+qg=")</f>
        <v>#VALUE!</v>
      </c>
      <c r="FN169" t="e">
        <f>AND(tecantrop!P635,"AAAAAHoe+qk=")</f>
        <v>#VALUE!</v>
      </c>
      <c r="FO169" t="e">
        <f>AND(tecantrop!Q635,"AAAAAHoe+qo=")</f>
        <v>#VALUE!</v>
      </c>
      <c r="FP169" t="e">
        <f>AND(tecantrop!R635,"AAAAAHoe+qs=")</f>
        <v>#VALUE!</v>
      </c>
      <c r="FQ169" t="e">
        <f>AND(tecantrop!S635,"AAAAAHoe+qw=")</f>
        <v>#VALUE!</v>
      </c>
      <c r="FR169" t="e">
        <f>AND(tecantrop!T635,"AAAAAHoe+q0=")</f>
        <v>#VALUE!</v>
      </c>
      <c r="FS169" t="e">
        <f>AND(tecantrop!U635,"AAAAAHoe+q4=")</f>
        <v>#VALUE!</v>
      </c>
      <c r="FT169" t="e">
        <f>AND(tecantrop!V635,"AAAAAHoe+q8=")</f>
        <v>#VALUE!</v>
      </c>
      <c r="FU169" t="e">
        <f>AND(tecantrop!W635,"AAAAAHoe+rA=")</f>
        <v>#VALUE!</v>
      </c>
      <c r="FV169" t="e">
        <f>AND(tecantrop!X635,"AAAAAHoe+rE=")</f>
        <v>#VALUE!</v>
      </c>
      <c r="FW169">
        <f>IF(tecantrop!636:636,"AAAAAHoe+rI=",0)</f>
        <v>0</v>
      </c>
      <c r="FX169" t="e">
        <f>AND(tecantrop!A636,"AAAAAHoe+rM=")</f>
        <v>#VALUE!</v>
      </c>
      <c r="FY169" t="e">
        <f>AND(tecantrop!B636,"AAAAAHoe+rQ=")</f>
        <v>#VALUE!</v>
      </c>
      <c r="FZ169" t="e">
        <f>AND(tecantrop!C636,"AAAAAHoe+rU=")</f>
        <v>#VALUE!</v>
      </c>
      <c r="GA169" t="e">
        <f>AND(tecantrop!D636,"AAAAAHoe+rY=")</f>
        <v>#VALUE!</v>
      </c>
      <c r="GB169" t="e">
        <f>AND(tecantrop!E636,"AAAAAHoe+rc=")</f>
        <v>#VALUE!</v>
      </c>
      <c r="GC169" t="e">
        <f>AND(tecantrop!F636,"AAAAAHoe+rg=")</f>
        <v>#VALUE!</v>
      </c>
      <c r="GD169" t="e">
        <f>AND(tecantrop!G636,"AAAAAHoe+rk=")</f>
        <v>#VALUE!</v>
      </c>
      <c r="GE169" t="e">
        <f>AND(tecantrop!H636,"AAAAAHoe+ro=")</f>
        <v>#VALUE!</v>
      </c>
      <c r="GF169" t="e">
        <f>AND(tecantrop!I636,"AAAAAHoe+rs=")</f>
        <v>#VALUE!</v>
      </c>
      <c r="GG169" t="e">
        <f>AND(tecantrop!J636,"AAAAAHoe+rw=")</f>
        <v>#VALUE!</v>
      </c>
      <c r="GH169" t="e">
        <f>AND(tecantrop!K636,"AAAAAHoe+r0=")</f>
        <v>#VALUE!</v>
      </c>
      <c r="GI169" t="e">
        <f>AND(tecantrop!L636,"AAAAAHoe+r4=")</f>
        <v>#VALUE!</v>
      </c>
      <c r="GJ169" t="e">
        <f>AND(tecantrop!M636,"AAAAAHoe+r8=")</f>
        <v>#VALUE!</v>
      </c>
      <c r="GK169" t="e">
        <f>AND(tecantrop!N636,"AAAAAHoe+sA=")</f>
        <v>#VALUE!</v>
      </c>
      <c r="GL169" t="e">
        <f>AND(tecantrop!O636,"AAAAAHoe+sE=")</f>
        <v>#VALUE!</v>
      </c>
      <c r="GM169" t="e">
        <f>AND(tecantrop!P636,"AAAAAHoe+sI=")</f>
        <v>#VALUE!</v>
      </c>
      <c r="GN169" t="e">
        <f>AND(tecantrop!Q636,"AAAAAHoe+sM=")</f>
        <v>#VALUE!</v>
      </c>
      <c r="GO169" t="e">
        <f>AND(tecantrop!R636,"AAAAAHoe+sQ=")</f>
        <v>#VALUE!</v>
      </c>
      <c r="GP169" t="e">
        <f>AND(tecantrop!S636,"AAAAAHoe+sU=")</f>
        <v>#VALUE!</v>
      </c>
      <c r="GQ169" t="e">
        <f>AND(tecantrop!T636,"AAAAAHoe+sY=")</f>
        <v>#VALUE!</v>
      </c>
      <c r="GR169" t="e">
        <f>AND(tecantrop!U636,"AAAAAHoe+sc=")</f>
        <v>#VALUE!</v>
      </c>
      <c r="GS169" t="e">
        <f>AND(tecantrop!V636,"AAAAAHoe+sg=")</f>
        <v>#VALUE!</v>
      </c>
      <c r="GT169" t="e">
        <f>AND(tecantrop!W636,"AAAAAHoe+sk=")</f>
        <v>#VALUE!</v>
      </c>
      <c r="GU169" t="e">
        <f>AND(tecantrop!X636,"AAAAAHoe+so=")</f>
        <v>#VALUE!</v>
      </c>
      <c r="GV169">
        <f>IF(tecantrop!637:637,"AAAAAHoe+ss=",0)</f>
        <v>0</v>
      </c>
      <c r="GW169" t="e">
        <f>AND(tecantrop!A637,"AAAAAHoe+sw=")</f>
        <v>#VALUE!</v>
      </c>
      <c r="GX169" t="e">
        <f>AND(tecantrop!B637,"AAAAAHoe+s0=")</f>
        <v>#VALUE!</v>
      </c>
      <c r="GY169" t="e">
        <f>AND(tecantrop!C637,"AAAAAHoe+s4=")</f>
        <v>#VALUE!</v>
      </c>
      <c r="GZ169" t="e">
        <f>AND(tecantrop!D637,"AAAAAHoe+s8=")</f>
        <v>#VALUE!</v>
      </c>
      <c r="HA169" t="e">
        <f>AND(tecantrop!E637,"AAAAAHoe+tA=")</f>
        <v>#VALUE!</v>
      </c>
      <c r="HB169" t="e">
        <f>AND(tecantrop!F637,"AAAAAHoe+tE=")</f>
        <v>#VALUE!</v>
      </c>
      <c r="HC169" t="e">
        <f>AND(tecantrop!G637,"AAAAAHoe+tI=")</f>
        <v>#VALUE!</v>
      </c>
      <c r="HD169" t="e">
        <f>AND(tecantrop!H637,"AAAAAHoe+tM=")</f>
        <v>#VALUE!</v>
      </c>
      <c r="HE169" t="e">
        <f>AND(tecantrop!I637,"AAAAAHoe+tQ=")</f>
        <v>#VALUE!</v>
      </c>
      <c r="HF169" t="e">
        <f>AND(tecantrop!J637,"AAAAAHoe+tU=")</f>
        <v>#VALUE!</v>
      </c>
      <c r="HG169" t="e">
        <f>AND(tecantrop!K637,"AAAAAHoe+tY=")</f>
        <v>#VALUE!</v>
      </c>
      <c r="HH169" t="e">
        <f>AND(tecantrop!L637,"AAAAAHoe+tc=")</f>
        <v>#VALUE!</v>
      </c>
      <c r="HI169" t="e">
        <f>AND(tecantrop!M637,"AAAAAHoe+tg=")</f>
        <v>#VALUE!</v>
      </c>
      <c r="HJ169" t="e">
        <f>AND(tecantrop!N637,"AAAAAHoe+tk=")</f>
        <v>#VALUE!</v>
      </c>
      <c r="HK169" t="e">
        <f>AND(tecantrop!O637,"AAAAAHoe+to=")</f>
        <v>#VALUE!</v>
      </c>
      <c r="HL169" t="e">
        <f>AND(tecantrop!P637,"AAAAAHoe+ts=")</f>
        <v>#VALUE!</v>
      </c>
      <c r="HM169" t="e">
        <f>AND(tecantrop!Q637,"AAAAAHoe+tw=")</f>
        <v>#VALUE!</v>
      </c>
      <c r="HN169" t="e">
        <f>AND(tecantrop!R637,"AAAAAHoe+t0=")</f>
        <v>#VALUE!</v>
      </c>
      <c r="HO169" t="e">
        <f>AND(tecantrop!S637,"AAAAAHoe+t4=")</f>
        <v>#VALUE!</v>
      </c>
      <c r="HP169" t="e">
        <f>AND(tecantrop!T637,"AAAAAHoe+t8=")</f>
        <v>#VALUE!</v>
      </c>
      <c r="HQ169" t="e">
        <f>AND(tecantrop!U637,"AAAAAHoe+uA=")</f>
        <v>#VALUE!</v>
      </c>
      <c r="HR169" t="e">
        <f>AND(tecantrop!V637,"AAAAAHoe+uE=")</f>
        <v>#VALUE!</v>
      </c>
      <c r="HS169" t="e">
        <f>AND(tecantrop!W637,"AAAAAHoe+uI=")</f>
        <v>#VALUE!</v>
      </c>
      <c r="HT169" t="e">
        <f>AND(tecantrop!X637,"AAAAAHoe+uM=")</f>
        <v>#VALUE!</v>
      </c>
      <c r="HU169">
        <f>IF(tecantrop!638:638,"AAAAAHoe+uQ=",0)</f>
        <v>0</v>
      </c>
      <c r="HV169" t="e">
        <f>AND(tecantrop!A638,"AAAAAHoe+uU=")</f>
        <v>#VALUE!</v>
      </c>
      <c r="HW169" t="e">
        <f>AND(tecantrop!B638,"AAAAAHoe+uY=")</f>
        <v>#VALUE!</v>
      </c>
      <c r="HX169" t="e">
        <f>AND(tecantrop!C638,"AAAAAHoe+uc=")</f>
        <v>#VALUE!</v>
      </c>
      <c r="HY169" t="e">
        <f>AND(tecantrop!D638,"AAAAAHoe+ug=")</f>
        <v>#VALUE!</v>
      </c>
      <c r="HZ169" t="e">
        <f>AND(tecantrop!E638,"AAAAAHoe+uk=")</f>
        <v>#VALUE!</v>
      </c>
      <c r="IA169" t="e">
        <f>AND(tecantrop!F638,"AAAAAHoe+uo=")</f>
        <v>#VALUE!</v>
      </c>
      <c r="IB169" t="e">
        <f>AND(tecantrop!G638,"AAAAAHoe+us=")</f>
        <v>#VALUE!</v>
      </c>
      <c r="IC169" t="e">
        <f>AND(tecantrop!H638,"AAAAAHoe+uw=")</f>
        <v>#VALUE!</v>
      </c>
      <c r="ID169" t="e">
        <f>AND(tecantrop!I638,"AAAAAHoe+u0=")</f>
        <v>#VALUE!</v>
      </c>
      <c r="IE169" t="e">
        <f>AND(tecantrop!J638,"AAAAAHoe+u4=")</f>
        <v>#VALUE!</v>
      </c>
      <c r="IF169" t="e">
        <f>AND(tecantrop!K638,"AAAAAHoe+u8=")</f>
        <v>#VALUE!</v>
      </c>
      <c r="IG169" t="e">
        <f>AND(tecantrop!L638,"AAAAAHoe+vA=")</f>
        <v>#VALUE!</v>
      </c>
      <c r="IH169" t="e">
        <f>AND(tecantrop!M638,"AAAAAHoe+vE=")</f>
        <v>#VALUE!</v>
      </c>
      <c r="II169" t="e">
        <f>AND(tecantrop!N638,"AAAAAHoe+vI=")</f>
        <v>#VALUE!</v>
      </c>
      <c r="IJ169" t="e">
        <f>AND(tecantrop!O638,"AAAAAHoe+vM=")</f>
        <v>#VALUE!</v>
      </c>
      <c r="IK169" t="e">
        <f>AND(tecantrop!P638,"AAAAAHoe+vQ=")</f>
        <v>#VALUE!</v>
      </c>
      <c r="IL169" t="e">
        <f>AND(tecantrop!Q638,"AAAAAHoe+vU=")</f>
        <v>#VALUE!</v>
      </c>
      <c r="IM169" t="e">
        <f>AND(tecantrop!R638,"AAAAAHoe+vY=")</f>
        <v>#VALUE!</v>
      </c>
      <c r="IN169" t="e">
        <f>AND(tecantrop!S638,"AAAAAHoe+vc=")</f>
        <v>#VALUE!</v>
      </c>
      <c r="IO169" t="e">
        <f>AND(tecantrop!T638,"AAAAAHoe+vg=")</f>
        <v>#VALUE!</v>
      </c>
      <c r="IP169" t="e">
        <f>AND(tecantrop!U638,"AAAAAHoe+vk=")</f>
        <v>#VALUE!</v>
      </c>
      <c r="IQ169" t="e">
        <f>AND(tecantrop!V638,"AAAAAHoe+vo=")</f>
        <v>#VALUE!</v>
      </c>
      <c r="IR169" t="e">
        <f>AND(tecantrop!W638,"AAAAAHoe+vs=")</f>
        <v>#VALUE!</v>
      </c>
      <c r="IS169" t="e">
        <f>AND(tecantrop!X638,"AAAAAHoe+vw=")</f>
        <v>#VALUE!</v>
      </c>
      <c r="IT169">
        <f>IF(tecantrop!639:639,"AAAAAHoe+v0=",0)</f>
        <v>0</v>
      </c>
      <c r="IU169" t="e">
        <f>AND(tecantrop!A639,"AAAAAHoe+v4=")</f>
        <v>#VALUE!</v>
      </c>
      <c r="IV169" t="e">
        <f>AND(tecantrop!B639,"AAAAAHoe+v8=")</f>
        <v>#VALUE!</v>
      </c>
    </row>
    <row r="170" spans="1:256" x14ac:dyDescent="0.2">
      <c r="A170" t="e">
        <f>AND(tecantrop!C639,"AAAAADy69wA=")</f>
        <v>#VALUE!</v>
      </c>
      <c r="B170" t="e">
        <f>AND(tecantrop!D639,"AAAAADy69wE=")</f>
        <v>#VALUE!</v>
      </c>
      <c r="C170" t="e">
        <f>AND(tecantrop!E639,"AAAAADy69wI=")</f>
        <v>#VALUE!</v>
      </c>
      <c r="D170" t="e">
        <f>AND(tecantrop!F639,"AAAAADy69wM=")</f>
        <v>#VALUE!</v>
      </c>
      <c r="E170" t="e">
        <f>AND(tecantrop!G639,"AAAAADy69wQ=")</f>
        <v>#VALUE!</v>
      </c>
      <c r="F170" t="e">
        <f>AND(tecantrop!H639,"AAAAADy69wU=")</f>
        <v>#VALUE!</v>
      </c>
      <c r="G170" t="e">
        <f>AND(tecantrop!I639,"AAAAADy69wY=")</f>
        <v>#VALUE!</v>
      </c>
      <c r="H170" t="e">
        <f>AND(tecantrop!J639,"AAAAADy69wc=")</f>
        <v>#VALUE!</v>
      </c>
      <c r="I170" t="e">
        <f>AND(tecantrop!K639,"AAAAADy69wg=")</f>
        <v>#VALUE!</v>
      </c>
      <c r="J170" t="e">
        <f>AND(tecantrop!L639,"AAAAADy69wk=")</f>
        <v>#VALUE!</v>
      </c>
      <c r="K170" t="e">
        <f>AND(tecantrop!M639,"AAAAADy69wo=")</f>
        <v>#VALUE!</v>
      </c>
      <c r="L170" t="e">
        <f>AND(tecantrop!N639,"AAAAADy69ws=")</f>
        <v>#VALUE!</v>
      </c>
      <c r="M170" t="e">
        <f>AND(tecantrop!O639,"AAAAADy69ww=")</f>
        <v>#VALUE!</v>
      </c>
      <c r="N170" t="e">
        <f>AND(tecantrop!P639,"AAAAADy69w0=")</f>
        <v>#VALUE!</v>
      </c>
      <c r="O170" t="e">
        <f>AND(tecantrop!Q639,"AAAAADy69w4=")</f>
        <v>#VALUE!</v>
      </c>
      <c r="P170" t="e">
        <f>AND(tecantrop!R639,"AAAAADy69w8=")</f>
        <v>#VALUE!</v>
      </c>
      <c r="Q170" t="e">
        <f>AND(tecantrop!S639,"AAAAADy69xA=")</f>
        <v>#VALUE!</v>
      </c>
      <c r="R170" t="e">
        <f>AND(tecantrop!T639,"AAAAADy69xE=")</f>
        <v>#VALUE!</v>
      </c>
      <c r="S170" t="e">
        <f>AND(tecantrop!U639,"AAAAADy69xI=")</f>
        <v>#VALUE!</v>
      </c>
      <c r="T170" t="e">
        <f>AND(tecantrop!V639,"AAAAADy69xM=")</f>
        <v>#VALUE!</v>
      </c>
      <c r="U170" t="e">
        <f>AND(tecantrop!W639,"AAAAADy69xQ=")</f>
        <v>#VALUE!</v>
      </c>
      <c r="V170" t="e">
        <f>AND(tecantrop!X639,"AAAAADy69xU=")</f>
        <v>#VALUE!</v>
      </c>
      <c r="W170">
        <f>IF(tecantrop!640:640,"AAAAADy69xY=",0)</f>
        <v>0</v>
      </c>
      <c r="X170" t="e">
        <f>AND(tecantrop!A640,"AAAAADy69xc=")</f>
        <v>#VALUE!</v>
      </c>
      <c r="Y170" t="e">
        <f>AND(tecantrop!B640,"AAAAADy69xg=")</f>
        <v>#VALUE!</v>
      </c>
      <c r="Z170" t="e">
        <f>AND(tecantrop!C640,"AAAAADy69xk=")</f>
        <v>#VALUE!</v>
      </c>
      <c r="AA170" t="e">
        <f>AND(tecantrop!D640,"AAAAADy69xo=")</f>
        <v>#VALUE!</v>
      </c>
      <c r="AB170" t="e">
        <f>AND(tecantrop!E640,"AAAAADy69xs=")</f>
        <v>#VALUE!</v>
      </c>
      <c r="AC170" t="e">
        <f>AND(tecantrop!F640,"AAAAADy69xw=")</f>
        <v>#VALUE!</v>
      </c>
      <c r="AD170" t="e">
        <f>AND(tecantrop!G640,"AAAAADy69x0=")</f>
        <v>#VALUE!</v>
      </c>
      <c r="AE170" t="e">
        <f>AND(tecantrop!H640,"AAAAADy69x4=")</f>
        <v>#VALUE!</v>
      </c>
      <c r="AF170" t="e">
        <f>AND(tecantrop!I640,"AAAAADy69x8=")</f>
        <v>#VALUE!</v>
      </c>
      <c r="AG170" t="e">
        <f>AND(tecantrop!J640,"AAAAADy69yA=")</f>
        <v>#VALUE!</v>
      </c>
      <c r="AH170" t="e">
        <f>AND(tecantrop!K640,"AAAAADy69yE=")</f>
        <v>#VALUE!</v>
      </c>
      <c r="AI170" t="e">
        <f>AND(tecantrop!L640,"AAAAADy69yI=")</f>
        <v>#VALUE!</v>
      </c>
      <c r="AJ170" t="e">
        <f>AND(tecantrop!M640,"AAAAADy69yM=")</f>
        <v>#VALUE!</v>
      </c>
      <c r="AK170" t="e">
        <f>AND(tecantrop!N640,"AAAAADy69yQ=")</f>
        <v>#VALUE!</v>
      </c>
      <c r="AL170" t="e">
        <f>AND(tecantrop!O640,"AAAAADy69yU=")</f>
        <v>#VALUE!</v>
      </c>
      <c r="AM170" t="e">
        <f>AND(tecantrop!P640,"AAAAADy69yY=")</f>
        <v>#VALUE!</v>
      </c>
      <c r="AN170" t="e">
        <f>AND(tecantrop!Q640,"AAAAADy69yc=")</f>
        <v>#VALUE!</v>
      </c>
      <c r="AO170" t="e">
        <f>AND(tecantrop!R640,"AAAAADy69yg=")</f>
        <v>#VALUE!</v>
      </c>
      <c r="AP170" t="e">
        <f>AND(tecantrop!S640,"AAAAADy69yk=")</f>
        <v>#VALUE!</v>
      </c>
      <c r="AQ170" t="e">
        <f>AND(tecantrop!T640,"AAAAADy69yo=")</f>
        <v>#VALUE!</v>
      </c>
      <c r="AR170" t="e">
        <f>AND(tecantrop!U640,"AAAAADy69ys=")</f>
        <v>#VALUE!</v>
      </c>
      <c r="AS170" t="e">
        <f>AND(tecantrop!V640,"AAAAADy69yw=")</f>
        <v>#VALUE!</v>
      </c>
      <c r="AT170" t="e">
        <f>AND(tecantrop!W640,"AAAAADy69y0=")</f>
        <v>#VALUE!</v>
      </c>
      <c r="AU170" t="e">
        <f>AND(tecantrop!X640,"AAAAADy69y4=")</f>
        <v>#VALUE!</v>
      </c>
      <c r="AV170">
        <f>IF(tecantrop!A:A,"AAAAADy69y8=",0)</f>
        <v>0</v>
      </c>
      <c r="AW170">
        <f>IF(tecantrop!B:B,"AAAAADy69zA=",0)</f>
        <v>0</v>
      </c>
      <c r="AX170">
        <f>IF(tecantrop!C:C,"AAAAADy69zE=",0)</f>
        <v>0</v>
      </c>
      <c r="AY170">
        <f>IF(tecantrop!D:D,"AAAAADy69zI=",0)</f>
        <v>0</v>
      </c>
      <c r="AZ170">
        <f>IF(tecantrop!E:E,"AAAAADy69zM=",0)</f>
        <v>0</v>
      </c>
      <c r="BA170">
        <f>IF(tecantrop!F:F,"AAAAADy69zQ=",0)</f>
        <v>0</v>
      </c>
      <c r="BB170">
        <f>IF(tecantrop!G:G,"AAAAADy69zU=",0)</f>
        <v>0</v>
      </c>
      <c r="BC170">
        <f>IF(tecantrop!H:H,"AAAAADy69zY=",0)</f>
        <v>0</v>
      </c>
      <c r="BD170">
        <f>IF(tecantrop!I:I,"AAAAADy69zc=",0)</f>
        <v>0</v>
      </c>
      <c r="BE170">
        <f>IF(tecantrop!J:J,"AAAAADy69zg=",0)</f>
        <v>0</v>
      </c>
      <c r="BF170">
        <f>IF(tecantrop!K:K,"AAAAADy69zk=",0)</f>
        <v>0</v>
      </c>
      <c r="BG170">
        <f>IF(tecantrop!L:L,"AAAAADy69zo=",0)</f>
        <v>0</v>
      </c>
      <c r="BH170">
        <f>IF(tecantrop!M:M,"AAAAADy69zs=",0)</f>
        <v>0</v>
      </c>
      <c r="BI170">
        <f>IF(tecantrop!N:N,"AAAAADy69zw=",0)</f>
        <v>0</v>
      </c>
      <c r="BJ170">
        <f>IF(tecantrop!O:O,"AAAAADy69z0=",0)</f>
        <v>0</v>
      </c>
      <c r="BK170">
        <f>IF(tecantrop!P:P,"AAAAADy69z4=",0)</f>
        <v>0</v>
      </c>
      <c r="BL170">
        <f>IF(tecantrop!Q:Q,"AAAAADy69z8=",0)</f>
        <v>0</v>
      </c>
      <c r="BM170">
        <f>IF(tecantrop!R:R,"AAAAADy690A=",0)</f>
        <v>0</v>
      </c>
      <c r="BN170">
        <f>IF(tecantrop!S:S,"AAAAADy690E=",0)</f>
        <v>0</v>
      </c>
      <c r="BO170">
        <f>IF(tecantrop!T:T,"AAAAADy690I=",0)</f>
        <v>0</v>
      </c>
      <c r="BP170">
        <f>IF(tecantrop!U:U,"AAAAADy690M=",0)</f>
        <v>0</v>
      </c>
      <c r="BQ170">
        <f>IF(tecantrop!V:V,"AAAAADy690Q=",0)</f>
        <v>0</v>
      </c>
      <c r="BR170">
        <f>IF(tecantrop!W:W,"AAAAADy690U=",0)</f>
        <v>0</v>
      </c>
      <c r="BS170">
        <f>IF(tecantrop!X:X,"AAAAADy690Y=",0)</f>
        <v>0</v>
      </c>
      <c r="BT170">
        <f>IF(estatura!1:1,"AAAAADy690c=",0)</f>
        <v>0</v>
      </c>
      <c r="BU170">
        <f>IF(estatura!2:2,"AAAAADy690g=",0)</f>
        <v>0</v>
      </c>
      <c r="BV170">
        <f>IF(estatura!3:3,"AAAAADy690k=",0)</f>
        <v>0</v>
      </c>
      <c r="BW170">
        <f>IF(estatura!4:4,"AAAAADy690o=",0)</f>
        <v>0</v>
      </c>
      <c r="BX170">
        <f>IF(estatura!5:5,"AAAAADy690s=",0)</f>
        <v>0</v>
      </c>
      <c r="BY170">
        <f>IF(estatura!6:6,"AAAAADy690w=",0)</f>
        <v>0</v>
      </c>
      <c r="BZ170">
        <f>IF(estatura!7:7,"AAAAADy6900=",0)</f>
        <v>0</v>
      </c>
      <c r="CA170">
        <f>IF(estatura!8:8,"AAAAADy6904=",0)</f>
        <v>0</v>
      </c>
      <c r="CB170">
        <f>IF(estatura!9:9,"AAAAADy6908=",0)</f>
        <v>0</v>
      </c>
      <c r="CC170">
        <f>IF(estatura!10:10,"AAAAADy691A=",0)</f>
        <v>0</v>
      </c>
      <c r="CD170">
        <f>IF(estatura!11:11,"AAAAADy691E=",0)</f>
        <v>0</v>
      </c>
      <c r="CE170">
        <f>IF(estatura!12:12,"AAAAADy691I=",0)</f>
        <v>0</v>
      </c>
      <c r="CF170">
        <f>IF(estatura!13:13,"AAAAADy691M=",0)</f>
        <v>0</v>
      </c>
      <c r="CG170">
        <f>IF(estatura!14:14,"AAAAADy691Q=",0)</f>
        <v>0</v>
      </c>
      <c r="CH170">
        <f>IF(estatura!15:15,"AAAAADy691U=",0)</f>
        <v>0</v>
      </c>
      <c r="CI170">
        <f>IF(estatura!16:16,"AAAAADy691Y=",0)</f>
        <v>0</v>
      </c>
      <c r="CJ170">
        <f>IF(estatura!17:17,"AAAAADy691c=",0)</f>
        <v>0</v>
      </c>
      <c r="CK170">
        <f>IF(estatura!18:18,"AAAAADy691g=",0)</f>
        <v>0</v>
      </c>
      <c r="CL170">
        <f>IF(estatura!19:19,"AAAAADy691k=",0)</f>
        <v>0</v>
      </c>
      <c r="CM170">
        <f>IF(estatura!20:20,"AAAAADy691o=",0)</f>
        <v>0</v>
      </c>
      <c r="CN170">
        <f>IF(estatura!21:21,"AAAAADy691s=",0)</f>
        <v>0</v>
      </c>
      <c r="CO170">
        <f>IF(estatura!22:22,"AAAAADy691w=",0)</f>
        <v>0</v>
      </c>
      <c r="CP170">
        <f>IF(estatura!23:23,"AAAAADy6910=",0)</f>
        <v>0</v>
      </c>
      <c r="CQ170">
        <f>IF(estatura!24:24,"AAAAADy6914=",0)</f>
        <v>0</v>
      </c>
      <c r="CR170">
        <f>IF(estatura!25:25,"AAAAADy6918=",0)</f>
        <v>0</v>
      </c>
      <c r="CS170">
        <f>IF(estatura!26:26,"AAAAADy692A=",0)</f>
        <v>0</v>
      </c>
      <c r="CT170">
        <f>IF(estatura!27:27,"AAAAADy692E=",0)</f>
        <v>0</v>
      </c>
      <c r="CU170">
        <f>IF(estatura!28:28,"AAAAADy692I=",0)</f>
        <v>0</v>
      </c>
      <c r="CV170">
        <f>IF(estatura!29:29,"AAAAADy692M=",0)</f>
        <v>0</v>
      </c>
      <c r="CW170">
        <f>IF(estatura!30:30,"AAAAADy692Q=",0)</f>
        <v>0</v>
      </c>
      <c r="CX170">
        <f>IF(estatura!31:31,"AAAAADy692U=",0)</f>
        <v>0</v>
      </c>
      <c r="CY170">
        <f>IF(estatura!32:32,"AAAAADy692Y=",0)</f>
        <v>0</v>
      </c>
      <c r="CZ170">
        <f>IF(estatura!33:33,"AAAAADy692c=",0)</f>
        <v>0</v>
      </c>
      <c r="DA170">
        <f>IF(estatura!34:34,"AAAAADy692g=",0)</f>
        <v>0</v>
      </c>
      <c r="DB170">
        <f>IF(estatura!35:35,"AAAAADy692k=",0)</f>
        <v>0</v>
      </c>
      <c r="DC170">
        <f>IF(estatura!36:36,"AAAAADy692o=",0)</f>
        <v>0</v>
      </c>
      <c r="DD170">
        <f>IF(estatura!37:37,"AAAAADy692s=",0)</f>
        <v>0</v>
      </c>
      <c r="DE170">
        <f>IF(estatura!38:38,"AAAAADy692w=",0)</f>
        <v>0</v>
      </c>
      <c r="DF170">
        <f>IF(estatura!39:39,"AAAAADy6920=",0)</f>
        <v>0</v>
      </c>
      <c r="DG170">
        <f>IF(estatura!40:40,"AAAAADy6924=",0)</f>
        <v>0</v>
      </c>
      <c r="DH170">
        <f>IF(estatura!41:41,"AAAAADy6928=",0)</f>
        <v>0</v>
      </c>
      <c r="DI170">
        <f>IF(estatura!42:42,"AAAAADy693A=",0)</f>
        <v>0</v>
      </c>
      <c r="DJ170">
        <f>IF(estatura!43:43,"AAAAADy693E=",0)</f>
        <v>0</v>
      </c>
      <c r="DK170">
        <f>IF(estatura!44:44,"AAAAADy693I=",0)</f>
        <v>0</v>
      </c>
      <c r="DL170">
        <f>IF(estatura!45:45,"AAAAADy693M=",0)</f>
        <v>0</v>
      </c>
      <c r="DM170">
        <f>IF(estatura!46:46,"AAAAADy693Q=",0)</f>
        <v>0</v>
      </c>
      <c r="DN170">
        <f>IF(estatura!47:47,"AAAAADy693U=",0)</f>
        <v>0</v>
      </c>
      <c r="DO170">
        <f>IF(estatura!48:48,"AAAAADy693Y=",0)</f>
        <v>0</v>
      </c>
      <c r="DP170">
        <f>IF(estatura!49:49,"AAAAADy693c=",0)</f>
        <v>0</v>
      </c>
      <c r="DQ170">
        <f>IF(estatura!50:50,"AAAAADy693g=",0)</f>
        <v>0</v>
      </c>
      <c r="DR170">
        <f>IF(estatura!51:51,"AAAAADy693k=",0)</f>
        <v>0</v>
      </c>
      <c r="DS170">
        <f>IF(estatura!52:52,"AAAAADy693o=",0)</f>
        <v>0</v>
      </c>
      <c r="DT170">
        <f>IF(estatura!53:53,"AAAAADy693s=",0)</f>
        <v>0</v>
      </c>
      <c r="DU170">
        <f>IF(estatura!54:54,"AAAAADy693w=",0)</f>
        <v>0</v>
      </c>
      <c r="DV170">
        <f>IF(estatura!55:55,"AAAAADy6930=",0)</f>
        <v>0</v>
      </c>
      <c r="DW170">
        <f>IF(estatura!56:56,"AAAAADy6934=",0)</f>
        <v>0</v>
      </c>
      <c r="DX170">
        <f>IF(estatura!57:57,"AAAAADy6938=",0)</f>
        <v>0</v>
      </c>
      <c r="DY170">
        <f>IF(estatura!58:58,"AAAAADy694A=",0)</f>
        <v>0</v>
      </c>
      <c r="DZ170">
        <f>IF(estatura!59:59,"AAAAADy694E=",0)</f>
        <v>0</v>
      </c>
      <c r="EA170">
        <f>IF(estatura!60:60,"AAAAADy694I=",0)</f>
        <v>0</v>
      </c>
      <c r="EB170">
        <f>IF(estatura!61:61,"AAAAADy694M=",0)</f>
        <v>0</v>
      </c>
      <c r="EC170">
        <f>IF(estatura!62:62,"AAAAADy694Q=",0)</f>
        <v>0</v>
      </c>
      <c r="ED170">
        <f>IF(estatura!63:63,"AAAAADy694U=",0)</f>
        <v>0</v>
      </c>
      <c r="EE170">
        <f>IF(estatura!64:64,"AAAAADy694Y=",0)</f>
        <v>0</v>
      </c>
      <c r="EF170">
        <f>IF(estatura!65:65,"AAAAADy694c=",0)</f>
        <v>0</v>
      </c>
      <c r="EG170">
        <f>IF(estatura!66:66,"AAAAADy694g=",0)</f>
        <v>0</v>
      </c>
      <c r="EH170">
        <f>IF(estatura!67:67,"AAAAADy694k=",0)</f>
        <v>0</v>
      </c>
      <c r="EI170">
        <f>IF(estatura!68:68,"AAAAADy694o=",0)</f>
        <v>0</v>
      </c>
      <c r="EJ170">
        <f>IF(estatura!69:69,"AAAAADy694s=",0)</f>
        <v>0</v>
      </c>
      <c r="EK170">
        <f>IF(estatura!70:70,"AAAAADy694w=",0)</f>
        <v>0</v>
      </c>
      <c r="EL170">
        <f>IF(estatura!71:71,"AAAAADy6940=",0)</f>
        <v>0</v>
      </c>
      <c r="EM170">
        <f>IF(estatura!72:72,"AAAAADy6944=",0)</f>
        <v>0</v>
      </c>
      <c r="EN170">
        <f>IF(estatura!73:73,"AAAAADy6948=",0)</f>
        <v>0</v>
      </c>
      <c r="EO170">
        <f>IF(estatura!74:74,"AAAAADy695A=",0)</f>
        <v>0</v>
      </c>
      <c r="EP170">
        <f>IF(estatura!75:75,"AAAAADy695E=",0)</f>
        <v>0</v>
      </c>
      <c r="EQ170">
        <f>IF(estatura!76:76,"AAAAADy695I=",0)</f>
        <v>0</v>
      </c>
      <c r="ER170">
        <f>IF(estatura!77:77,"AAAAADy695M=",0)</f>
        <v>0</v>
      </c>
      <c r="ES170">
        <f>IF(estatura!78:78,"AAAAADy695Q=",0)</f>
        <v>0</v>
      </c>
      <c r="ET170">
        <f>IF(estatura!79:79,"AAAAADy695U=",0)</f>
        <v>0</v>
      </c>
      <c r="EU170">
        <f>IF(estatura!80:80,"AAAAADy695Y=",0)</f>
        <v>0</v>
      </c>
      <c r="EV170">
        <f>IF(estatura!81:81,"AAAAADy695c=",0)</f>
        <v>0</v>
      </c>
      <c r="EW170">
        <f>IF(estatura!82:82,"AAAAADy695g=",0)</f>
        <v>0</v>
      </c>
      <c r="EX170">
        <f>IF(estatura!83:83,"AAAAADy695k=",0)</f>
        <v>0</v>
      </c>
      <c r="EY170">
        <f>IF(estatura!84:84,"AAAAADy695o=",0)</f>
        <v>0</v>
      </c>
      <c r="EZ170">
        <f>IF(estatura!85:85,"AAAAADy695s=",0)</f>
        <v>0</v>
      </c>
      <c r="FA170">
        <f>IF(estatura!86:86,"AAAAADy695w=",0)</f>
        <v>0</v>
      </c>
      <c r="FB170">
        <f>IF(estatura!87:87,"AAAAADy6950=",0)</f>
        <v>0</v>
      </c>
      <c r="FC170">
        <f>IF(estatura!88:88,"AAAAADy6954=",0)</f>
        <v>0</v>
      </c>
      <c r="FD170">
        <f>IF(estatura!89:89,"AAAAADy6958=",0)</f>
        <v>0</v>
      </c>
      <c r="FE170">
        <f>IF(estatura!90:90,"AAAAADy696A=",0)</f>
        <v>0</v>
      </c>
      <c r="FF170">
        <f>IF(estatura!91:91,"AAAAADy696E=",0)</f>
        <v>0</v>
      </c>
      <c r="FG170">
        <f>IF(estatura!92:92,"AAAAADy696I=",0)</f>
        <v>0</v>
      </c>
      <c r="FH170">
        <f>IF(estatura!93:93,"AAAAADy696M=",0)</f>
        <v>0</v>
      </c>
      <c r="FI170">
        <f>IF(estatura!94:94,"AAAAADy696Q=",0)</f>
        <v>0</v>
      </c>
      <c r="FJ170">
        <f>IF(estatura!95:95,"AAAAADy696U=",0)</f>
        <v>0</v>
      </c>
      <c r="FK170">
        <f>IF(estatura!96:96,"AAAAADy696Y=",0)</f>
        <v>0</v>
      </c>
      <c r="FL170">
        <f>IF(estatura!97:97,"AAAAADy696c=",0)</f>
        <v>0</v>
      </c>
      <c r="FM170">
        <f>IF(estatura!98:98,"AAAAADy696g=",0)</f>
        <v>0</v>
      </c>
      <c r="FN170">
        <f>IF(estatura!99:99,"AAAAADy696k=",0)</f>
        <v>0</v>
      </c>
      <c r="FO170">
        <f>IF(estatura!100:100,"AAAAADy696o=",0)</f>
        <v>0</v>
      </c>
      <c r="FP170">
        <f>IF(estatura!101:101,"AAAAADy696s=",0)</f>
        <v>0</v>
      </c>
      <c r="FQ170">
        <f>IF(estatura!102:102,"AAAAADy696w=",0)</f>
        <v>0</v>
      </c>
      <c r="FR170">
        <f>IF(estatura!103:103,"AAAAADy6960=",0)</f>
        <v>0</v>
      </c>
      <c r="FS170">
        <f>IF(estatura!104:104,"AAAAADy6964=",0)</f>
        <v>0</v>
      </c>
      <c r="FT170">
        <f>IF(estatura!105:105,"AAAAADy6968=",0)</f>
        <v>0</v>
      </c>
      <c r="FU170">
        <f>IF(estatura!106:106,"AAAAADy697A=",0)</f>
        <v>0</v>
      </c>
      <c r="FV170">
        <f>IF(estatura!107:107,"AAAAADy697E=",0)</f>
        <v>0</v>
      </c>
      <c r="FW170">
        <f>IF(estatura!108:108,"AAAAADy697I=",0)</f>
        <v>0</v>
      </c>
      <c r="FX170">
        <f>IF(estatura!109:109,"AAAAADy697M=",0)</f>
        <v>0</v>
      </c>
      <c r="FY170">
        <f>IF(estatura!110:110,"AAAAADy697Q=",0)</f>
        <v>0</v>
      </c>
      <c r="FZ170">
        <f>IF(estatura!111:111,"AAAAADy697U=",0)</f>
        <v>0</v>
      </c>
      <c r="GA170">
        <f>IF(estatura!112:112,"AAAAADy697Y=",0)</f>
        <v>0</v>
      </c>
      <c r="GB170">
        <f>IF(estatura!113:113,"AAAAADy697c=",0)</f>
        <v>0</v>
      </c>
      <c r="GC170">
        <f>IF(estatura!114:114,"AAAAADy697g=",0)</f>
        <v>0</v>
      </c>
      <c r="GD170">
        <f>IF(estatura!115:115,"AAAAADy697k=",0)</f>
        <v>0</v>
      </c>
      <c r="GE170">
        <f>IF(estatura!116:116,"AAAAADy697o=",0)</f>
        <v>0</v>
      </c>
      <c r="GF170">
        <f>IF(estatura!117:117,"AAAAADy697s=",0)</f>
        <v>0</v>
      </c>
      <c r="GG170">
        <f>IF(estatura!118:118,"AAAAADy697w=",0)</f>
        <v>0</v>
      </c>
      <c r="GH170">
        <f>IF(estatura!119:119,"AAAAADy6970=",0)</f>
        <v>0</v>
      </c>
      <c r="GI170">
        <f>IF(estatura!120:120,"AAAAADy6974=",0)</f>
        <v>0</v>
      </c>
      <c r="GJ170">
        <f>IF(estatura!121:121,"AAAAADy6978=",0)</f>
        <v>0</v>
      </c>
      <c r="GK170">
        <f>IF(estatura!122:122,"AAAAADy698A=",0)</f>
        <v>0</v>
      </c>
      <c r="GL170">
        <f>IF(estatura!123:123,"AAAAADy698E=",0)</f>
        <v>0</v>
      </c>
      <c r="GM170">
        <f>IF(estatura!124:124,"AAAAADy698I=",0)</f>
        <v>0</v>
      </c>
      <c r="GN170">
        <f>IF(estatura!125:125,"AAAAADy698M=",0)</f>
        <v>0</v>
      </c>
      <c r="GO170">
        <f>IF(estatura!126:126,"AAAAADy698Q=",0)</f>
        <v>0</v>
      </c>
      <c r="GP170">
        <f>IF(estatura!127:127,"AAAAADy698U=",0)</f>
        <v>0</v>
      </c>
      <c r="GQ170">
        <f>IF(estatura!128:128,"AAAAADy698Y=",0)</f>
        <v>0</v>
      </c>
      <c r="GR170">
        <f>IF(estatura!129:129,"AAAAADy698c=",0)</f>
        <v>0</v>
      </c>
      <c r="GS170">
        <f>IF(estatura!130:130,"AAAAADy698g=",0)</f>
        <v>0</v>
      </c>
      <c r="GT170">
        <f>IF(estatura!131:131,"AAAAADy698k=",0)</f>
        <v>0</v>
      </c>
      <c r="GU170">
        <f>IF(estatura!132:132,"AAAAADy698o=",0)</f>
        <v>0</v>
      </c>
      <c r="GV170">
        <f>IF(estatura!133:133,"AAAAADy698s=",0)</f>
        <v>0</v>
      </c>
      <c r="GW170">
        <f>IF(estatura!134:134,"AAAAADy698w=",0)</f>
        <v>0</v>
      </c>
      <c r="GX170">
        <f>IF(estatura!135:135,"AAAAADy6980=",0)</f>
        <v>0</v>
      </c>
      <c r="GY170">
        <f>IF(estatura!136:136,"AAAAADy6984=",0)</f>
        <v>0</v>
      </c>
      <c r="GZ170">
        <f>IF(estatura!137:137,"AAAAADy6988=",0)</f>
        <v>0</v>
      </c>
      <c r="HA170">
        <f>IF(estatura!138:138,"AAAAADy699A=",0)</f>
        <v>0</v>
      </c>
      <c r="HB170">
        <f>IF(estatura!139:139,"AAAAADy699E=",0)</f>
        <v>0</v>
      </c>
      <c r="HC170">
        <f>IF(estatura!140:140,"AAAAADy699I=",0)</f>
        <v>0</v>
      </c>
      <c r="HD170">
        <f>IF(estatura!141:141,"AAAAADy699M=",0)</f>
        <v>0</v>
      </c>
      <c r="HE170">
        <f>IF(estatura!142:142,"AAAAADy699Q=",0)</f>
        <v>0</v>
      </c>
      <c r="HF170">
        <f>IF(estatura!143:143,"AAAAADy699U=",0)</f>
        <v>0</v>
      </c>
      <c r="HG170">
        <f>IF(estatura!144:144,"AAAAADy699Y=",0)</f>
        <v>0</v>
      </c>
      <c r="HH170">
        <f>IF(estatura!145:145,"AAAAADy699c=",0)</f>
        <v>0</v>
      </c>
      <c r="HI170">
        <f>IF(estatura!146:146,"AAAAADy699g=",0)</f>
        <v>0</v>
      </c>
      <c r="HJ170">
        <f>IF(estatura!147:147,"AAAAADy699k=",0)</f>
        <v>0</v>
      </c>
      <c r="HK170">
        <f>IF(estatura!148:148,"AAAAADy699o=",0)</f>
        <v>0</v>
      </c>
      <c r="HL170">
        <f>IF(estatura!149:149,"AAAAADy699s=",0)</f>
        <v>0</v>
      </c>
      <c r="HM170">
        <f>IF(estatura!150:150,"AAAAADy699w=",0)</f>
        <v>0</v>
      </c>
      <c r="HN170">
        <f>IF(estatura!151:151,"AAAAADy6990=",0)</f>
        <v>0</v>
      </c>
      <c r="HO170">
        <f>IF(estatura!152:152,"AAAAADy6994=",0)</f>
        <v>0</v>
      </c>
      <c r="HP170">
        <f>IF(estatura!153:153,"AAAAADy6998=",0)</f>
        <v>0</v>
      </c>
      <c r="HQ170">
        <f>IF(estatura!154:154,"AAAAADy69+A=",0)</f>
        <v>0</v>
      </c>
      <c r="HR170">
        <f>IF(estatura!155:155,"AAAAADy69+E=",0)</f>
        <v>0</v>
      </c>
      <c r="HS170">
        <f>IF(estatura!156:156,"AAAAADy69+I=",0)</f>
        <v>0</v>
      </c>
      <c r="HT170">
        <f>IF(estatura!157:157,"AAAAADy69+M=",0)</f>
        <v>0</v>
      </c>
      <c r="HU170">
        <f>IF(estatura!158:158,"AAAAADy69+Q=",0)</f>
        <v>0</v>
      </c>
      <c r="HV170">
        <f>IF(estatura!159:159,"AAAAADy69+U=",0)</f>
        <v>0</v>
      </c>
      <c r="HW170">
        <f>IF(estatura!160:160,"AAAAADy69+Y=",0)</f>
        <v>0</v>
      </c>
      <c r="HX170">
        <f>IF(estatura!161:161,"AAAAADy69+c=",0)</f>
        <v>0</v>
      </c>
      <c r="HY170">
        <f>IF(estatura!162:162,"AAAAADy69+g=",0)</f>
        <v>0</v>
      </c>
      <c r="HZ170">
        <f>IF(estatura!163:163,"AAAAADy69+k=",0)</f>
        <v>0</v>
      </c>
      <c r="IA170">
        <f>IF(estatura!164:164,"AAAAADy69+o=",0)</f>
        <v>0</v>
      </c>
      <c r="IB170">
        <f>IF(estatura!165:165,"AAAAADy69+s=",0)</f>
        <v>0</v>
      </c>
      <c r="IC170">
        <f>IF(estatura!166:166,"AAAAADy69+w=",0)</f>
        <v>0</v>
      </c>
      <c r="ID170">
        <f>IF(estatura!167:167,"AAAAADy69+0=",0)</f>
        <v>0</v>
      </c>
      <c r="IE170">
        <f>IF(estatura!168:168,"AAAAADy69+4=",0)</f>
        <v>0</v>
      </c>
      <c r="IF170">
        <f>IF(estatura!169:169,"AAAAADy69+8=",0)</f>
        <v>0</v>
      </c>
      <c r="IG170">
        <f>IF(estatura!170:170,"AAAAADy69/A=",0)</f>
        <v>0</v>
      </c>
      <c r="IH170">
        <f>IF(estatura!171:171,"AAAAADy69/E=",0)</f>
        <v>0</v>
      </c>
      <c r="II170">
        <f>IF(estatura!172:172,"AAAAADy69/I=",0)</f>
        <v>0</v>
      </c>
      <c r="IJ170">
        <f>IF(estatura!173:173,"AAAAADy69/M=",0)</f>
        <v>0</v>
      </c>
      <c r="IK170">
        <f>IF(estatura!174:174,"AAAAADy69/Q=",0)</f>
        <v>0</v>
      </c>
      <c r="IL170">
        <f>IF(estatura!175:175,"AAAAADy69/U=",0)</f>
        <v>0</v>
      </c>
      <c r="IM170">
        <f>IF(estatura!176:176,"AAAAADy69/Y=",0)</f>
        <v>0</v>
      </c>
      <c r="IN170">
        <f>IF(estatura!177:177,"AAAAADy69/c=",0)</f>
        <v>0</v>
      </c>
      <c r="IO170">
        <f>IF(estatura!178:178,"AAAAADy69/g=",0)</f>
        <v>0</v>
      </c>
      <c r="IP170">
        <f>IF(estatura!179:179,"AAAAADy69/k=",0)</f>
        <v>0</v>
      </c>
      <c r="IQ170">
        <f>IF(estatura!180:180,"AAAAADy69/o=",0)</f>
        <v>0</v>
      </c>
      <c r="IR170">
        <f>IF(estatura!181:181,"AAAAADy69/s=",0)</f>
        <v>0</v>
      </c>
      <c r="IS170">
        <f>IF(estatura!182:182,"AAAAADy69/w=",0)</f>
        <v>0</v>
      </c>
      <c r="IT170">
        <f>IF(estatura!183:183,"AAAAADy69/0=",0)</f>
        <v>0</v>
      </c>
      <c r="IU170">
        <f>IF(estatura!184:184,"AAAAADy69/4=",0)</f>
        <v>0</v>
      </c>
      <c r="IV170">
        <f>IF(estatura!185:185,"AAAAADy69/8=",0)</f>
        <v>0</v>
      </c>
    </row>
    <row r="171" spans="1:256" x14ac:dyDescent="0.2">
      <c r="A171">
        <f>IF(estatura!186:186,"AAAAAEvfvQA=",0)</f>
        <v>0</v>
      </c>
      <c r="B171">
        <f>IF(estatura!187:187,"AAAAAEvfvQE=",0)</f>
        <v>0</v>
      </c>
      <c r="C171">
        <f>IF(estatura!188:188,"AAAAAEvfvQI=",0)</f>
        <v>0</v>
      </c>
      <c r="D171">
        <f>IF(estatura!189:189,"AAAAAEvfvQM=",0)</f>
        <v>0</v>
      </c>
      <c r="E171">
        <f>IF(estatura!190:190,"AAAAAEvfvQQ=",0)</f>
        <v>0</v>
      </c>
      <c r="F171">
        <f>IF(estatura!191:191,"AAAAAEvfvQU=",0)</f>
        <v>0</v>
      </c>
      <c r="G171">
        <f>IF(estatura!192:192,"AAAAAEvfvQY=",0)</f>
        <v>0</v>
      </c>
      <c r="H171">
        <f>IF(estatura!193:193,"AAAAAEvfvQc=",0)</f>
        <v>0</v>
      </c>
      <c r="I171">
        <f>IF(estatura!194:194,"AAAAAEvfvQg=",0)</f>
        <v>0</v>
      </c>
      <c r="J171">
        <f>IF(estatura!195:195,"AAAAAEvfvQk=",0)</f>
        <v>0</v>
      </c>
      <c r="K171">
        <f>IF(estatura!196:196,"AAAAAEvfvQo=",0)</f>
        <v>0</v>
      </c>
      <c r="L171">
        <f>IF(estatura!197:197,"AAAAAEvfvQs=",0)</f>
        <v>0</v>
      </c>
      <c r="M171">
        <f>IF(estatura!198:198,"AAAAAEvfvQw=",0)</f>
        <v>0</v>
      </c>
      <c r="N171">
        <f>IF(estatura!199:199,"AAAAAEvfvQ0=",0)</f>
        <v>0</v>
      </c>
      <c r="O171">
        <f>IF(estatura!200:200,"AAAAAEvfvQ4=",0)</f>
        <v>0</v>
      </c>
      <c r="P171">
        <f>IF(estatura!201:201,"AAAAAEvfvQ8=",0)</f>
        <v>0</v>
      </c>
      <c r="Q171">
        <f>IF(estatura!202:202,"AAAAAEvfvRA=",0)</f>
        <v>0</v>
      </c>
      <c r="R171">
        <f>IF(estatura!203:203,"AAAAAEvfvRE=",0)</f>
        <v>0</v>
      </c>
      <c r="S171">
        <f>IF(estatura!204:204,"AAAAAEvfvRI=",0)</f>
        <v>0</v>
      </c>
      <c r="T171">
        <f>IF(estatura!205:205,"AAAAAEvfvRM=",0)</f>
        <v>0</v>
      </c>
      <c r="U171">
        <f>IF(estatura!206:206,"AAAAAEvfvRQ=",0)</f>
        <v>0</v>
      </c>
      <c r="V171">
        <f>IF(estatura!207:207,"AAAAAEvfvRU=",0)</f>
        <v>0</v>
      </c>
      <c r="W171">
        <f>IF(estatura!208:208,"AAAAAEvfvRY=",0)</f>
        <v>0</v>
      </c>
      <c r="X171">
        <f>IF(estatura!209:209,"AAAAAEvfvRc=",0)</f>
        <v>0</v>
      </c>
      <c r="Y171">
        <f>IF(estatura!210:210,"AAAAAEvfvRg=",0)</f>
        <v>0</v>
      </c>
      <c r="Z171">
        <f>IF(estatura!211:211,"AAAAAEvfvRk=",0)</f>
        <v>0</v>
      </c>
      <c r="AA171">
        <f>IF(estatura!212:212,"AAAAAEvfvRo=",0)</f>
        <v>0</v>
      </c>
      <c r="AB171">
        <f>IF(estatura!213:213,"AAAAAEvfvRs=",0)</f>
        <v>0</v>
      </c>
      <c r="AC171">
        <f>IF(estatura!214:214,"AAAAAEvfvRw=",0)</f>
        <v>0</v>
      </c>
      <c r="AD171">
        <f>IF(estatura!215:215,"AAAAAEvfvR0=",0)</f>
        <v>0</v>
      </c>
      <c r="AE171">
        <f>IF(estatura!216:216,"AAAAAEvfvR4=",0)</f>
        <v>0</v>
      </c>
      <c r="AF171">
        <f>IF(estatura!217:217,"AAAAAEvfvR8=",0)</f>
        <v>0</v>
      </c>
      <c r="AG171">
        <f>IF(estatura!218:218,"AAAAAEvfvSA=",0)</f>
        <v>0</v>
      </c>
      <c r="AH171">
        <f>IF(estatura!219:219,"AAAAAEvfvSE=",0)</f>
        <v>0</v>
      </c>
      <c r="AI171">
        <f>IF(estatura!220:220,"AAAAAEvfvSI=",0)</f>
        <v>0</v>
      </c>
      <c r="AJ171">
        <f>IF(estatura!221:221,"AAAAAEvfvSM=",0)</f>
        <v>0</v>
      </c>
      <c r="AK171">
        <f>IF(estatura!222:222,"AAAAAEvfvSQ=",0)</f>
        <v>0</v>
      </c>
      <c r="AL171">
        <f>IF(estatura!223:223,"AAAAAEvfvSU=",0)</f>
        <v>0</v>
      </c>
      <c r="AM171">
        <f>IF(estatura!224:224,"AAAAAEvfvSY=",0)</f>
        <v>0</v>
      </c>
      <c r="AN171">
        <f>IF(estatura!225:225,"AAAAAEvfvSc=",0)</f>
        <v>0</v>
      </c>
      <c r="AO171">
        <f>IF(estatura!226:226,"AAAAAEvfvSg=",0)</f>
        <v>0</v>
      </c>
      <c r="AP171">
        <f>IF(estatura!227:227,"AAAAAEvfvSk=",0)</f>
        <v>0</v>
      </c>
      <c r="AQ171">
        <f>IF(estatura!228:228,"AAAAAEvfvSo=",0)</f>
        <v>0</v>
      </c>
      <c r="AR171">
        <f>IF(estatura!229:229,"AAAAAEvfvSs=",0)</f>
        <v>0</v>
      </c>
      <c r="AS171">
        <f>IF(estatura!230:230,"AAAAAEvfvSw=",0)</f>
        <v>0</v>
      </c>
      <c r="AT171">
        <f>IF(estatura!231:231,"AAAAAEvfvS0=",0)</f>
        <v>0</v>
      </c>
      <c r="AU171">
        <f>IF(estatura!232:232,"AAAAAEvfvS4=",0)</f>
        <v>0</v>
      </c>
      <c r="AV171">
        <f>IF(estatura!233:233,"AAAAAEvfvS8=",0)</f>
        <v>0</v>
      </c>
      <c r="AW171">
        <f>IF(estatura!234:234,"AAAAAEvfvTA=",0)</f>
        <v>0</v>
      </c>
      <c r="AX171">
        <f>IF(estatura!235:235,"AAAAAEvfvTE=",0)</f>
        <v>0</v>
      </c>
      <c r="AY171">
        <f>IF(estatura!236:236,"AAAAAEvfvTI=",0)</f>
        <v>0</v>
      </c>
      <c r="AZ171">
        <f>IF(estatura!237:237,"AAAAAEvfvTM=",0)</f>
        <v>0</v>
      </c>
      <c r="BA171">
        <f>IF(estatura!238:238,"AAAAAEvfvTQ=",0)</f>
        <v>0</v>
      </c>
      <c r="BB171">
        <f>IF(estatura!239:239,"AAAAAEvfvTU=",0)</f>
        <v>0</v>
      </c>
      <c r="BC171">
        <f>IF(estatura!240:240,"AAAAAEvfvTY=",0)</f>
        <v>0</v>
      </c>
      <c r="BD171">
        <f>IF(estatura!241:241,"AAAAAEvfvTc=",0)</f>
        <v>0</v>
      </c>
      <c r="BE171">
        <f>IF(estatura!242:242,"AAAAAEvfvTg=",0)</f>
        <v>0</v>
      </c>
      <c r="BF171">
        <f>IF(estatura!243:243,"AAAAAEvfvTk=",0)</f>
        <v>0</v>
      </c>
      <c r="BG171">
        <f>IF(estatura!244:244,"AAAAAEvfvTo=",0)</f>
        <v>0</v>
      </c>
      <c r="BH171">
        <f>IF(estatura!245:245,"AAAAAEvfvTs=",0)</f>
        <v>0</v>
      </c>
      <c r="BI171">
        <f>IF(estatura!246:246,"AAAAAEvfvTw=",0)</f>
        <v>0</v>
      </c>
      <c r="BJ171">
        <f>IF(estatura!247:247,"AAAAAEvfvT0=",0)</f>
        <v>0</v>
      </c>
      <c r="BK171">
        <f>IF(estatura!248:248,"AAAAAEvfvT4=",0)</f>
        <v>0</v>
      </c>
      <c r="BL171">
        <f>IF(estatura!249:249,"AAAAAEvfvT8=",0)</f>
        <v>0</v>
      </c>
      <c r="BM171">
        <f>IF(estatura!250:250,"AAAAAEvfvUA=",0)</f>
        <v>0</v>
      </c>
      <c r="BN171">
        <f>IF(estatura!251:251,"AAAAAEvfvUE=",0)</f>
        <v>0</v>
      </c>
      <c r="BO171">
        <f>IF(estatura!252:252,"AAAAAEvfvUI=",0)</f>
        <v>0</v>
      </c>
      <c r="BP171">
        <f>IF(estatura!253:253,"AAAAAEvfvUM=",0)</f>
        <v>0</v>
      </c>
      <c r="BQ171">
        <f>IF(estatura!254:254,"AAAAAEvfvUQ=",0)</f>
        <v>0</v>
      </c>
      <c r="BR171">
        <f>IF(estatura!255:255,"AAAAAEvfvUU=",0)</f>
        <v>0</v>
      </c>
      <c r="BS171">
        <f>IF(estatura!256:256,"AAAAAEvfvUY=",0)</f>
        <v>0</v>
      </c>
      <c r="BT171">
        <f>IF(estatura!257:257,"AAAAAEvfvUc=",0)</f>
        <v>0</v>
      </c>
      <c r="BU171">
        <f>IF(estatura!258:258,"AAAAAEvfvUg=",0)</f>
        <v>0</v>
      </c>
      <c r="BV171">
        <f>IF(estatura!259:259,"AAAAAEvfvUk=",0)</f>
        <v>0</v>
      </c>
      <c r="BW171">
        <f>IF(estatura!260:260,"AAAAAEvfvUo=",0)</f>
        <v>0</v>
      </c>
      <c r="BX171">
        <f>IF(estatura!261:261,"AAAAAEvfvUs=",0)</f>
        <v>0</v>
      </c>
      <c r="BY171">
        <f>IF(estatura!262:262,"AAAAAEvfvUw=",0)</f>
        <v>0</v>
      </c>
      <c r="BZ171">
        <f>IF(estatura!263:263,"AAAAAEvfvU0=",0)</f>
        <v>0</v>
      </c>
      <c r="CA171">
        <f>IF(estatura!264:264,"AAAAAEvfvU4=",0)</f>
        <v>0</v>
      </c>
      <c r="CB171">
        <f>IF(estatura!265:265,"AAAAAEvfvU8=",0)</f>
        <v>0</v>
      </c>
      <c r="CC171">
        <f>IF(estatura!266:266,"AAAAAEvfvVA=",0)</f>
        <v>0</v>
      </c>
      <c r="CD171">
        <f>IF(estatura!267:267,"AAAAAEvfvVE=",0)</f>
        <v>0</v>
      </c>
      <c r="CE171">
        <f>IF(estatura!268:268,"AAAAAEvfvVI=",0)</f>
        <v>0</v>
      </c>
      <c r="CF171">
        <f>IF(estatura!269:269,"AAAAAEvfvVM=",0)</f>
        <v>0</v>
      </c>
      <c r="CG171">
        <f>IF(estatura!270:270,"AAAAAEvfvVQ=",0)</f>
        <v>0</v>
      </c>
      <c r="CH171">
        <f>IF(estatura!271:271,"AAAAAEvfvVU=",0)</f>
        <v>0</v>
      </c>
      <c r="CI171">
        <f>IF(estatura!272:272,"AAAAAEvfvVY=",0)</f>
        <v>0</v>
      </c>
      <c r="CJ171">
        <f>IF(estatura!273:273,"AAAAAEvfvVc=",0)</f>
        <v>0</v>
      </c>
      <c r="CK171">
        <f>IF(estatura!274:274,"AAAAAEvfvVg=",0)</f>
        <v>0</v>
      </c>
      <c r="CL171">
        <f>IF(estatura!275:275,"AAAAAEvfvVk=",0)</f>
        <v>0</v>
      </c>
      <c r="CM171">
        <f>IF(estatura!276:276,"AAAAAEvfvVo=",0)</f>
        <v>0</v>
      </c>
      <c r="CN171">
        <f>IF(estatura!277:277,"AAAAAEvfvVs=",0)</f>
        <v>0</v>
      </c>
      <c r="CO171">
        <f>IF(estatura!278:278,"AAAAAEvfvVw=",0)</f>
        <v>0</v>
      </c>
      <c r="CP171">
        <f>IF(estatura!279:279,"AAAAAEvfvV0=",0)</f>
        <v>0</v>
      </c>
      <c r="CQ171">
        <f>IF(estatura!280:280,"AAAAAEvfvV4=",0)</f>
        <v>0</v>
      </c>
      <c r="CR171">
        <f>IF(estatura!281:281,"AAAAAEvfvV8=",0)</f>
        <v>0</v>
      </c>
      <c r="CS171">
        <f>IF(estatura!282:282,"AAAAAEvfvWA=",0)</f>
        <v>0</v>
      </c>
      <c r="CT171">
        <f>IF(estatura!283:283,"AAAAAEvfvWE=",0)</f>
        <v>0</v>
      </c>
      <c r="CU171">
        <f>IF(estatura!284:284,"AAAAAEvfvWI=",0)</f>
        <v>0</v>
      </c>
      <c r="CV171">
        <f>IF(estatura!285:285,"AAAAAEvfvWM=",0)</f>
        <v>0</v>
      </c>
      <c r="CW171">
        <f>IF(estatura!286:286,"AAAAAEvfvWQ=",0)</f>
        <v>0</v>
      </c>
      <c r="CX171">
        <f>IF(estatura!287:287,"AAAAAEvfvWU=",0)</f>
        <v>0</v>
      </c>
      <c r="CY171">
        <f>IF(estatura!288:288,"AAAAAEvfvWY=",0)</f>
        <v>0</v>
      </c>
      <c r="CZ171">
        <f>IF(estatura!289:289,"AAAAAEvfvWc=",0)</f>
        <v>0</v>
      </c>
      <c r="DA171">
        <f>IF(estatura!290:290,"AAAAAEvfvWg=",0)</f>
        <v>0</v>
      </c>
      <c r="DB171">
        <f>IF(estatura!291:291,"AAAAAEvfvWk=",0)</f>
        <v>0</v>
      </c>
      <c r="DC171">
        <f>IF(estatura!292:292,"AAAAAEvfvWo=",0)</f>
        <v>0</v>
      </c>
      <c r="DD171">
        <f>IF(estatura!293:293,"AAAAAEvfvWs=",0)</f>
        <v>0</v>
      </c>
      <c r="DE171">
        <f>IF(estatura!294:294,"AAAAAEvfvWw=",0)</f>
        <v>0</v>
      </c>
      <c r="DF171">
        <f>IF(estatura!295:295,"AAAAAEvfvW0=",0)</f>
        <v>0</v>
      </c>
      <c r="DG171">
        <f>IF(estatura!296:296,"AAAAAEvfvW4=",0)</f>
        <v>0</v>
      </c>
      <c r="DH171">
        <f>IF(estatura!297:297,"AAAAAEvfvW8=",0)</f>
        <v>0</v>
      </c>
      <c r="DI171">
        <f>IF(estatura!298:298,"AAAAAEvfvXA=",0)</f>
        <v>0</v>
      </c>
      <c r="DJ171">
        <f>IF(estatura!299:299,"AAAAAEvfvXE=",0)</f>
        <v>0</v>
      </c>
      <c r="DK171">
        <f>IF(estatura!300:300,"AAAAAEvfvXI=",0)</f>
        <v>0</v>
      </c>
      <c r="DL171">
        <f>IF(estatura!301:301,"AAAAAEvfvXM=",0)</f>
        <v>0</v>
      </c>
      <c r="DM171">
        <f>IF(estatura!302:302,"AAAAAEvfvXQ=",0)</f>
        <v>0</v>
      </c>
      <c r="DN171">
        <f>IF(estatura!303:303,"AAAAAEvfvXU=",0)</f>
        <v>0</v>
      </c>
      <c r="DO171">
        <f>IF(estatura!304:304,"AAAAAEvfvXY=",0)</f>
        <v>0</v>
      </c>
      <c r="DP171">
        <f>IF(estatura!305:305,"AAAAAEvfvXc=",0)</f>
        <v>0</v>
      </c>
      <c r="DQ171">
        <f>IF(estatura!306:306,"AAAAAEvfvXg=",0)</f>
        <v>0</v>
      </c>
      <c r="DR171">
        <f>IF(estatura!307:307,"AAAAAEvfvXk=",0)</f>
        <v>0</v>
      </c>
      <c r="DS171">
        <f>IF(estatura!308:308,"AAAAAEvfvXo=",0)</f>
        <v>0</v>
      </c>
      <c r="DT171">
        <f>IF(estatura!309:309,"AAAAAEvfvXs=",0)</f>
        <v>0</v>
      </c>
      <c r="DU171">
        <f>IF(estatura!310:310,"AAAAAEvfvXw=",0)</f>
        <v>0</v>
      </c>
      <c r="DV171">
        <f>IF(estatura!311:311,"AAAAAEvfvX0=",0)</f>
        <v>0</v>
      </c>
      <c r="DW171">
        <f>IF(estatura!312:312,"AAAAAEvfvX4=",0)</f>
        <v>0</v>
      </c>
      <c r="DX171">
        <f>IF(estatura!313:313,"AAAAAEvfvX8=",0)</f>
        <v>0</v>
      </c>
      <c r="DY171">
        <f>IF(estatura!314:314,"AAAAAEvfvYA=",0)</f>
        <v>0</v>
      </c>
      <c r="DZ171">
        <f>IF(estatura!315:315,"AAAAAEvfvYE=",0)</f>
        <v>0</v>
      </c>
      <c r="EA171">
        <f>IF(estatura!316:316,"AAAAAEvfvYI=",0)</f>
        <v>0</v>
      </c>
      <c r="EB171">
        <f>IF(estatura!317:317,"AAAAAEvfvYM=",0)</f>
        <v>0</v>
      </c>
      <c r="EC171">
        <f>IF(estatura!318:318,"AAAAAEvfvYQ=",0)</f>
        <v>0</v>
      </c>
      <c r="ED171">
        <f>IF(estatura!319:319,"AAAAAEvfvYU=",0)</f>
        <v>0</v>
      </c>
      <c r="EE171">
        <f>IF(estatura!320:320,"AAAAAEvfvYY=",0)</f>
        <v>0</v>
      </c>
      <c r="EF171">
        <f>IF(estatura!321:321,"AAAAAEvfvYc=",0)</f>
        <v>0</v>
      </c>
      <c r="EG171">
        <f>IF(estatura!322:322,"AAAAAEvfvYg=",0)</f>
        <v>0</v>
      </c>
      <c r="EH171">
        <f>IF(estatura!323:323,"AAAAAEvfvYk=",0)</f>
        <v>0</v>
      </c>
      <c r="EI171">
        <f>IF(estatura!324:324,"AAAAAEvfvYo=",0)</f>
        <v>0</v>
      </c>
      <c r="EJ171">
        <f>IF(estatura!325:325,"AAAAAEvfvYs=",0)</f>
        <v>0</v>
      </c>
      <c r="EK171">
        <f>IF(estatura!326:326,"AAAAAEvfvYw=",0)</f>
        <v>0</v>
      </c>
      <c r="EL171">
        <f>IF(estatura!327:327,"AAAAAEvfvY0=",0)</f>
        <v>0</v>
      </c>
      <c r="EM171">
        <f>IF(estatura!A:A,"AAAAAEvfvY4=",0)</f>
        <v>0</v>
      </c>
      <c r="EN171">
        <f>IF(estatura!B:B,"AAAAAEvfvY8=",0)</f>
        <v>0</v>
      </c>
      <c r="EO171">
        <f>IF(estatura!C:C,"AAAAAEvfvZA=",0)</f>
        <v>0</v>
      </c>
      <c r="EP171" t="e">
        <f>IF(estatura!#REF!,"AAAAAEvfvZE=",0)</f>
        <v>#REF!</v>
      </c>
      <c r="EQ171">
        <f>IF(estatura!D:D,"AAAAAEvfvZI=",0)</f>
        <v>0</v>
      </c>
      <c r="ER171">
        <f>IF(estatura!E:E,"AAAAAEvfvZM=",0)</f>
        <v>0</v>
      </c>
      <c r="ES171">
        <f>IF(estatura!F:F,"AAAAAEvfvZQ=",0)</f>
        <v>0</v>
      </c>
      <c r="ET171">
        <f>IF(estatura!G:G,"AAAAAEvfvZU=",0)</f>
        <v>0</v>
      </c>
      <c r="EU171">
        <f>IF(estatura!H:H,"AAAAAEvfvZY=",0)</f>
        <v>0</v>
      </c>
      <c r="EV171">
        <f>IF(estatura!I:I,"AAAAAEvfvZc=",0)</f>
        <v>0</v>
      </c>
      <c r="EW171">
        <f>IF(estatura!J:J,"AAAAAEvfvZg=",0)</f>
        <v>0</v>
      </c>
      <c r="EX171">
        <f>IF(estatura!K:K,"AAAAAEvfvZk=",0)</f>
        <v>0</v>
      </c>
      <c r="EY171">
        <f>IF(estatura!L:L,"AAAAAEvfvZo=",0)</f>
        <v>0</v>
      </c>
      <c r="EZ171">
        <f>IF(estatura!M:M,"AAAAAEvfvZs=",0)</f>
        <v>0</v>
      </c>
      <c r="FA171">
        <f>IF(estatura!N:N,"AAAAAEvfvZw=",0)</f>
        <v>0</v>
      </c>
      <c r="FB171">
        <f>IF(estatura!O:O,"AAAAAEvfvZ0=",0)</f>
        <v>0</v>
      </c>
      <c r="FC171">
        <f>IF(estatura!P:P,"AAAAAEvfvZ4=",0)</f>
        <v>0</v>
      </c>
      <c r="FD171">
        <f>IF(estatura!Q:Q,"AAAAAEvfvZ8=",0)</f>
        <v>0</v>
      </c>
      <c r="FE171">
        <f>IF(estatura!R:R,"AAAAAEvfvaA=",0)</f>
        <v>0</v>
      </c>
      <c r="FF171">
        <f>IF(estatura!S:S,"AAAAAEvfvaE=",0)</f>
        <v>0</v>
      </c>
      <c r="FG171">
        <f>IF(estatura!T:T,"AAAAAEvfvaI=",0)</f>
        <v>0</v>
      </c>
      <c r="FH171">
        <f>IF(cc!1:1,"AAAAAEvfvaM=",0)</f>
        <v>0</v>
      </c>
      <c r="FI171">
        <f>IF(cc!2:2,"AAAAAEvfvaQ=",0)</f>
        <v>0</v>
      </c>
      <c r="FJ171">
        <f>IF(cc!3:3,"AAAAAEvfvaU=",0)</f>
        <v>0</v>
      </c>
      <c r="FK171">
        <f>IF(cc!4:4,"AAAAAEvfvaY=",0)</f>
        <v>0</v>
      </c>
      <c r="FL171">
        <f>IF(cc!5:5,"AAAAAEvfvac=",0)</f>
        <v>0</v>
      </c>
      <c r="FM171">
        <f>IF(cc!6:6,"AAAAAEvfvag=",0)</f>
        <v>0</v>
      </c>
      <c r="FN171">
        <f>IF(cc!7:7,"AAAAAEvfvak=",0)</f>
        <v>0</v>
      </c>
      <c r="FO171">
        <f>IF(cc!8:8,"AAAAAEvfvao=",0)</f>
        <v>0</v>
      </c>
      <c r="FP171">
        <f>IF(cc!9:9,"AAAAAEvfvas=",0)</f>
        <v>0</v>
      </c>
      <c r="FQ171">
        <f>IF(cc!10:10,"AAAAAEvfvaw=",0)</f>
        <v>0</v>
      </c>
      <c r="FR171">
        <f>IF(cc!11:11,"AAAAAEvfva0=",0)</f>
        <v>0</v>
      </c>
      <c r="FS171">
        <f>IF(cc!12:12,"AAAAAEvfva4=",0)</f>
        <v>0</v>
      </c>
      <c r="FT171">
        <f>IF(cc!13:13,"AAAAAEvfva8=",0)</f>
        <v>0</v>
      </c>
      <c r="FU171">
        <f>IF(cc!14:14,"AAAAAEvfvbA=",0)</f>
        <v>0</v>
      </c>
      <c r="FV171">
        <f>IF(cc!15:15,"AAAAAEvfvbE=",0)</f>
        <v>0</v>
      </c>
      <c r="FW171">
        <f>IF(cc!16:16,"AAAAAEvfvbI=",0)</f>
        <v>0</v>
      </c>
      <c r="FX171">
        <f>IF(cc!17:17,"AAAAAEvfvbM=",0)</f>
        <v>0</v>
      </c>
      <c r="FY171">
        <f>IF(cc!18:18,"AAAAAEvfvbQ=",0)</f>
        <v>0</v>
      </c>
      <c r="FZ171">
        <f>IF(cc!19:19,"AAAAAEvfvbU=",0)</f>
        <v>0</v>
      </c>
      <c r="GA171">
        <f>IF(cc!20:20,"AAAAAEvfvbY=",0)</f>
        <v>0</v>
      </c>
      <c r="GB171">
        <f>IF(cc!21:21,"AAAAAEvfvbc=",0)</f>
        <v>0</v>
      </c>
      <c r="GC171">
        <f>IF(cc!22:22,"AAAAAEvfvbg=",0)</f>
        <v>0</v>
      </c>
      <c r="GD171">
        <f>IF(cc!23:23,"AAAAAEvfvbk=",0)</f>
        <v>0</v>
      </c>
      <c r="GE171">
        <f>IF(cc!24:24,"AAAAAEvfvbo=",0)</f>
        <v>0</v>
      </c>
      <c r="GF171">
        <f>IF(cc!25:25,"AAAAAEvfvbs=",0)</f>
        <v>0</v>
      </c>
      <c r="GG171">
        <f>IF(cc!26:26,"AAAAAEvfvbw=",0)</f>
        <v>0</v>
      </c>
      <c r="GH171">
        <f>IF(cc!27:27,"AAAAAEvfvb0=",0)</f>
        <v>0</v>
      </c>
      <c r="GI171">
        <f>IF(cc!28:28,"AAAAAEvfvb4=",0)</f>
        <v>0</v>
      </c>
      <c r="GJ171">
        <f>IF(cc!29:29,"AAAAAEvfvb8=",0)</f>
        <v>0</v>
      </c>
      <c r="GK171">
        <f>IF(cc!30:30,"AAAAAEvfvcA=",0)</f>
        <v>0</v>
      </c>
      <c r="GL171">
        <f>IF(cc!31:31,"AAAAAEvfvcE=",0)</f>
        <v>0</v>
      </c>
      <c r="GM171">
        <f>IF(cc!32:32,"AAAAAEvfvcI=",0)</f>
        <v>0</v>
      </c>
      <c r="GN171">
        <f>IF(cc!33:33,"AAAAAEvfvcM=",0)</f>
        <v>0</v>
      </c>
      <c r="GO171">
        <f>IF(cc!34:34,"AAAAAEvfvcQ=",0)</f>
        <v>0</v>
      </c>
      <c r="GP171">
        <f>IF(cc!35:35,"AAAAAEvfvcU=",0)</f>
        <v>0</v>
      </c>
      <c r="GQ171">
        <f>IF(cc!36:36,"AAAAAEvfvcY=",0)</f>
        <v>0</v>
      </c>
      <c r="GR171">
        <f>IF(cc!37:37,"AAAAAEvfvcc=",0)</f>
        <v>0</v>
      </c>
      <c r="GS171">
        <f>IF(cc!38:38,"AAAAAEvfvcg=",0)</f>
        <v>0</v>
      </c>
      <c r="GT171">
        <f>IF(cc!39:39,"AAAAAEvfvck=",0)</f>
        <v>0</v>
      </c>
      <c r="GU171">
        <f>IF(cc!40:40,"AAAAAEvfvco=",0)</f>
        <v>0</v>
      </c>
      <c r="GV171">
        <f>IF(cc!41:41,"AAAAAEvfvcs=",0)</f>
        <v>0</v>
      </c>
      <c r="GW171">
        <f>IF(cc!42:42,"AAAAAEvfvcw=",0)</f>
        <v>0</v>
      </c>
      <c r="GX171">
        <f>IF(cc!43:43,"AAAAAEvfvc0=",0)</f>
        <v>0</v>
      </c>
      <c r="GY171">
        <f>IF(cc!44:44,"AAAAAEvfvc4=",0)</f>
        <v>0</v>
      </c>
      <c r="GZ171">
        <f>IF(cc!45:45,"AAAAAEvfvc8=",0)</f>
        <v>0</v>
      </c>
      <c r="HA171">
        <f>IF(cc!46:46,"AAAAAEvfvdA=",0)</f>
        <v>0</v>
      </c>
      <c r="HB171">
        <f>IF(cc!47:47,"AAAAAEvfvdE=",0)</f>
        <v>0</v>
      </c>
      <c r="HC171">
        <f>IF(cc!48:48,"AAAAAEvfvdI=",0)</f>
        <v>0</v>
      </c>
      <c r="HD171">
        <f>IF(cc!49:49,"AAAAAEvfvdM=",0)</f>
        <v>0</v>
      </c>
      <c r="HE171">
        <f>IF(cc!50:50,"AAAAAEvfvdQ=",0)</f>
        <v>0</v>
      </c>
      <c r="HF171">
        <f>IF(cc!51:51,"AAAAAEvfvdU=",0)</f>
        <v>0</v>
      </c>
      <c r="HG171">
        <f>IF(cc!52:52,"AAAAAEvfvdY=",0)</f>
        <v>0</v>
      </c>
      <c r="HH171">
        <f>IF(cc!53:53,"AAAAAEvfvdc=",0)</f>
        <v>0</v>
      </c>
      <c r="HI171">
        <f>IF(cc!54:54,"AAAAAEvfvdg=",0)</f>
        <v>0</v>
      </c>
      <c r="HJ171">
        <f>IF(cc!55:55,"AAAAAEvfvdk=",0)</f>
        <v>0</v>
      </c>
      <c r="HK171">
        <f>IF(cc!56:56,"AAAAAEvfvdo=",0)</f>
        <v>0</v>
      </c>
      <c r="HL171">
        <f>IF(cc!57:57,"AAAAAEvfvds=",0)</f>
        <v>0</v>
      </c>
      <c r="HM171">
        <f>IF(cc!58:58,"AAAAAEvfvdw=",0)</f>
        <v>0</v>
      </c>
      <c r="HN171">
        <f>IF(cc!59:59,"AAAAAEvfvd0=",0)</f>
        <v>0</v>
      </c>
      <c r="HO171">
        <f>IF(cc!60:60,"AAAAAEvfvd4=",0)</f>
        <v>0</v>
      </c>
      <c r="HP171">
        <f>IF(cc!61:61,"AAAAAEvfvd8=",0)</f>
        <v>0</v>
      </c>
      <c r="HQ171">
        <f>IF(cc!62:62,"AAAAAEvfveA=",0)</f>
        <v>0</v>
      </c>
      <c r="HR171">
        <f>IF(cc!63:63,"AAAAAEvfveE=",0)</f>
        <v>0</v>
      </c>
      <c r="HS171">
        <f>IF(cc!64:64,"AAAAAEvfveI=",0)</f>
        <v>0</v>
      </c>
      <c r="HT171">
        <f>IF(cc!65:65,"AAAAAEvfveM=",0)</f>
        <v>0</v>
      </c>
      <c r="HU171">
        <f>IF(cc!66:66,"AAAAAEvfveQ=",0)</f>
        <v>0</v>
      </c>
      <c r="HV171">
        <f>IF(cc!67:67,"AAAAAEvfveU=",0)</f>
        <v>0</v>
      </c>
      <c r="HW171">
        <f>IF(cc!68:68,"AAAAAEvfveY=",0)</f>
        <v>0</v>
      </c>
      <c r="HX171">
        <f>IF(cc!69:69,"AAAAAEvfvec=",0)</f>
        <v>0</v>
      </c>
      <c r="HY171">
        <f>IF(cc!70:70,"AAAAAEvfveg=",0)</f>
        <v>0</v>
      </c>
      <c r="HZ171">
        <f>IF(cc!71:71,"AAAAAEvfvek=",0)</f>
        <v>0</v>
      </c>
      <c r="IA171">
        <f>IF(cc!72:72,"AAAAAEvfveo=",0)</f>
        <v>0</v>
      </c>
      <c r="IB171">
        <f>IF(cc!73:73,"AAAAAEvfves=",0)</f>
        <v>0</v>
      </c>
      <c r="IC171">
        <f>IF(cc!74:74,"AAAAAEvfvew=",0)</f>
        <v>0</v>
      </c>
      <c r="ID171">
        <f>IF(cc!75:75,"AAAAAEvfve0=",0)</f>
        <v>0</v>
      </c>
      <c r="IE171">
        <f>IF(cc!76:76,"AAAAAEvfve4=",0)</f>
        <v>0</v>
      </c>
      <c r="IF171">
        <f>IF(cc!77:77,"AAAAAEvfve8=",0)</f>
        <v>0</v>
      </c>
      <c r="IG171">
        <f>IF(cc!78:78,"AAAAAEvfvfA=",0)</f>
        <v>0</v>
      </c>
      <c r="IH171">
        <f>IF(cc!79:79,"AAAAAEvfvfE=",0)</f>
        <v>0</v>
      </c>
      <c r="II171">
        <f>IF(cc!80:80,"AAAAAEvfvfI=",0)</f>
        <v>0</v>
      </c>
      <c r="IJ171">
        <f>IF(cc!81:81,"AAAAAEvfvfM=",0)</f>
        <v>0</v>
      </c>
      <c r="IK171">
        <f>IF(cc!82:82,"AAAAAEvfvfQ=",0)</f>
        <v>0</v>
      </c>
      <c r="IL171">
        <f>IF(cc!83:83,"AAAAAEvfvfU=",0)</f>
        <v>0</v>
      </c>
      <c r="IM171">
        <f>IF(cc!84:84,"AAAAAEvfvfY=",0)</f>
        <v>0</v>
      </c>
      <c r="IN171">
        <f>IF(cc!85:85,"AAAAAEvfvfc=",0)</f>
        <v>0</v>
      </c>
      <c r="IO171">
        <f>IF(cc!86:86,"AAAAAEvfvfg=",0)</f>
        <v>0</v>
      </c>
      <c r="IP171">
        <f>IF(cc!87:87,"AAAAAEvfvfk=",0)</f>
        <v>0</v>
      </c>
      <c r="IQ171">
        <f>IF(cc!88:88,"AAAAAEvfvfo=",0)</f>
        <v>0</v>
      </c>
      <c r="IR171">
        <f>IF(cc!89:89,"AAAAAEvfvfs=",0)</f>
        <v>0</v>
      </c>
      <c r="IS171">
        <f>IF(cc!90:90,"AAAAAEvfvfw=",0)</f>
        <v>0</v>
      </c>
      <c r="IT171">
        <f>IF(cc!91:91,"AAAAAEvfvf0=",0)</f>
        <v>0</v>
      </c>
      <c r="IU171">
        <f>IF(cc!92:92,"AAAAAEvfvf4=",0)</f>
        <v>0</v>
      </c>
      <c r="IV171">
        <f>IF(cc!93:93,"AAAAAEvfvf8=",0)</f>
        <v>0</v>
      </c>
    </row>
    <row r="172" spans="1:256" x14ac:dyDescent="0.2">
      <c r="A172">
        <f>IF(cc!94:94,"AAAAAHSnzwA=",0)</f>
        <v>0</v>
      </c>
      <c r="B172">
        <f>IF(cc!95:95,"AAAAAHSnzwE=",0)</f>
        <v>0</v>
      </c>
      <c r="C172">
        <f>IF(cc!96:96,"AAAAAHSnzwI=",0)</f>
        <v>0</v>
      </c>
      <c r="D172">
        <f>IF(cc!97:97,"AAAAAHSnzwM=",0)</f>
        <v>0</v>
      </c>
      <c r="E172">
        <f>IF(cc!98:98,"AAAAAHSnzwQ=",0)</f>
        <v>0</v>
      </c>
      <c r="F172">
        <f>IF(cc!99:99,"AAAAAHSnzwU=",0)</f>
        <v>0</v>
      </c>
      <c r="G172">
        <f>IF(cc!100:100,"AAAAAHSnzwY=",0)</f>
        <v>0</v>
      </c>
      <c r="H172">
        <f>IF(cc!101:101,"AAAAAHSnzwc=",0)</f>
        <v>0</v>
      </c>
      <c r="I172">
        <f>IF(cc!102:102,"AAAAAHSnzwg=",0)</f>
        <v>0</v>
      </c>
      <c r="J172">
        <f>IF(cc!103:103,"AAAAAHSnzwk=",0)</f>
        <v>0</v>
      </c>
      <c r="K172">
        <f>IF(cc!104:104,"AAAAAHSnzwo=",0)</f>
        <v>0</v>
      </c>
      <c r="L172">
        <f>IF(cc!105:105,"AAAAAHSnzws=",0)</f>
        <v>0</v>
      </c>
      <c r="M172">
        <f>IF(cc!106:106,"AAAAAHSnzww=",0)</f>
        <v>0</v>
      </c>
      <c r="N172">
        <f>IF(cc!107:107,"AAAAAHSnzw0=",0)</f>
        <v>0</v>
      </c>
      <c r="O172">
        <f>IF(cc!108:108,"AAAAAHSnzw4=",0)</f>
        <v>0</v>
      </c>
      <c r="P172">
        <f>IF(cc!109:109,"AAAAAHSnzw8=",0)</f>
        <v>0</v>
      </c>
      <c r="Q172">
        <f>IF(cc!110:110,"AAAAAHSnzxA=",0)</f>
        <v>0</v>
      </c>
      <c r="R172">
        <f>IF(cc!111:111,"AAAAAHSnzxE=",0)</f>
        <v>0</v>
      </c>
      <c r="S172">
        <f>IF(cc!112:112,"AAAAAHSnzxI=",0)</f>
        <v>0</v>
      </c>
      <c r="T172">
        <f>IF(cc!113:113,"AAAAAHSnzxM=",0)</f>
        <v>0</v>
      </c>
      <c r="U172">
        <f>IF(cc!114:114,"AAAAAHSnzxQ=",0)</f>
        <v>0</v>
      </c>
      <c r="V172">
        <f>IF(cc!115:115,"AAAAAHSnzxU=",0)</f>
        <v>0</v>
      </c>
      <c r="W172">
        <f>IF(cc!116:116,"AAAAAHSnzxY=",0)</f>
        <v>0</v>
      </c>
      <c r="X172">
        <f>IF(cc!117:117,"AAAAAHSnzxc=",0)</f>
        <v>0</v>
      </c>
      <c r="Y172">
        <f>IF(cc!118:118,"AAAAAHSnzxg=",0)</f>
        <v>0</v>
      </c>
      <c r="Z172">
        <f>IF(cc!119:119,"AAAAAHSnzxk=",0)</f>
        <v>0</v>
      </c>
      <c r="AA172">
        <f>IF(cc!120:120,"AAAAAHSnzxo=",0)</f>
        <v>0</v>
      </c>
      <c r="AB172">
        <f>IF(cc!121:121,"AAAAAHSnzxs=",0)</f>
        <v>0</v>
      </c>
      <c r="AC172">
        <f>IF(cc!122:122,"AAAAAHSnzxw=",0)</f>
        <v>0</v>
      </c>
      <c r="AD172">
        <f>IF(cc!123:123,"AAAAAHSnzx0=",0)</f>
        <v>0</v>
      </c>
      <c r="AE172">
        <f>IF(cc!124:124,"AAAAAHSnzx4=",0)</f>
        <v>0</v>
      </c>
      <c r="AF172">
        <f>IF(cc!125:125,"AAAAAHSnzx8=",0)</f>
        <v>0</v>
      </c>
      <c r="AG172">
        <f>IF(cc!126:126,"AAAAAHSnzyA=",0)</f>
        <v>0</v>
      </c>
      <c r="AH172">
        <f>IF(cc!127:127,"AAAAAHSnzyE=",0)</f>
        <v>0</v>
      </c>
      <c r="AI172">
        <f>IF(cc!128:128,"AAAAAHSnzyI=",0)</f>
        <v>0</v>
      </c>
      <c r="AJ172">
        <f>IF(cc!129:129,"AAAAAHSnzyM=",0)</f>
        <v>0</v>
      </c>
      <c r="AK172">
        <f>IF(cc!130:130,"AAAAAHSnzyQ=",0)</f>
        <v>0</v>
      </c>
      <c r="AL172">
        <f>IF(cc!131:131,"AAAAAHSnzyU=",0)</f>
        <v>0</v>
      </c>
      <c r="AM172">
        <f>IF(cc!132:132,"AAAAAHSnzyY=",0)</f>
        <v>0</v>
      </c>
      <c r="AN172">
        <f>IF(cc!133:133,"AAAAAHSnzyc=",0)</f>
        <v>0</v>
      </c>
      <c r="AO172">
        <f>IF(cc!134:134,"AAAAAHSnzyg=",0)</f>
        <v>0</v>
      </c>
      <c r="AP172">
        <f>IF(cc!135:135,"AAAAAHSnzyk=",0)</f>
        <v>0</v>
      </c>
      <c r="AQ172">
        <f>IF(cc!136:136,"AAAAAHSnzyo=",0)</f>
        <v>0</v>
      </c>
      <c r="AR172">
        <f>IF(cc!137:137,"AAAAAHSnzys=",0)</f>
        <v>0</v>
      </c>
      <c r="AS172">
        <f>IF(cc!138:138,"AAAAAHSnzyw=",0)</f>
        <v>0</v>
      </c>
      <c r="AT172">
        <f>IF(cc!139:139,"AAAAAHSnzy0=",0)</f>
        <v>0</v>
      </c>
      <c r="AU172">
        <f>IF(cc!140:140,"AAAAAHSnzy4=",0)</f>
        <v>0</v>
      </c>
      <c r="AV172">
        <f>IF(cc!141:141,"AAAAAHSnzy8=",0)</f>
        <v>0</v>
      </c>
      <c r="AW172">
        <f>IF(cc!142:142,"AAAAAHSnzzA=",0)</f>
        <v>0</v>
      </c>
      <c r="AX172">
        <f>IF(cc!143:143,"AAAAAHSnzzE=",0)</f>
        <v>0</v>
      </c>
      <c r="AY172">
        <f>IF(cc!144:144,"AAAAAHSnzzI=",0)</f>
        <v>0</v>
      </c>
      <c r="AZ172">
        <f>IF(cc!145:145,"AAAAAHSnzzM=",0)</f>
        <v>0</v>
      </c>
      <c r="BA172">
        <f>IF(cc!146:146,"AAAAAHSnzzQ=",0)</f>
        <v>0</v>
      </c>
      <c r="BB172">
        <f>IF(cc!147:147,"AAAAAHSnzzU=",0)</f>
        <v>0</v>
      </c>
      <c r="BC172">
        <f>IF(cc!148:148,"AAAAAHSnzzY=",0)</f>
        <v>0</v>
      </c>
      <c r="BD172">
        <f>IF(cc!149:149,"AAAAAHSnzzc=",0)</f>
        <v>0</v>
      </c>
      <c r="BE172">
        <f>IF(cc!150:150,"AAAAAHSnzzg=",0)</f>
        <v>0</v>
      </c>
      <c r="BF172">
        <f>IF(cc!151:151,"AAAAAHSnzzk=",0)</f>
        <v>0</v>
      </c>
      <c r="BG172">
        <f>IF(cc!152:152,"AAAAAHSnzzo=",0)</f>
        <v>0</v>
      </c>
      <c r="BH172">
        <f>IF(cc!153:153,"AAAAAHSnzzs=",0)</f>
        <v>0</v>
      </c>
      <c r="BI172">
        <f>IF(cc!154:154,"AAAAAHSnzzw=",0)</f>
        <v>0</v>
      </c>
      <c r="BJ172">
        <f>IF(cc!155:155,"AAAAAHSnzz0=",0)</f>
        <v>0</v>
      </c>
      <c r="BK172">
        <f>IF(cc!156:156,"AAAAAHSnzz4=",0)</f>
        <v>0</v>
      </c>
      <c r="BL172">
        <f>IF(cc!157:157,"AAAAAHSnzz8=",0)</f>
        <v>0</v>
      </c>
      <c r="BM172">
        <f>IF(cc!158:158,"AAAAAHSnz0A=",0)</f>
        <v>0</v>
      </c>
      <c r="BN172">
        <f>IF(cc!159:159,"AAAAAHSnz0E=",0)</f>
        <v>0</v>
      </c>
      <c r="BO172">
        <f>IF(cc!160:160,"AAAAAHSnz0I=",0)</f>
        <v>0</v>
      </c>
      <c r="BP172">
        <f>IF(cc!161:161,"AAAAAHSnz0M=",0)</f>
        <v>0</v>
      </c>
      <c r="BQ172">
        <f>IF(cc!162:162,"AAAAAHSnz0Q=",0)</f>
        <v>0</v>
      </c>
      <c r="BR172">
        <f>IF(cc!163:163,"AAAAAHSnz0U=",0)</f>
        <v>0</v>
      </c>
      <c r="BS172">
        <f>IF(cc!164:164,"AAAAAHSnz0Y=",0)</f>
        <v>0</v>
      </c>
      <c r="BT172">
        <f>IF(cc!165:165,"AAAAAHSnz0c=",0)</f>
        <v>0</v>
      </c>
      <c r="BU172">
        <f>IF(cc!166:166,"AAAAAHSnz0g=",0)</f>
        <v>0</v>
      </c>
      <c r="BV172">
        <f>IF(cc!167:167,"AAAAAHSnz0k=",0)</f>
        <v>0</v>
      </c>
      <c r="BW172">
        <f>IF(cc!168:168,"AAAAAHSnz0o=",0)</f>
        <v>0</v>
      </c>
      <c r="BX172">
        <f>IF(cc!169:169,"AAAAAHSnz0s=",0)</f>
        <v>0</v>
      </c>
      <c r="BY172">
        <f>IF(cc!170:170,"AAAAAHSnz0w=",0)</f>
        <v>0</v>
      </c>
      <c r="BZ172">
        <f>IF(cc!171:171,"AAAAAHSnz00=",0)</f>
        <v>0</v>
      </c>
      <c r="CA172">
        <f>IF(cc!172:172,"AAAAAHSnz04=",0)</f>
        <v>0</v>
      </c>
      <c r="CB172">
        <f>IF(cc!173:173,"AAAAAHSnz08=",0)</f>
        <v>0</v>
      </c>
      <c r="CC172">
        <f>IF(cc!174:174,"AAAAAHSnz1A=",0)</f>
        <v>0</v>
      </c>
      <c r="CD172">
        <f>IF(cc!175:175,"AAAAAHSnz1E=",0)</f>
        <v>0</v>
      </c>
      <c r="CE172">
        <f>IF(cc!176:176,"AAAAAHSnz1I=",0)</f>
        <v>0</v>
      </c>
      <c r="CF172">
        <f>IF(cc!177:177,"AAAAAHSnz1M=",0)</f>
        <v>0</v>
      </c>
      <c r="CG172">
        <f>IF(cc!178:178,"AAAAAHSnz1Q=",0)</f>
        <v>0</v>
      </c>
      <c r="CH172">
        <f>IF(cc!179:179,"AAAAAHSnz1U=",0)</f>
        <v>0</v>
      </c>
      <c r="CI172">
        <f>IF(cc!180:180,"AAAAAHSnz1Y=",0)</f>
        <v>0</v>
      </c>
      <c r="CJ172">
        <f>IF(cc!181:181,"AAAAAHSnz1c=",0)</f>
        <v>0</v>
      </c>
      <c r="CK172">
        <f>IF(cc!182:182,"AAAAAHSnz1g=",0)</f>
        <v>0</v>
      </c>
      <c r="CL172">
        <f>IF(cc!183:183,"AAAAAHSnz1k=",0)</f>
        <v>0</v>
      </c>
      <c r="CM172">
        <f>IF(cc!184:184,"AAAAAHSnz1o=",0)</f>
        <v>0</v>
      </c>
      <c r="CN172">
        <f>IF(cc!185:185,"AAAAAHSnz1s=",0)</f>
        <v>0</v>
      </c>
      <c r="CO172">
        <f>IF(cc!186:186,"AAAAAHSnz1w=",0)</f>
        <v>0</v>
      </c>
      <c r="CP172">
        <f>IF(cc!187:187,"AAAAAHSnz10=",0)</f>
        <v>0</v>
      </c>
      <c r="CQ172">
        <f>IF(cc!188:188,"AAAAAHSnz14=",0)</f>
        <v>0</v>
      </c>
      <c r="CR172">
        <f>IF(cc!189:189,"AAAAAHSnz18=",0)</f>
        <v>0</v>
      </c>
      <c r="CS172">
        <f>IF(cc!190:190,"AAAAAHSnz2A=",0)</f>
        <v>0</v>
      </c>
      <c r="CT172">
        <f>IF(cc!191:191,"AAAAAHSnz2E=",0)</f>
        <v>0</v>
      </c>
      <c r="CU172">
        <f>IF(cc!192:192,"AAAAAHSnz2I=",0)</f>
        <v>0</v>
      </c>
      <c r="CV172">
        <f>IF(cc!193:193,"AAAAAHSnz2M=",0)</f>
        <v>0</v>
      </c>
      <c r="CW172">
        <f>IF(cc!194:194,"AAAAAHSnz2Q=",0)</f>
        <v>0</v>
      </c>
      <c r="CX172">
        <f>IF(cc!195:195,"AAAAAHSnz2U=",0)</f>
        <v>0</v>
      </c>
      <c r="CY172">
        <f>IF(cc!196:196,"AAAAAHSnz2Y=",0)</f>
        <v>0</v>
      </c>
      <c r="CZ172">
        <f>IF(cc!197:197,"AAAAAHSnz2c=",0)</f>
        <v>0</v>
      </c>
      <c r="DA172">
        <f>IF(cc!198:198,"AAAAAHSnz2g=",0)</f>
        <v>0</v>
      </c>
      <c r="DB172">
        <f>IF(cc!199:199,"AAAAAHSnz2k=",0)</f>
        <v>0</v>
      </c>
      <c r="DC172">
        <f>IF(cc!200:200,"AAAAAHSnz2o=",0)</f>
        <v>0</v>
      </c>
      <c r="DD172">
        <f>IF(cc!201:201,"AAAAAHSnz2s=",0)</f>
        <v>0</v>
      </c>
      <c r="DE172">
        <f>IF(cc!202:202,"AAAAAHSnz2w=",0)</f>
        <v>0</v>
      </c>
      <c r="DF172">
        <f>IF(cc!203:203,"AAAAAHSnz20=",0)</f>
        <v>0</v>
      </c>
      <c r="DG172">
        <f>IF(cc!204:204,"AAAAAHSnz24=",0)</f>
        <v>0</v>
      </c>
      <c r="DH172">
        <f>IF(cc!205:205,"AAAAAHSnz28=",0)</f>
        <v>0</v>
      </c>
      <c r="DI172">
        <f>IF(cc!206:206,"AAAAAHSnz3A=",0)</f>
        <v>0</v>
      </c>
      <c r="DJ172">
        <f>IF(cc!207:207,"AAAAAHSnz3E=",0)</f>
        <v>0</v>
      </c>
      <c r="DK172">
        <f>IF(cc!208:208,"AAAAAHSnz3I=",0)</f>
        <v>0</v>
      </c>
      <c r="DL172">
        <f>IF(cc!209:209,"AAAAAHSnz3M=",0)</f>
        <v>0</v>
      </c>
      <c r="DM172">
        <f>IF(cc!210:210,"AAAAAHSnz3Q=",0)</f>
        <v>0</v>
      </c>
      <c r="DN172">
        <f>IF(cc!211:211,"AAAAAHSnz3U=",0)</f>
        <v>0</v>
      </c>
      <c r="DO172">
        <f>IF(cc!212:212,"AAAAAHSnz3Y=",0)</f>
        <v>0</v>
      </c>
      <c r="DP172">
        <f>IF(cc!213:213,"AAAAAHSnz3c=",0)</f>
        <v>0</v>
      </c>
      <c r="DQ172">
        <f>IF(cc!214:214,"AAAAAHSnz3g=",0)</f>
        <v>0</v>
      </c>
      <c r="DR172">
        <f>IF(cc!215:215,"AAAAAHSnz3k=",0)</f>
        <v>0</v>
      </c>
      <c r="DS172">
        <f>IF(cc!216:216,"AAAAAHSnz3o=",0)</f>
        <v>0</v>
      </c>
      <c r="DT172">
        <f>IF(cc!217:217,"AAAAAHSnz3s=",0)</f>
        <v>0</v>
      </c>
      <c r="DU172">
        <f>IF(cc!218:218,"AAAAAHSnz3w=",0)</f>
        <v>0</v>
      </c>
      <c r="DV172">
        <f>IF(cc!219:219,"AAAAAHSnz30=",0)</f>
        <v>0</v>
      </c>
      <c r="DW172">
        <f>IF(cc!220:220,"AAAAAHSnz34=",0)</f>
        <v>0</v>
      </c>
      <c r="DX172">
        <f>IF(cc!221:221,"AAAAAHSnz38=",0)</f>
        <v>0</v>
      </c>
      <c r="DY172">
        <f>IF(cc!222:222,"AAAAAHSnz4A=",0)</f>
        <v>0</v>
      </c>
      <c r="DZ172">
        <f>IF(cc!223:223,"AAAAAHSnz4E=",0)</f>
        <v>0</v>
      </c>
      <c r="EA172">
        <f>IF(cc!224:224,"AAAAAHSnz4I=",0)</f>
        <v>0</v>
      </c>
      <c r="EB172">
        <f>IF(cc!225:225,"AAAAAHSnz4M=",0)</f>
        <v>0</v>
      </c>
      <c r="EC172">
        <f>IF(cc!226:226,"AAAAAHSnz4Q=",0)</f>
        <v>0</v>
      </c>
      <c r="ED172">
        <f>IF(cc!227:227,"AAAAAHSnz4U=",0)</f>
        <v>0</v>
      </c>
      <c r="EE172">
        <f>IF(cc!228:228,"AAAAAHSnz4Y=",0)</f>
        <v>0</v>
      </c>
      <c r="EF172">
        <f>IF(cc!229:229,"AAAAAHSnz4c=",0)</f>
        <v>0</v>
      </c>
      <c r="EG172">
        <f>IF(cc!230:230,"AAAAAHSnz4g=",0)</f>
        <v>0</v>
      </c>
      <c r="EH172">
        <f>IF(cc!231:231,"AAAAAHSnz4k=",0)</f>
        <v>0</v>
      </c>
      <c r="EI172">
        <f>IF(cc!232:232,"AAAAAHSnz4o=",0)</f>
        <v>0</v>
      </c>
      <c r="EJ172">
        <f>IF(cc!233:233,"AAAAAHSnz4s=",0)</f>
        <v>0</v>
      </c>
      <c r="EK172">
        <f>IF(cc!234:234,"AAAAAHSnz4w=",0)</f>
        <v>0</v>
      </c>
      <c r="EL172">
        <f>IF(cc!235:235,"AAAAAHSnz40=",0)</f>
        <v>0</v>
      </c>
      <c r="EM172">
        <f>IF(cc!236:236,"AAAAAHSnz44=",0)</f>
        <v>0</v>
      </c>
      <c r="EN172">
        <f>IF(cc!237:237,"AAAAAHSnz48=",0)</f>
        <v>0</v>
      </c>
      <c r="EO172">
        <f>IF(cc!238:238,"AAAAAHSnz5A=",0)</f>
        <v>0</v>
      </c>
      <c r="EP172">
        <f>IF(cc!239:239,"AAAAAHSnz5E=",0)</f>
        <v>0</v>
      </c>
      <c r="EQ172">
        <f>IF(cc!240:240,"AAAAAHSnz5I=",0)</f>
        <v>0</v>
      </c>
      <c r="ER172">
        <f>IF(cc!241:241,"AAAAAHSnz5M=",0)</f>
        <v>0</v>
      </c>
      <c r="ES172">
        <f>IF(cc!242:242,"AAAAAHSnz5Q=",0)</f>
        <v>0</v>
      </c>
      <c r="ET172">
        <f>IF(cc!243:243,"AAAAAHSnz5U=",0)</f>
        <v>0</v>
      </c>
      <c r="EU172">
        <f>IF(cc!244:244,"AAAAAHSnz5Y=",0)</f>
        <v>0</v>
      </c>
      <c r="EV172">
        <f>IF(cc!245:245,"AAAAAHSnz5c=",0)</f>
        <v>0</v>
      </c>
      <c r="EW172">
        <f>IF(cc!246:246,"AAAAAHSnz5g=",0)</f>
        <v>0</v>
      </c>
      <c r="EX172">
        <f>IF(cc!247:247,"AAAAAHSnz5k=",0)</f>
        <v>0</v>
      </c>
      <c r="EY172">
        <f>IF(cc!248:248,"AAAAAHSnz5o=",0)</f>
        <v>0</v>
      </c>
      <c r="EZ172">
        <f>IF(cc!249:249,"AAAAAHSnz5s=",0)</f>
        <v>0</v>
      </c>
      <c r="FA172">
        <f>IF(cc!250:250,"AAAAAHSnz5w=",0)</f>
        <v>0</v>
      </c>
      <c r="FB172">
        <f>IF(cc!251:251,"AAAAAHSnz50=",0)</f>
        <v>0</v>
      </c>
      <c r="FC172">
        <f>IF(cc!252:252,"AAAAAHSnz54=",0)</f>
        <v>0</v>
      </c>
      <c r="FD172">
        <f>IF(cc!253:253,"AAAAAHSnz58=",0)</f>
        <v>0</v>
      </c>
      <c r="FE172">
        <f>IF(cc!254:254,"AAAAAHSnz6A=",0)</f>
        <v>0</v>
      </c>
      <c r="FF172">
        <f>IF(cc!255:255,"AAAAAHSnz6E=",0)</f>
        <v>0</v>
      </c>
      <c r="FG172">
        <f>IF(cc!256:256,"AAAAAHSnz6I=",0)</f>
        <v>0</v>
      </c>
      <c r="FH172">
        <f>IF(cc!257:257,"AAAAAHSnz6M=",0)</f>
        <v>0</v>
      </c>
      <c r="FI172">
        <f>IF(cc!258:258,"AAAAAHSnz6Q=",0)</f>
        <v>0</v>
      </c>
      <c r="FJ172">
        <f>IF(cc!259:259,"AAAAAHSnz6U=",0)</f>
        <v>0</v>
      </c>
      <c r="FK172">
        <f>IF(cc!260:260,"AAAAAHSnz6Y=",0)</f>
        <v>0</v>
      </c>
      <c r="FL172">
        <f>IF(cc!261:261,"AAAAAHSnz6c=",0)</f>
        <v>0</v>
      </c>
      <c r="FM172">
        <f>IF(cc!262:262,"AAAAAHSnz6g=",0)</f>
        <v>0</v>
      </c>
      <c r="FN172">
        <f>IF(cc!263:263,"AAAAAHSnz6k=",0)</f>
        <v>0</v>
      </c>
      <c r="FO172">
        <f>IF(cc!264:264,"AAAAAHSnz6o=",0)</f>
        <v>0</v>
      </c>
      <c r="FP172">
        <f>IF(cc!265:265,"AAAAAHSnz6s=",0)</f>
        <v>0</v>
      </c>
      <c r="FQ172">
        <f>IF(cc!266:266,"AAAAAHSnz6w=",0)</f>
        <v>0</v>
      </c>
      <c r="FR172">
        <f>IF(cc!267:267,"AAAAAHSnz60=",0)</f>
        <v>0</v>
      </c>
      <c r="FS172">
        <f>IF(cc!268:268,"AAAAAHSnz64=",0)</f>
        <v>0</v>
      </c>
      <c r="FT172">
        <f>IF(cc!269:269,"AAAAAHSnz68=",0)</f>
        <v>0</v>
      </c>
      <c r="FU172">
        <f>IF(cc!270:270,"AAAAAHSnz7A=",0)</f>
        <v>0</v>
      </c>
      <c r="FV172">
        <f>IF(cc!271:271,"AAAAAHSnz7E=",0)</f>
        <v>0</v>
      </c>
      <c r="FW172">
        <f>IF(cc!272:272,"AAAAAHSnz7I=",0)</f>
        <v>0</v>
      </c>
      <c r="FX172">
        <f>IF(cc!273:273,"AAAAAHSnz7M=",0)</f>
        <v>0</v>
      </c>
      <c r="FY172">
        <f>IF(cc!274:274,"AAAAAHSnz7Q=",0)</f>
        <v>0</v>
      </c>
      <c r="FZ172">
        <f>IF(cc!275:275,"AAAAAHSnz7U=",0)</f>
        <v>0</v>
      </c>
      <c r="GA172">
        <f>IF(cc!276:276,"AAAAAHSnz7Y=",0)</f>
        <v>0</v>
      </c>
      <c r="GB172">
        <f>IF(cc!277:277,"AAAAAHSnz7c=",0)</f>
        <v>0</v>
      </c>
      <c r="GC172">
        <f>IF(cc!278:278,"AAAAAHSnz7g=",0)</f>
        <v>0</v>
      </c>
      <c r="GD172">
        <f>IF(cc!279:279,"AAAAAHSnz7k=",0)</f>
        <v>0</v>
      </c>
      <c r="GE172">
        <f>IF(cc!280:280,"AAAAAHSnz7o=",0)</f>
        <v>0</v>
      </c>
      <c r="GF172">
        <f>IF(cc!281:281,"AAAAAHSnz7s=",0)</f>
        <v>0</v>
      </c>
      <c r="GG172">
        <f>IF(cc!282:282,"AAAAAHSnz7w=",0)</f>
        <v>0</v>
      </c>
      <c r="GH172">
        <f>IF(cc!283:283,"AAAAAHSnz70=",0)</f>
        <v>0</v>
      </c>
      <c r="GI172">
        <f>IF(cc!284:284,"AAAAAHSnz74=",0)</f>
        <v>0</v>
      </c>
      <c r="GJ172">
        <f>IF(cc!285:285,"AAAAAHSnz78=",0)</f>
        <v>0</v>
      </c>
      <c r="GK172">
        <f>IF(cc!286:286,"AAAAAHSnz8A=",0)</f>
        <v>0</v>
      </c>
      <c r="GL172">
        <f>IF(cc!287:287,"AAAAAHSnz8E=",0)</f>
        <v>0</v>
      </c>
      <c r="GM172">
        <f>IF(cc!288:288,"AAAAAHSnz8I=",0)</f>
        <v>0</v>
      </c>
      <c r="GN172">
        <f>IF(cc!289:289,"AAAAAHSnz8M=",0)</f>
        <v>0</v>
      </c>
      <c r="GO172">
        <f>IF(cc!290:290,"AAAAAHSnz8Q=",0)</f>
        <v>0</v>
      </c>
      <c r="GP172">
        <f>IF(cc!291:291,"AAAAAHSnz8U=",0)</f>
        <v>0</v>
      </c>
      <c r="GQ172">
        <f>IF(cc!292:292,"AAAAAHSnz8Y=",0)</f>
        <v>0</v>
      </c>
      <c r="GR172">
        <f>IF(cc!293:293,"AAAAAHSnz8c=",0)</f>
        <v>0</v>
      </c>
      <c r="GS172">
        <f>IF(cc!294:294,"AAAAAHSnz8g=",0)</f>
        <v>0</v>
      </c>
      <c r="GT172">
        <f>IF(cc!A:A,"AAAAAHSnz8k=",0)</f>
        <v>0</v>
      </c>
      <c r="GU172">
        <f>IF(cc!B:B,"AAAAAHSnz8o=",0)</f>
        <v>0</v>
      </c>
      <c r="GV172">
        <f>IF(cc!C:C,"AAAAAHSnz8s=",0)</f>
        <v>0</v>
      </c>
      <c r="GW172">
        <f>IF(cc!D:D,"AAAAAHSnz8w=",0)</f>
        <v>0</v>
      </c>
      <c r="GX172">
        <f>IF(cc!E:E,"AAAAAHSnz80=",0)</f>
        <v>0</v>
      </c>
      <c r="GY172">
        <f>IF(cc!F:F,"AAAAAHSnz84=",0)</f>
        <v>0</v>
      </c>
      <c r="GZ172">
        <f>IF(cc!G:G,"AAAAAHSnz88=",0)</f>
        <v>0</v>
      </c>
      <c r="HA172">
        <f>IF(cc!H:H,"AAAAAHSnz9A=",0)</f>
        <v>0</v>
      </c>
      <c r="HB172">
        <f>IF(cc!I:I,"AAAAAHSnz9E=",0)</f>
        <v>0</v>
      </c>
      <c r="HC172">
        <f>IF(cc!J:J,"AAAAAHSnz9I=",0)</f>
        <v>0</v>
      </c>
      <c r="HD172">
        <f>IF(cc!K:K,"AAAAAHSnz9M=",0)</f>
        <v>0</v>
      </c>
      <c r="HE172">
        <f>IF(cc!L:L,"AAAAAHSnz9Q=",0)</f>
        <v>0</v>
      </c>
      <c r="HF172">
        <f>IF(cc!M:M,"AAAAAHSnz9U=",0)</f>
        <v>0</v>
      </c>
      <c r="HG172">
        <f>IF(cc!N:N,"AAAAAHSnz9Y=",0)</f>
        <v>0</v>
      </c>
      <c r="HH172">
        <f>IF(cc!O:O,"AAAAAHSnz9c=",0)</f>
        <v>0</v>
      </c>
      <c r="HI172">
        <f>IF(cc!P:P,"AAAAAHSnz9g=",0)</f>
        <v>0</v>
      </c>
      <c r="HJ172">
        <f>IF(cc!Q:Q,"AAAAAHSnz9k=",0)</f>
        <v>0</v>
      </c>
      <c r="HK172">
        <f>IF(cc!R:R,"AAAAAHSnz9o=",0)</f>
        <v>0</v>
      </c>
      <c r="HL172">
        <f>IF(cc!S:S,"AAAAAHSnz9s=",0)</f>
        <v>0</v>
      </c>
      <c r="HM172">
        <f>IF(cc!T:T,"AAAAAHSnz9w=",0)</f>
        <v>0</v>
      </c>
      <c r="HN172">
        <f>IF(cc!U:U,"AAAAAHSnz90=",0)</f>
        <v>0</v>
      </c>
      <c r="HO172">
        <f>IF(cc!V:V,"AAAAAHSnz94=",0)</f>
        <v>0</v>
      </c>
      <c r="HP172">
        <f>IF(cc!W:W,"AAAAAHSnz98=",0)</f>
        <v>0</v>
      </c>
      <c r="HQ172">
        <f>IF(pregacuta!1:1,"AAAAAHSnz+A=",0)</f>
        <v>0</v>
      </c>
      <c r="HR172">
        <f>IF(pregacuta!2:2,"AAAAAHSnz+E=",0)</f>
        <v>0</v>
      </c>
      <c r="HS172">
        <f>IF(pregacuta!3:3,"AAAAAHSnz+I=",0)</f>
        <v>0</v>
      </c>
      <c r="HT172">
        <f>IF(pregacuta!4:4,"AAAAAHSnz+M=",0)</f>
        <v>0</v>
      </c>
      <c r="HU172">
        <f>IF(pregacuta!5:5,"AAAAAHSnz+Q=",0)</f>
        <v>0</v>
      </c>
      <c r="HV172">
        <f>IF(pregacuta!6:6,"AAAAAHSnz+U=",0)</f>
        <v>0</v>
      </c>
      <c r="HW172">
        <f>IF(pregacuta!7:7,"AAAAAHSnz+Y=",0)</f>
        <v>0</v>
      </c>
      <c r="HX172">
        <f>IF(pregacuta!8:8,"AAAAAHSnz+c=",0)</f>
        <v>0</v>
      </c>
      <c r="HY172">
        <f>IF(pregacuta!9:9,"AAAAAHSnz+g=",0)</f>
        <v>0</v>
      </c>
      <c r="HZ172">
        <f>IF(pregacuta!10:10,"AAAAAHSnz+k=",0)</f>
        <v>0</v>
      </c>
      <c r="IA172">
        <f>IF(pregacuta!11:11,"AAAAAHSnz+o=",0)</f>
        <v>0</v>
      </c>
      <c r="IB172">
        <f>IF(pregacuta!12:12,"AAAAAHSnz+s=",0)</f>
        <v>0</v>
      </c>
      <c r="IC172">
        <f>IF(pregacuta!13:13,"AAAAAHSnz+w=",0)</f>
        <v>0</v>
      </c>
      <c r="ID172">
        <f>IF(pregacuta!14:14,"AAAAAHSnz+0=",0)</f>
        <v>0</v>
      </c>
      <c r="IE172">
        <f>IF(pregacuta!15:15,"AAAAAHSnz+4=",0)</f>
        <v>0</v>
      </c>
      <c r="IF172">
        <f>IF(pregacuta!16:16,"AAAAAHSnz+8=",0)</f>
        <v>0</v>
      </c>
      <c r="IG172">
        <f>IF(pregacuta!17:17,"AAAAAHSnz/A=",0)</f>
        <v>0</v>
      </c>
      <c r="IH172">
        <f>IF(pregacuta!18:18,"AAAAAHSnz/E=",0)</f>
        <v>0</v>
      </c>
      <c r="II172">
        <f>IF(pregacuta!19:19,"AAAAAHSnz/I=",0)</f>
        <v>0</v>
      </c>
      <c r="IJ172">
        <f>IF(pregacuta!20:20,"AAAAAHSnz/M=",0)</f>
        <v>0</v>
      </c>
      <c r="IK172">
        <f>IF(pregacuta!21:21,"AAAAAHSnz/Q=",0)</f>
        <v>0</v>
      </c>
      <c r="IL172">
        <f>IF(pregacuta!22:22,"AAAAAHSnz/U=",0)</f>
        <v>0</v>
      </c>
      <c r="IM172">
        <f>IF(pregacuta!23:23,"AAAAAHSnz/Y=",0)</f>
        <v>0</v>
      </c>
      <c r="IN172">
        <f>IF(pregacuta!24:24,"AAAAAHSnz/c=",0)</f>
        <v>0</v>
      </c>
      <c r="IO172">
        <f>IF(pregacuta!25:25,"AAAAAHSnz/g=",0)</f>
        <v>0</v>
      </c>
      <c r="IP172">
        <f>IF(pregacuta!26:26,"AAAAAHSnz/k=",0)</f>
        <v>0</v>
      </c>
      <c r="IQ172">
        <f>IF(pregacuta!27:27,"AAAAAHSnz/o=",0)</f>
        <v>0</v>
      </c>
      <c r="IR172">
        <f>IF(pregacuta!28:28,"AAAAAHSnz/s=",0)</f>
        <v>0</v>
      </c>
      <c r="IS172">
        <f>IF(pregacuta!29:29,"AAAAAHSnz/w=",0)</f>
        <v>0</v>
      </c>
      <c r="IT172">
        <f>IF(pregacuta!30:30,"AAAAAHSnz/0=",0)</f>
        <v>0</v>
      </c>
      <c r="IU172">
        <f>IF(pregacuta!31:31,"AAAAAHSnz/4=",0)</f>
        <v>0</v>
      </c>
      <c r="IV172">
        <f>IF(pregacuta!32:32,"AAAAAHSnz/8=",0)</f>
        <v>0</v>
      </c>
    </row>
    <row r="173" spans="1:256" x14ac:dyDescent="0.2">
      <c r="A173">
        <f>IF(pregacuta!33:33,"AAAAABa7XQA=",0)</f>
        <v>0</v>
      </c>
      <c r="B173">
        <f>IF(pregacuta!34:34,"AAAAABa7XQE=",0)</f>
        <v>0</v>
      </c>
      <c r="C173">
        <f>IF(pregacuta!35:35,"AAAAABa7XQI=",0)</f>
        <v>0</v>
      </c>
      <c r="D173">
        <f>IF(pregacuta!36:36,"AAAAABa7XQM=",0)</f>
        <v>0</v>
      </c>
      <c r="E173">
        <f>IF(pregacuta!37:37,"AAAAABa7XQQ=",0)</f>
        <v>0</v>
      </c>
      <c r="F173">
        <f>IF(pregacuta!38:38,"AAAAABa7XQU=",0)</f>
        <v>0</v>
      </c>
      <c r="G173">
        <f>IF(pregacuta!39:39,"AAAAABa7XQY=",0)</f>
        <v>0</v>
      </c>
      <c r="H173">
        <f>IF(pregacuta!40:40,"AAAAABa7XQc=",0)</f>
        <v>0</v>
      </c>
      <c r="I173">
        <f>IF(pregacuta!41:41,"AAAAABa7XQg=",0)</f>
        <v>0</v>
      </c>
      <c r="J173">
        <f>IF(pregacuta!42:42,"AAAAABa7XQk=",0)</f>
        <v>0</v>
      </c>
      <c r="K173">
        <f>IF(pregacuta!43:43,"AAAAABa7XQo=",0)</f>
        <v>0</v>
      </c>
      <c r="L173">
        <f>IF(pregacuta!44:44,"AAAAABa7XQs=",0)</f>
        <v>0</v>
      </c>
      <c r="M173">
        <f>IF(pregacuta!45:45,"AAAAABa7XQw=",0)</f>
        <v>0</v>
      </c>
      <c r="N173">
        <f>IF(pregacuta!46:46,"AAAAABa7XQ0=",0)</f>
        <v>0</v>
      </c>
      <c r="O173">
        <f>IF(pregacuta!47:47,"AAAAABa7XQ4=",0)</f>
        <v>0</v>
      </c>
      <c r="P173">
        <f>IF(pregacuta!48:48,"AAAAABa7XQ8=",0)</f>
        <v>0</v>
      </c>
      <c r="Q173">
        <f>IF(pregacuta!49:49,"AAAAABa7XRA=",0)</f>
        <v>0</v>
      </c>
      <c r="R173">
        <f>IF(pregacuta!50:50,"AAAAABa7XRE=",0)</f>
        <v>0</v>
      </c>
      <c r="S173">
        <f>IF(pregacuta!51:51,"AAAAABa7XRI=",0)</f>
        <v>0</v>
      </c>
      <c r="T173">
        <f>IF(pregacuta!52:52,"AAAAABa7XRM=",0)</f>
        <v>0</v>
      </c>
      <c r="U173">
        <f>IF(pregacuta!53:53,"AAAAABa7XRQ=",0)</f>
        <v>0</v>
      </c>
      <c r="V173">
        <f>IF(pregacuta!54:54,"AAAAABa7XRU=",0)</f>
        <v>0</v>
      </c>
      <c r="W173">
        <f>IF(pregacuta!55:55,"AAAAABa7XRY=",0)</f>
        <v>0</v>
      </c>
      <c r="X173">
        <f>IF(pregacuta!56:56,"AAAAABa7XRc=",0)</f>
        <v>0</v>
      </c>
      <c r="Y173">
        <f>IF(pregacuta!57:57,"AAAAABa7XRg=",0)</f>
        <v>0</v>
      </c>
      <c r="Z173">
        <f>IF(pregacuta!58:58,"AAAAABa7XRk=",0)</f>
        <v>0</v>
      </c>
      <c r="AA173">
        <f>IF(pregacuta!59:59,"AAAAABa7XRo=",0)</f>
        <v>0</v>
      </c>
      <c r="AB173">
        <f>IF(pregacuta!60:60,"AAAAABa7XRs=",0)</f>
        <v>0</v>
      </c>
      <c r="AC173">
        <f>IF(pregacuta!61:61,"AAAAABa7XRw=",0)</f>
        <v>0</v>
      </c>
      <c r="AD173">
        <f>IF(pregacuta!62:62,"AAAAABa7XR0=",0)</f>
        <v>0</v>
      </c>
      <c r="AE173">
        <f>IF(pregacuta!63:63,"AAAAABa7XR4=",0)</f>
        <v>0</v>
      </c>
      <c r="AF173">
        <f>IF(pregacuta!64:64,"AAAAABa7XR8=",0)</f>
        <v>0</v>
      </c>
      <c r="AG173">
        <f>IF(pregacuta!65:65,"AAAAABa7XSA=",0)</f>
        <v>0</v>
      </c>
      <c r="AH173">
        <f>IF(pregacuta!66:66,"AAAAABa7XSE=",0)</f>
        <v>0</v>
      </c>
      <c r="AI173">
        <f>IF(pregacuta!67:67,"AAAAABa7XSI=",0)</f>
        <v>0</v>
      </c>
      <c r="AJ173">
        <f>IF(pregacuta!68:68,"AAAAABa7XSM=",0)</f>
        <v>0</v>
      </c>
      <c r="AK173">
        <f>IF(pregacuta!69:69,"AAAAABa7XSQ=",0)</f>
        <v>0</v>
      </c>
      <c r="AL173">
        <f>IF(pregacuta!70:70,"AAAAABa7XSU=",0)</f>
        <v>0</v>
      </c>
      <c r="AM173">
        <f>IF(pregacuta!71:71,"AAAAABa7XSY=",0)</f>
        <v>0</v>
      </c>
      <c r="AN173">
        <f>IF(pregacuta!72:72,"AAAAABa7XSc=",0)</f>
        <v>0</v>
      </c>
      <c r="AO173">
        <f>IF(pregacuta!73:73,"AAAAABa7XSg=",0)</f>
        <v>0</v>
      </c>
      <c r="AP173">
        <f>IF(pregacuta!74:74,"AAAAABa7XSk=",0)</f>
        <v>0</v>
      </c>
      <c r="AQ173">
        <f>IF(pregacuta!75:75,"AAAAABa7XSo=",0)</f>
        <v>0</v>
      </c>
      <c r="AR173">
        <f>IF(pregacuta!76:76,"AAAAABa7XSs=",0)</f>
        <v>0</v>
      </c>
      <c r="AS173">
        <f>IF(pregacuta!77:77,"AAAAABa7XSw=",0)</f>
        <v>0</v>
      </c>
      <c r="AT173">
        <f>IF(pregacuta!78:78,"AAAAABa7XS0=",0)</f>
        <v>0</v>
      </c>
      <c r="AU173">
        <f>IF(pregacuta!79:79,"AAAAABa7XS4=",0)</f>
        <v>0</v>
      </c>
      <c r="AV173">
        <f>IF(pregacuta!80:80,"AAAAABa7XS8=",0)</f>
        <v>0</v>
      </c>
      <c r="AW173">
        <f>IF(pregacuta!81:81,"AAAAABa7XTA=",0)</f>
        <v>0</v>
      </c>
      <c r="AX173">
        <f>IF(pregacuta!82:82,"AAAAABa7XTE=",0)</f>
        <v>0</v>
      </c>
      <c r="AY173">
        <f>IF(pregacuta!83:83,"AAAAABa7XTI=",0)</f>
        <v>0</v>
      </c>
      <c r="AZ173">
        <f>IF(pregacuta!84:84,"AAAAABa7XTM=",0)</f>
        <v>0</v>
      </c>
      <c r="BA173">
        <f>IF(pregacuta!85:85,"AAAAABa7XTQ=",0)</f>
        <v>0</v>
      </c>
      <c r="BB173">
        <f>IF(pregacuta!86:86,"AAAAABa7XTU=",0)</f>
        <v>0</v>
      </c>
      <c r="BC173">
        <f>IF(pregacuta!87:87,"AAAAABa7XTY=",0)</f>
        <v>0</v>
      </c>
      <c r="BD173">
        <f>IF(pregacuta!88:88,"AAAAABa7XTc=",0)</f>
        <v>0</v>
      </c>
      <c r="BE173">
        <f>IF(pregacuta!89:89,"AAAAABa7XTg=",0)</f>
        <v>0</v>
      </c>
      <c r="BF173">
        <f>IF(pregacuta!90:90,"AAAAABa7XTk=",0)</f>
        <v>0</v>
      </c>
      <c r="BG173">
        <f>IF(pregacuta!91:91,"AAAAABa7XTo=",0)</f>
        <v>0</v>
      </c>
      <c r="BH173">
        <f>IF(pregacuta!92:92,"AAAAABa7XTs=",0)</f>
        <v>0</v>
      </c>
      <c r="BI173">
        <f>IF(pregacuta!93:93,"AAAAABa7XTw=",0)</f>
        <v>0</v>
      </c>
      <c r="BJ173">
        <f>IF(pregacuta!94:94,"AAAAABa7XT0=",0)</f>
        <v>0</v>
      </c>
      <c r="BK173">
        <f>IF(pregacuta!95:95,"AAAAABa7XT4=",0)</f>
        <v>0</v>
      </c>
      <c r="BL173">
        <f>IF(pregacuta!96:96,"AAAAABa7XT8=",0)</f>
        <v>0</v>
      </c>
      <c r="BM173">
        <f>IF(pregacuta!97:97,"AAAAABa7XUA=",0)</f>
        <v>0</v>
      </c>
      <c r="BN173">
        <f>IF(pregacuta!98:98,"AAAAABa7XUE=",0)</f>
        <v>0</v>
      </c>
      <c r="BO173">
        <f>IF(pregacuta!99:99,"AAAAABa7XUI=",0)</f>
        <v>0</v>
      </c>
      <c r="BP173">
        <f>IF(pregacuta!100:100,"AAAAABa7XUM=",0)</f>
        <v>0</v>
      </c>
      <c r="BQ173">
        <f>IF(pregacuta!101:101,"AAAAABa7XUQ=",0)</f>
        <v>0</v>
      </c>
      <c r="BR173">
        <f>IF(pregacuta!102:102,"AAAAABa7XUU=",0)</f>
        <v>0</v>
      </c>
      <c r="BS173">
        <f>IF(pregacuta!103:103,"AAAAABa7XUY=",0)</f>
        <v>0</v>
      </c>
      <c r="BT173">
        <f>IF(pregacuta!104:104,"AAAAABa7XUc=",0)</f>
        <v>0</v>
      </c>
      <c r="BU173">
        <f>IF(pregacuta!105:105,"AAAAABa7XUg=",0)</f>
        <v>0</v>
      </c>
      <c r="BV173">
        <f>IF(pregacuta!106:106,"AAAAABa7XUk=",0)</f>
        <v>0</v>
      </c>
      <c r="BW173">
        <f>IF(pregacuta!107:107,"AAAAABa7XUo=",0)</f>
        <v>0</v>
      </c>
      <c r="BX173">
        <f>IF(pregacuta!108:108,"AAAAABa7XUs=",0)</f>
        <v>0</v>
      </c>
      <c r="BY173">
        <f>IF(pregacuta!109:109,"AAAAABa7XUw=",0)</f>
        <v>0</v>
      </c>
      <c r="BZ173">
        <f>IF(pregacuta!110:110,"AAAAABa7XU0=",0)</f>
        <v>0</v>
      </c>
      <c r="CA173">
        <f>IF(pregacuta!111:111,"AAAAABa7XU4=",0)</f>
        <v>0</v>
      </c>
      <c r="CB173">
        <f>IF(pregacuta!112:112,"AAAAABa7XU8=",0)</f>
        <v>0</v>
      </c>
      <c r="CC173">
        <f>IF(pregacuta!113:113,"AAAAABa7XVA=",0)</f>
        <v>0</v>
      </c>
      <c r="CD173">
        <f>IF(pregacuta!114:114,"AAAAABa7XVE=",0)</f>
        <v>0</v>
      </c>
      <c r="CE173">
        <f>IF(pregacuta!115:115,"AAAAABa7XVI=",0)</f>
        <v>0</v>
      </c>
      <c r="CF173">
        <f>IF(pregacuta!116:116,"AAAAABa7XVM=",0)</f>
        <v>0</v>
      </c>
      <c r="CG173">
        <f>IF(pregacuta!117:117,"AAAAABa7XVQ=",0)</f>
        <v>0</v>
      </c>
      <c r="CH173">
        <f>IF(pregacuta!118:118,"AAAAABa7XVU=",0)</f>
        <v>0</v>
      </c>
      <c r="CI173">
        <f>IF(pregacuta!119:119,"AAAAABa7XVY=",0)</f>
        <v>0</v>
      </c>
      <c r="CJ173">
        <f>IF(pregacuta!120:120,"AAAAABa7XVc=",0)</f>
        <v>0</v>
      </c>
      <c r="CK173">
        <f>IF(pregacuta!121:121,"AAAAABa7XVg=",0)</f>
        <v>0</v>
      </c>
      <c r="CL173">
        <f>IF(pregacuta!122:122,"AAAAABa7XVk=",0)</f>
        <v>0</v>
      </c>
      <c r="CM173">
        <f>IF(pregacuta!123:123,"AAAAABa7XVo=",0)</f>
        <v>0</v>
      </c>
      <c r="CN173">
        <f>IF(pregacuta!124:124,"AAAAABa7XVs=",0)</f>
        <v>0</v>
      </c>
      <c r="CO173">
        <f>IF(pregacuta!125:125,"AAAAABa7XVw=",0)</f>
        <v>0</v>
      </c>
      <c r="CP173">
        <f>IF(pregacuta!126:126,"AAAAABa7XV0=",0)</f>
        <v>0</v>
      </c>
      <c r="CQ173">
        <f>IF(pregacuta!127:127,"AAAAABa7XV4=",0)</f>
        <v>0</v>
      </c>
      <c r="CR173">
        <f>IF(pregacuta!128:128,"AAAAABa7XV8=",0)</f>
        <v>0</v>
      </c>
      <c r="CS173">
        <f>IF(pregacuta!129:129,"AAAAABa7XWA=",0)</f>
        <v>0</v>
      </c>
      <c r="CT173">
        <f>IF(pregacuta!130:130,"AAAAABa7XWE=",0)</f>
        <v>0</v>
      </c>
      <c r="CU173">
        <f>IF(pregacuta!131:131,"AAAAABa7XWI=",0)</f>
        <v>0</v>
      </c>
      <c r="CV173">
        <f>IF(pregacuta!132:132,"AAAAABa7XWM=",0)</f>
        <v>0</v>
      </c>
      <c r="CW173">
        <f>IF(pregacuta!133:133,"AAAAABa7XWQ=",0)</f>
        <v>0</v>
      </c>
      <c r="CX173">
        <f>IF(pregacuta!134:134,"AAAAABa7XWU=",0)</f>
        <v>0</v>
      </c>
      <c r="CY173">
        <f>IF(pregacuta!135:135,"AAAAABa7XWY=",0)</f>
        <v>0</v>
      </c>
      <c r="CZ173">
        <f>IF(pregacuta!136:136,"AAAAABa7XWc=",0)</f>
        <v>0</v>
      </c>
      <c r="DA173">
        <f>IF(pregacuta!137:137,"AAAAABa7XWg=",0)</f>
        <v>0</v>
      </c>
      <c r="DB173">
        <f>IF(pregacuta!138:138,"AAAAABa7XWk=",0)</f>
        <v>0</v>
      </c>
      <c r="DC173">
        <f>IF(pregacuta!139:139,"AAAAABa7XWo=",0)</f>
        <v>0</v>
      </c>
      <c r="DD173">
        <f>IF(pregacuta!140:140,"AAAAABa7XWs=",0)</f>
        <v>0</v>
      </c>
      <c r="DE173">
        <f>IF(pregacuta!141:141,"AAAAABa7XWw=",0)</f>
        <v>0</v>
      </c>
      <c r="DF173">
        <f>IF(pregacuta!142:142,"AAAAABa7XW0=",0)</f>
        <v>0</v>
      </c>
      <c r="DG173">
        <f>IF(pregacuta!143:143,"AAAAABa7XW4=",0)</f>
        <v>0</v>
      </c>
      <c r="DH173">
        <f>IF(pregacuta!144:144,"AAAAABa7XW8=",0)</f>
        <v>0</v>
      </c>
      <c r="DI173">
        <f>IF(pregacuta!145:145,"AAAAABa7XXA=",0)</f>
        <v>0</v>
      </c>
      <c r="DJ173">
        <f>IF(pregacuta!146:146,"AAAAABa7XXE=",0)</f>
        <v>0</v>
      </c>
      <c r="DK173">
        <f>IF(pregacuta!147:147,"AAAAABa7XXI=",0)</f>
        <v>0</v>
      </c>
      <c r="DL173">
        <f>IF(pregacuta!148:148,"AAAAABa7XXM=",0)</f>
        <v>0</v>
      </c>
      <c r="DM173">
        <f>IF(pregacuta!149:149,"AAAAABa7XXQ=",0)</f>
        <v>0</v>
      </c>
      <c r="DN173">
        <f>IF(pregacuta!150:150,"AAAAABa7XXU=",0)</f>
        <v>0</v>
      </c>
      <c r="DO173">
        <f>IF(pregacuta!151:151,"AAAAABa7XXY=",0)</f>
        <v>0</v>
      </c>
      <c r="DP173">
        <f>IF(pregacuta!152:152,"AAAAABa7XXc=",0)</f>
        <v>0</v>
      </c>
      <c r="DQ173">
        <f>IF(pregacuta!153:153,"AAAAABa7XXg=",0)</f>
        <v>0</v>
      </c>
      <c r="DR173">
        <f>IF(pregacuta!154:154,"AAAAABa7XXk=",0)</f>
        <v>0</v>
      </c>
      <c r="DS173">
        <f>IF(pregacuta!155:155,"AAAAABa7XXo=",0)</f>
        <v>0</v>
      </c>
      <c r="DT173">
        <f>IF(pregacuta!156:156,"AAAAABa7XXs=",0)</f>
        <v>0</v>
      </c>
      <c r="DU173">
        <f>IF(pregacuta!157:157,"AAAAABa7XXw=",0)</f>
        <v>0</v>
      </c>
      <c r="DV173">
        <f>IF(pregacuta!158:158,"AAAAABa7XX0=",0)</f>
        <v>0</v>
      </c>
      <c r="DW173">
        <f>IF(pregacuta!159:159,"AAAAABa7XX4=",0)</f>
        <v>0</v>
      </c>
      <c r="DX173">
        <f>IF(pregacuta!160:160,"AAAAABa7XX8=",0)</f>
        <v>0</v>
      </c>
      <c r="DY173">
        <f>IF(pregacuta!161:161,"AAAAABa7XYA=",0)</f>
        <v>0</v>
      </c>
      <c r="DZ173">
        <f>IF(pregacuta!162:162,"AAAAABa7XYE=",0)</f>
        <v>0</v>
      </c>
      <c r="EA173">
        <f>IF(pregacuta!163:163,"AAAAABa7XYI=",0)</f>
        <v>0</v>
      </c>
      <c r="EB173">
        <f>IF(pregacuta!164:164,"AAAAABa7XYM=",0)</f>
        <v>0</v>
      </c>
      <c r="EC173">
        <f>IF(pregacuta!165:165,"AAAAABa7XYQ=",0)</f>
        <v>0</v>
      </c>
      <c r="ED173">
        <f>IF(pregacuta!166:166,"AAAAABa7XYU=",0)</f>
        <v>0</v>
      </c>
      <c r="EE173">
        <f>IF(pregacuta!167:167,"AAAAABa7XYY=",0)</f>
        <v>0</v>
      </c>
      <c r="EF173">
        <f>IF(pregacuta!168:168,"AAAAABa7XYc=",0)</f>
        <v>0</v>
      </c>
      <c r="EG173">
        <f>IF(pregacuta!169:169,"AAAAABa7XYg=",0)</f>
        <v>0</v>
      </c>
      <c r="EH173">
        <f>IF(pregacuta!170:170,"AAAAABa7XYk=",0)</f>
        <v>0</v>
      </c>
      <c r="EI173">
        <f>IF(pregacuta!171:171,"AAAAABa7XYo=",0)</f>
        <v>0</v>
      </c>
      <c r="EJ173">
        <f>IF(pregacuta!172:172,"AAAAABa7XYs=",0)</f>
        <v>0</v>
      </c>
      <c r="EK173">
        <f>IF(pregacuta!173:173,"AAAAABa7XYw=",0)</f>
        <v>0</v>
      </c>
      <c r="EL173">
        <f>IF(pregacuta!174:174,"AAAAABa7XY0=",0)</f>
        <v>0</v>
      </c>
      <c r="EM173">
        <f>IF(pregacuta!175:175,"AAAAABa7XY4=",0)</f>
        <v>0</v>
      </c>
      <c r="EN173">
        <f>IF(pregacuta!176:176,"AAAAABa7XY8=",0)</f>
        <v>0</v>
      </c>
      <c r="EO173">
        <f>IF(pregacuta!177:177,"AAAAABa7XZA=",0)</f>
        <v>0</v>
      </c>
      <c r="EP173">
        <f>IF(pregacuta!178:178,"AAAAABa7XZE=",0)</f>
        <v>0</v>
      </c>
      <c r="EQ173">
        <f>IF(pregacuta!179:179,"AAAAABa7XZI=",0)</f>
        <v>0</v>
      </c>
      <c r="ER173">
        <f>IF(pregacuta!180:180,"AAAAABa7XZM=",0)</f>
        <v>0</v>
      </c>
      <c r="ES173">
        <f>IF(pregacuta!181:181,"AAAAABa7XZQ=",0)</f>
        <v>0</v>
      </c>
      <c r="ET173">
        <f>IF(pregacuta!182:182,"AAAAABa7XZU=",0)</f>
        <v>0</v>
      </c>
      <c r="EU173">
        <f>IF(pregacuta!183:183,"AAAAABa7XZY=",0)</f>
        <v>0</v>
      </c>
      <c r="EV173">
        <f>IF(pregacuta!184:184,"AAAAABa7XZc=",0)</f>
        <v>0</v>
      </c>
      <c r="EW173">
        <f>IF(pregacuta!185:185,"AAAAABa7XZg=",0)</f>
        <v>0</v>
      </c>
      <c r="EX173">
        <f>IF(pregacuta!186:186,"AAAAABa7XZk=",0)</f>
        <v>0</v>
      </c>
      <c r="EY173">
        <f>IF(pregacuta!187:187,"AAAAABa7XZo=",0)</f>
        <v>0</v>
      </c>
      <c r="EZ173">
        <f>IF(pregacuta!188:188,"AAAAABa7XZs=",0)</f>
        <v>0</v>
      </c>
      <c r="FA173">
        <f>IF(pregacuta!189:189,"AAAAABa7XZw=",0)</f>
        <v>0</v>
      </c>
      <c r="FB173">
        <f>IF(pregacuta!190:190,"AAAAABa7XZ0=",0)</f>
        <v>0</v>
      </c>
      <c r="FC173">
        <f>IF(pregacuta!191:191,"AAAAABa7XZ4=",0)</f>
        <v>0</v>
      </c>
      <c r="FD173">
        <f>IF(pregacuta!192:192,"AAAAABa7XZ8=",0)</f>
        <v>0</v>
      </c>
      <c r="FE173">
        <f>IF(pregacuta!193:193,"AAAAABa7XaA=",0)</f>
        <v>0</v>
      </c>
      <c r="FF173">
        <f>IF(pregacuta!194:194,"AAAAABa7XaE=",0)</f>
        <v>0</v>
      </c>
      <c r="FG173">
        <f>IF(pregacuta!195:195,"AAAAABa7XaI=",0)</f>
        <v>0</v>
      </c>
      <c r="FH173">
        <f>IF(pregacuta!196:196,"AAAAABa7XaM=",0)</f>
        <v>0</v>
      </c>
      <c r="FI173">
        <f>IF(pregacuta!197:197,"AAAAABa7XaQ=",0)</f>
        <v>0</v>
      </c>
      <c r="FJ173">
        <f>IF(pregacuta!198:198,"AAAAABa7XaU=",0)</f>
        <v>0</v>
      </c>
      <c r="FK173">
        <f>IF(pregacuta!199:199,"AAAAABa7XaY=",0)</f>
        <v>0</v>
      </c>
      <c r="FL173">
        <f>IF(pregacuta!200:200,"AAAAABa7Xac=",0)</f>
        <v>0</v>
      </c>
      <c r="FM173">
        <f>IF(pregacuta!201:201,"AAAAABa7Xag=",0)</f>
        <v>0</v>
      </c>
      <c r="FN173">
        <f>IF(pregacuta!202:202,"AAAAABa7Xak=",0)</f>
        <v>0</v>
      </c>
      <c r="FO173">
        <f>IF(pregacuta!203:203,"AAAAABa7Xao=",0)</f>
        <v>0</v>
      </c>
      <c r="FP173">
        <f>IF(pregacuta!204:204,"AAAAABa7Xas=",0)</f>
        <v>0</v>
      </c>
      <c r="FQ173">
        <f>IF(pregacuta!205:205,"AAAAABa7Xaw=",0)</f>
        <v>0</v>
      </c>
      <c r="FR173">
        <f>IF(pregacuta!206:206,"AAAAABa7Xa0=",0)</f>
        <v>0</v>
      </c>
      <c r="FS173">
        <f>IF(pregacuta!207:207,"AAAAABa7Xa4=",0)</f>
        <v>0</v>
      </c>
      <c r="FT173">
        <f>IF(pregacuta!208:208,"AAAAABa7Xa8=",0)</f>
        <v>0</v>
      </c>
      <c r="FU173">
        <f>IF(pregacuta!209:209,"AAAAABa7XbA=",0)</f>
        <v>0</v>
      </c>
      <c r="FV173">
        <f>IF(pregacuta!210:210,"AAAAABa7XbE=",0)</f>
        <v>0</v>
      </c>
      <c r="FW173">
        <f>IF(pregacuta!211:211,"AAAAABa7XbI=",0)</f>
        <v>0</v>
      </c>
      <c r="FX173">
        <f>IF(pregacuta!212:212,"AAAAABa7XbM=",0)</f>
        <v>0</v>
      </c>
      <c r="FY173">
        <f>IF(pregacuta!213:213,"AAAAABa7XbQ=",0)</f>
        <v>0</v>
      </c>
      <c r="FZ173">
        <f>IF(pregacuta!214:214,"AAAAABa7XbU=",0)</f>
        <v>0</v>
      </c>
      <c r="GA173">
        <f>IF(pregacuta!215:215,"AAAAABa7XbY=",0)</f>
        <v>0</v>
      </c>
      <c r="GB173">
        <f>IF(pregacuta!216:216,"AAAAABa7Xbc=",0)</f>
        <v>0</v>
      </c>
      <c r="GC173">
        <f>IF(pregacuta!217:217,"AAAAABa7Xbg=",0)</f>
        <v>0</v>
      </c>
      <c r="GD173">
        <f>IF(pregacuta!218:218,"AAAAABa7Xbk=",0)</f>
        <v>0</v>
      </c>
      <c r="GE173">
        <f>IF(pregacuta!219:219,"AAAAABa7Xbo=",0)</f>
        <v>0</v>
      </c>
      <c r="GF173">
        <f>IF(pregacuta!220:220,"AAAAABa7Xbs=",0)</f>
        <v>0</v>
      </c>
      <c r="GG173">
        <f>IF(pregacuta!221:221,"AAAAABa7Xbw=",0)</f>
        <v>0</v>
      </c>
      <c r="GH173">
        <f>IF(pregacuta!222:222,"AAAAABa7Xb0=",0)</f>
        <v>0</v>
      </c>
      <c r="GI173">
        <f>IF(pregacuta!223:223,"AAAAABa7Xb4=",0)</f>
        <v>0</v>
      </c>
      <c r="GJ173">
        <f>IF(pregacuta!224:224,"AAAAABa7Xb8=",0)</f>
        <v>0</v>
      </c>
      <c r="GK173">
        <f>IF(pregacuta!225:225,"AAAAABa7XcA=",0)</f>
        <v>0</v>
      </c>
      <c r="GL173">
        <f>IF(pregacuta!226:226,"AAAAABa7XcE=",0)</f>
        <v>0</v>
      </c>
      <c r="GM173">
        <f>IF(pregacuta!227:227,"AAAAABa7XcI=",0)</f>
        <v>0</v>
      </c>
      <c r="GN173">
        <f>IF(pregacuta!228:228,"AAAAABa7XcM=",0)</f>
        <v>0</v>
      </c>
      <c r="GO173">
        <f>IF(pregacuta!229:229,"AAAAABa7XcQ=",0)</f>
        <v>0</v>
      </c>
      <c r="GP173">
        <f>IF(pregacuta!230:230,"AAAAABa7XcU=",0)</f>
        <v>0</v>
      </c>
      <c r="GQ173">
        <f>IF(pregacuta!231:231,"AAAAABa7XcY=",0)</f>
        <v>0</v>
      </c>
      <c r="GR173">
        <f>IF(pregacuta!232:232,"AAAAABa7Xcc=",0)</f>
        <v>0</v>
      </c>
      <c r="GS173">
        <f>IF(pregacuta!233:233,"AAAAABa7Xcg=",0)</f>
        <v>0</v>
      </c>
      <c r="GT173">
        <f>IF(pregacuta!234:234,"AAAAABa7Xck=",0)</f>
        <v>0</v>
      </c>
      <c r="GU173">
        <f>IF(pregacuta!235:235,"AAAAABa7Xco=",0)</f>
        <v>0</v>
      </c>
      <c r="GV173">
        <f>IF(pregacuta!236:236,"AAAAABa7Xcs=",0)</f>
        <v>0</v>
      </c>
      <c r="GW173">
        <f>IF(pregacuta!237:237,"AAAAABa7Xcw=",0)</f>
        <v>0</v>
      </c>
      <c r="GX173">
        <f>IF(pregacuta!238:238,"AAAAABa7Xc0=",0)</f>
        <v>0</v>
      </c>
      <c r="GY173">
        <f>IF(pregacuta!239:239,"AAAAABa7Xc4=",0)</f>
        <v>0</v>
      </c>
      <c r="GZ173">
        <f>IF(pregacuta!240:240,"AAAAABa7Xc8=",0)</f>
        <v>0</v>
      </c>
      <c r="HA173">
        <f>IF(pregacuta!241:241,"AAAAABa7XdA=",0)</f>
        <v>0</v>
      </c>
      <c r="HB173">
        <f>IF(pregacuta!242:242,"AAAAABa7XdE=",0)</f>
        <v>0</v>
      </c>
      <c r="HC173">
        <f>IF(pregacuta!243:243,"AAAAABa7XdI=",0)</f>
        <v>0</v>
      </c>
      <c r="HD173">
        <f>IF(pregacuta!244:244,"AAAAABa7XdM=",0)</f>
        <v>0</v>
      </c>
      <c r="HE173">
        <f>IF(pregacuta!245:245,"AAAAABa7XdQ=",0)</f>
        <v>0</v>
      </c>
      <c r="HF173">
        <f>IF(pregacuta!246:246,"AAAAABa7XdU=",0)</f>
        <v>0</v>
      </c>
      <c r="HG173">
        <f>IF(pregacuta!247:247,"AAAAABa7XdY=",0)</f>
        <v>0</v>
      </c>
      <c r="HH173">
        <f>IF(pregacuta!248:248,"AAAAABa7Xdc=",0)</f>
        <v>0</v>
      </c>
      <c r="HI173">
        <f>IF(pregacuta!249:249,"AAAAABa7Xdg=",0)</f>
        <v>0</v>
      </c>
      <c r="HJ173">
        <f>IF(pregacuta!250:250,"AAAAABa7Xdk=",0)</f>
        <v>0</v>
      </c>
      <c r="HK173">
        <f>IF(pregacuta!251:251,"AAAAABa7Xdo=",0)</f>
        <v>0</v>
      </c>
      <c r="HL173">
        <f>IF(pregacuta!252:252,"AAAAABa7Xds=",0)</f>
        <v>0</v>
      </c>
      <c r="HM173">
        <f>IF(pregacuta!253:253,"AAAAABa7Xdw=",0)</f>
        <v>0</v>
      </c>
      <c r="HN173">
        <f>IF(pregacuta!254:254,"AAAAABa7Xd0=",0)</f>
        <v>0</v>
      </c>
      <c r="HO173">
        <f>IF(pregacuta!255:255,"AAAAABa7Xd4=",0)</f>
        <v>0</v>
      </c>
      <c r="HP173">
        <f>IF(pregacuta!256:256,"AAAAABa7Xd8=",0)</f>
        <v>0</v>
      </c>
      <c r="HQ173">
        <f>IF(pregacuta!257:257,"AAAAABa7XeA=",0)</f>
        <v>0</v>
      </c>
      <c r="HR173">
        <f>IF(pregacuta!258:258,"AAAAABa7XeE=",0)</f>
        <v>0</v>
      </c>
      <c r="HS173">
        <f>IF(pregacuta!259:259,"AAAAABa7XeI=",0)</f>
        <v>0</v>
      </c>
      <c r="HT173">
        <f>IF(pregacuta!260:260,"AAAAABa7XeM=",0)</f>
        <v>0</v>
      </c>
      <c r="HU173">
        <f>IF(pregacuta!261:261,"AAAAABa7XeQ=",0)</f>
        <v>0</v>
      </c>
      <c r="HV173">
        <f>IF(pregacuta!262:262,"AAAAABa7XeU=",0)</f>
        <v>0</v>
      </c>
      <c r="HW173">
        <f>IF(pregacuta!263:263,"AAAAABa7XeY=",0)</f>
        <v>0</v>
      </c>
      <c r="HX173">
        <f>IF(pregacuta!264:264,"AAAAABa7Xec=",0)</f>
        <v>0</v>
      </c>
      <c r="HY173">
        <f>IF(pregacuta!265:265,"AAAAABa7Xeg=",0)</f>
        <v>0</v>
      </c>
      <c r="HZ173">
        <f>IF(pregacuta!266:266,"AAAAABa7Xek=",0)</f>
        <v>0</v>
      </c>
      <c r="IA173">
        <f>IF(pregacuta!267:267,"AAAAABa7Xeo=",0)</f>
        <v>0</v>
      </c>
      <c r="IB173">
        <f>IF(pregacuta!268:268,"AAAAABa7Xes=",0)</f>
        <v>0</v>
      </c>
      <c r="IC173">
        <f>IF(pregacuta!269:269,"AAAAABa7Xew=",0)</f>
        <v>0</v>
      </c>
      <c r="ID173">
        <f>IF(pregacuta!270:270,"AAAAABa7Xe0=",0)</f>
        <v>0</v>
      </c>
      <c r="IE173">
        <f>IF(pregacuta!271:271,"AAAAABa7Xe4=",0)</f>
        <v>0</v>
      </c>
      <c r="IF173">
        <f>IF(pregacuta!272:272,"AAAAABa7Xe8=",0)</f>
        <v>0</v>
      </c>
      <c r="IG173">
        <f>IF(pregacuta!273:273,"AAAAABa7XfA=",0)</f>
        <v>0</v>
      </c>
      <c r="IH173">
        <f>IF(pregacuta!274:274,"AAAAABa7XfE=",0)</f>
        <v>0</v>
      </c>
      <c r="II173">
        <f>IF(pregacuta!275:275,"AAAAABa7XfI=",0)</f>
        <v>0</v>
      </c>
      <c r="IJ173">
        <f>IF(pregacuta!276:276,"AAAAABa7XfM=",0)</f>
        <v>0</v>
      </c>
      <c r="IK173">
        <f>IF(pregacuta!277:277,"AAAAABa7XfQ=",0)</f>
        <v>0</v>
      </c>
      <c r="IL173">
        <f>IF(pregacuta!278:278,"AAAAABa7XfU=",0)</f>
        <v>0</v>
      </c>
      <c r="IM173">
        <f>IF(pregacuta!279:279,"AAAAABa7XfY=",0)</f>
        <v>0</v>
      </c>
      <c r="IN173">
        <f>IF(pregacuta!280:280,"AAAAABa7Xfc=",0)</f>
        <v>0</v>
      </c>
      <c r="IO173">
        <f>IF(pregacuta!281:281,"AAAAABa7Xfg=",0)</f>
        <v>0</v>
      </c>
      <c r="IP173">
        <f>IF(pregacuta!282:282,"AAAAABa7Xfk=",0)</f>
        <v>0</v>
      </c>
      <c r="IQ173">
        <f>IF(pregacuta!283:283,"AAAAABa7Xfo=",0)</f>
        <v>0</v>
      </c>
      <c r="IR173">
        <f>IF(pregacuta!284:284,"AAAAABa7Xfs=",0)</f>
        <v>0</v>
      </c>
      <c r="IS173">
        <f>IF(pregacuta!285:285,"AAAAABa7Xfw=",0)</f>
        <v>0</v>
      </c>
      <c r="IT173">
        <f>IF(pregacuta!286:286,"AAAAABa7Xf0=",0)</f>
        <v>0</v>
      </c>
      <c r="IU173">
        <f>IF(pregacuta!287:287,"AAAAABa7Xf4=",0)</f>
        <v>0</v>
      </c>
      <c r="IV173">
        <f>IF(pregacuta!288:288,"AAAAABa7Xf8=",0)</f>
        <v>0</v>
      </c>
    </row>
    <row r="174" spans="1:256" x14ac:dyDescent="0.2">
      <c r="A174">
        <f>IF(pregacuta!289:289,"AAAAAHtkdQA=",0)</f>
        <v>0</v>
      </c>
      <c r="B174">
        <f>IF(pregacuta!290:290,"AAAAAHtkdQE=",0)</f>
        <v>0</v>
      </c>
      <c r="C174">
        <f>IF(pregacuta!291:291,"AAAAAHtkdQI=",0)</f>
        <v>0</v>
      </c>
      <c r="D174">
        <f>IF(pregacuta!292:292,"AAAAAHtkdQM=",0)</f>
        <v>0</v>
      </c>
      <c r="E174">
        <f>IF(pregacuta!293:293,"AAAAAHtkdQQ=",0)</f>
        <v>0</v>
      </c>
      <c r="F174">
        <f>IF(pregacuta!294:294,"AAAAAHtkdQU=",0)</f>
        <v>0</v>
      </c>
      <c r="G174">
        <f>IF(pregacuta!295:295,"AAAAAHtkdQY=",0)</f>
        <v>0</v>
      </c>
      <c r="H174">
        <f>IF(pregacuta!296:296,"AAAAAHtkdQc=",0)</f>
        <v>0</v>
      </c>
      <c r="I174">
        <f>IF(pregacuta!297:297,"AAAAAHtkdQg=",0)</f>
        <v>0</v>
      </c>
      <c r="J174">
        <f>IF(pregacuta!298:298,"AAAAAHtkdQk=",0)</f>
        <v>0</v>
      </c>
      <c r="K174">
        <f>IF(pregacuta!299:299,"AAAAAHtkdQo=",0)</f>
        <v>0</v>
      </c>
      <c r="L174">
        <f>IF(pregacuta!300:300,"AAAAAHtkdQs=",0)</f>
        <v>0</v>
      </c>
      <c r="M174">
        <f>IF(pregacuta!301:301,"AAAAAHtkdQw=",0)</f>
        <v>0</v>
      </c>
      <c r="N174">
        <f>IF(pregacuta!302:302,"AAAAAHtkdQ0=",0)</f>
        <v>0</v>
      </c>
      <c r="O174">
        <f>IF(pregacuta!303:303,"AAAAAHtkdQ4=",0)</f>
        <v>0</v>
      </c>
      <c r="P174">
        <f>IF(pregacuta!304:304,"AAAAAHtkdQ8=",0)</f>
        <v>0</v>
      </c>
      <c r="Q174">
        <f>IF(pregacuta!305:305,"AAAAAHtkdRA=",0)</f>
        <v>0</v>
      </c>
      <c r="R174">
        <f>IF(pregacuta!306:306,"AAAAAHtkdRE=",0)</f>
        <v>0</v>
      </c>
      <c r="S174">
        <f>IF(pregacuta!307:307,"AAAAAHtkdRI=",0)</f>
        <v>0</v>
      </c>
      <c r="T174">
        <f>IF(pregacuta!308:308,"AAAAAHtkdRM=",0)</f>
        <v>0</v>
      </c>
      <c r="U174">
        <f>IF(pregacuta!309:309,"AAAAAHtkdRQ=",0)</f>
        <v>0</v>
      </c>
      <c r="V174">
        <f>IF(pregacuta!310:310,"AAAAAHtkdRU=",0)</f>
        <v>0</v>
      </c>
      <c r="W174">
        <f>IF(pregacuta!311:311,"AAAAAHtkdRY=",0)</f>
        <v>0</v>
      </c>
      <c r="X174">
        <f>IF(pregacuta!312:312,"AAAAAHtkdRc=",0)</f>
        <v>0</v>
      </c>
      <c r="Y174">
        <f>IF(pregacuta!313:313,"AAAAAHtkdRg=",0)</f>
        <v>0</v>
      </c>
      <c r="Z174">
        <f>IF(pregacuta!314:314,"AAAAAHtkdRk=",0)</f>
        <v>0</v>
      </c>
      <c r="AA174">
        <f>IF(pregacuta!315:315,"AAAAAHtkdRo=",0)</f>
        <v>0</v>
      </c>
      <c r="AB174">
        <f>IF(pregacuta!316:316,"AAAAAHtkdRs=",0)</f>
        <v>0</v>
      </c>
      <c r="AC174">
        <f>IF(pregacuta!317:317,"AAAAAHtkdRw=",0)</f>
        <v>0</v>
      </c>
      <c r="AD174">
        <f>IF(pregacuta!318:318,"AAAAAHtkdR0=",0)</f>
        <v>0</v>
      </c>
      <c r="AE174">
        <f>IF(pregacuta!A:A,"AAAAAHtkdR4=",0)</f>
        <v>0</v>
      </c>
      <c r="AF174">
        <f>IF(pregacuta!B:B,"AAAAAHtkdR8=",0)</f>
        <v>0</v>
      </c>
      <c r="AG174">
        <f>IF(pregacuta!C:C,"AAAAAHtkdSA=",0)</f>
        <v>0</v>
      </c>
      <c r="AH174">
        <f>IF(pregacuta!D:D,"AAAAAHtkdSE=",0)</f>
        <v>0</v>
      </c>
      <c r="AI174">
        <f>IF(pregacuta!E:E,"AAAAAHtkdSI=",0)</f>
        <v>0</v>
      </c>
      <c r="AJ174">
        <f>IF(pregacuta!F:F,"AAAAAHtkdSM=",0)</f>
        <v>0</v>
      </c>
      <c r="AK174">
        <f>IF(pregacuta!G:G,"AAAAAHtkdSQ=",0)</f>
        <v>0</v>
      </c>
      <c r="AL174">
        <f>IF(pregacuta!H:H,"AAAAAHtkdSU=",0)</f>
        <v>0</v>
      </c>
      <c r="AM174">
        <f>IF(pregacuta!I:I,"AAAAAHtkdSY=",0)</f>
        <v>0</v>
      </c>
      <c r="AN174">
        <f>IF(pregacuta!J:J,"AAAAAHtkdSc=",0)</f>
        <v>0</v>
      </c>
      <c r="AO174">
        <f>IF(pregacuta!K:K,"AAAAAHtkdSg=",0)</f>
        <v>0</v>
      </c>
      <c r="AP174">
        <f>IF(pregacuta!L:L,"AAAAAHtkdSk=",0)</f>
        <v>0</v>
      </c>
      <c r="AQ174">
        <f>IF(pregacuta!M:M,"AAAAAHtkdSo=",0)</f>
        <v>0</v>
      </c>
      <c r="AR174">
        <f>IF(pregacuta!N:N,"AAAAAHtkdSs=",0)</f>
        <v>0</v>
      </c>
      <c r="AS174">
        <f>IF(pregacuta!O:O,"AAAAAHtkdSw=",0)</f>
        <v>0</v>
      </c>
      <c r="AT174">
        <f>IF(pregacuta!P:P,"AAAAAHtkdS0=",0)</f>
        <v>0</v>
      </c>
      <c r="AU174">
        <f>IF(pregacuta!Q:Q,"AAAAAHtkdS4=",0)</f>
        <v>0</v>
      </c>
      <c r="AV174">
        <f>IF(pregacuta!R:R,"AAAAAHtkdS8=",0)</f>
        <v>0</v>
      </c>
      <c r="AW174">
        <f>IF(pregacuta!S:S,"AAAAAHtkdTA=",0)</f>
        <v>0</v>
      </c>
      <c r="AX174">
        <f>IF(pregacuta!T:T,"AAAAAHtkdTE=",0)</f>
        <v>0</v>
      </c>
      <c r="AY174">
        <f>IF(circunfpanturr!1:1,"AAAAAHtkdTI=",0)</f>
        <v>0</v>
      </c>
      <c r="AZ174">
        <f>IF(circunfpanturr!2:2,"AAAAAHtkdTM=",0)</f>
        <v>0</v>
      </c>
      <c r="BA174">
        <f>IF(circunfpanturr!3:3,"AAAAAHtkdTQ=",0)</f>
        <v>0</v>
      </c>
      <c r="BB174">
        <f>IF(circunfpanturr!4:4,"AAAAAHtkdTU=",0)</f>
        <v>0</v>
      </c>
      <c r="BC174">
        <f>IF(circunfpanturr!5:5,"AAAAAHtkdTY=",0)</f>
        <v>0</v>
      </c>
      <c r="BD174">
        <f>IF(circunfpanturr!6:6,"AAAAAHtkdTc=",0)</f>
        <v>0</v>
      </c>
      <c r="BE174">
        <f>IF(circunfpanturr!7:7,"AAAAAHtkdTg=",0)</f>
        <v>0</v>
      </c>
      <c r="BF174">
        <f>IF(circunfpanturr!8:8,"AAAAAHtkdTk=",0)</f>
        <v>0</v>
      </c>
      <c r="BG174">
        <f>IF(circunfpanturr!9:9,"AAAAAHtkdTo=",0)</f>
        <v>0</v>
      </c>
      <c r="BH174">
        <f>IF(circunfpanturr!10:10,"AAAAAHtkdTs=",0)</f>
        <v>0</v>
      </c>
      <c r="BI174">
        <f>IF(circunfpanturr!11:11,"AAAAAHtkdTw=",0)</f>
        <v>0</v>
      </c>
      <c r="BJ174">
        <f>IF(circunfpanturr!12:12,"AAAAAHtkdT0=",0)</f>
        <v>0</v>
      </c>
      <c r="BK174">
        <f>IF(circunfpanturr!13:13,"AAAAAHtkdT4=",0)</f>
        <v>0</v>
      </c>
      <c r="BL174">
        <f>IF(circunfpanturr!14:14,"AAAAAHtkdT8=",0)</f>
        <v>0</v>
      </c>
      <c r="BM174">
        <f>IF(circunfpanturr!15:15,"AAAAAHtkdUA=",0)</f>
        <v>0</v>
      </c>
      <c r="BN174">
        <f>IF(circunfpanturr!16:16,"AAAAAHtkdUE=",0)</f>
        <v>0</v>
      </c>
      <c r="BO174">
        <f>IF(circunfpanturr!17:17,"AAAAAHtkdUI=",0)</f>
        <v>0</v>
      </c>
      <c r="BP174">
        <f>IF(circunfpanturr!18:18,"AAAAAHtkdUM=",0)</f>
        <v>0</v>
      </c>
      <c r="BQ174">
        <f>IF(circunfpanturr!19:19,"AAAAAHtkdUQ=",0)</f>
        <v>0</v>
      </c>
      <c r="BR174">
        <f>IF(circunfpanturr!20:20,"AAAAAHtkdUU=",0)</f>
        <v>0</v>
      </c>
      <c r="BS174">
        <f>IF(circunfpanturr!21:21,"AAAAAHtkdUY=",0)</f>
        <v>0</v>
      </c>
      <c r="BT174">
        <f>IF(circunfpanturr!22:22,"AAAAAHtkdUc=",0)</f>
        <v>0</v>
      </c>
      <c r="BU174">
        <f>IF(circunfpanturr!23:23,"AAAAAHtkdUg=",0)</f>
        <v>0</v>
      </c>
      <c r="BV174">
        <f>IF(circunfpanturr!24:24,"AAAAAHtkdUk=",0)</f>
        <v>0</v>
      </c>
      <c r="BW174">
        <f>IF(circunfpanturr!25:25,"AAAAAHtkdUo=",0)</f>
        <v>0</v>
      </c>
      <c r="BX174">
        <f>IF(circunfpanturr!26:26,"AAAAAHtkdUs=",0)</f>
        <v>0</v>
      </c>
      <c r="BY174">
        <f>IF(circunfpanturr!27:27,"AAAAAHtkdUw=",0)</f>
        <v>0</v>
      </c>
      <c r="BZ174">
        <f>IF(circunfpanturr!28:28,"AAAAAHtkdU0=",0)</f>
        <v>0</v>
      </c>
      <c r="CA174">
        <f>IF(circunfpanturr!29:29,"AAAAAHtkdU4=",0)</f>
        <v>0</v>
      </c>
      <c r="CB174">
        <f>IF(circunfpanturr!30:30,"AAAAAHtkdU8=",0)</f>
        <v>0</v>
      </c>
      <c r="CC174">
        <f>IF(circunfpanturr!31:31,"AAAAAHtkdVA=",0)</f>
        <v>0</v>
      </c>
      <c r="CD174">
        <f>IF(circunfpanturr!32:32,"AAAAAHtkdVE=",0)</f>
        <v>0</v>
      </c>
      <c r="CE174">
        <f>IF(circunfpanturr!33:33,"AAAAAHtkdVI=",0)</f>
        <v>0</v>
      </c>
      <c r="CF174">
        <f>IF(circunfpanturr!34:34,"AAAAAHtkdVM=",0)</f>
        <v>0</v>
      </c>
      <c r="CG174">
        <f>IF(circunfpanturr!35:35,"AAAAAHtkdVQ=",0)</f>
        <v>0</v>
      </c>
      <c r="CH174">
        <f>IF(circunfpanturr!36:36,"AAAAAHtkdVU=",0)</f>
        <v>0</v>
      </c>
      <c r="CI174">
        <f>IF(circunfpanturr!37:37,"AAAAAHtkdVY=",0)</f>
        <v>0</v>
      </c>
      <c r="CJ174">
        <f>IF(circunfpanturr!38:38,"AAAAAHtkdVc=",0)</f>
        <v>0</v>
      </c>
      <c r="CK174">
        <f>IF(circunfpanturr!39:39,"AAAAAHtkdVg=",0)</f>
        <v>0</v>
      </c>
      <c r="CL174">
        <f>IF(circunfpanturr!40:40,"AAAAAHtkdVk=",0)</f>
        <v>0</v>
      </c>
      <c r="CM174">
        <f>IF(circunfpanturr!41:41,"AAAAAHtkdVo=",0)</f>
        <v>0</v>
      </c>
      <c r="CN174">
        <f>IF(circunfpanturr!42:42,"AAAAAHtkdVs=",0)</f>
        <v>0</v>
      </c>
      <c r="CO174">
        <f>IF(circunfpanturr!43:43,"AAAAAHtkdVw=",0)</f>
        <v>0</v>
      </c>
      <c r="CP174">
        <f>IF(circunfpanturr!44:44,"AAAAAHtkdV0=",0)</f>
        <v>0</v>
      </c>
      <c r="CQ174">
        <f>IF(circunfpanturr!45:45,"AAAAAHtkdV4=",0)</f>
        <v>0</v>
      </c>
      <c r="CR174">
        <f>IF(circunfpanturr!46:46,"AAAAAHtkdV8=",0)</f>
        <v>0</v>
      </c>
      <c r="CS174">
        <f>IF(circunfpanturr!47:47,"AAAAAHtkdWA=",0)</f>
        <v>0</v>
      </c>
      <c r="CT174">
        <f>IF(circunfpanturr!48:48,"AAAAAHtkdWE=",0)</f>
        <v>0</v>
      </c>
      <c r="CU174">
        <f>IF(circunfpanturr!49:49,"AAAAAHtkdWI=",0)</f>
        <v>0</v>
      </c>
      <c r="CV174">
        <f>IF(circunfpanturr!50:50,"AAAAAHtkdWM=",0)</f>
        <v>0</v>
      </c>
      <c r="CW174">
        <f>IF(circunfpanturr!51:51,"AAAAAHtkdWQ=",0)</f>
        <v>0</v>
      </c>
      <c r="CX174">
        <f>IF(circunfpanturr!52:52,"AAAAAHtkdWU=",0)</f>
        <v>0</v>
      </c>
      <c r="CY174">
        <f>IF(circunfpanturr!53:53,"AAAAAHtkdWY=",0)</f>
        <v>0</v>
      </c>
      <c r="CZ174">
        <f>IF(circunfpanturr!54:54,"AAAAAHtkdWc=",0)</f>
        <v>0</v>
      </c>
      <c r="DA174">
        <f>IF(circunfpanturr!55:55,"AAAAAHtkdWg=",0)</f>
        <v>0</v>
      </c>
      <c r="DB174">
        <f>IF(circunfpanturr!56:56,"AAAAAHtkdWk=",0)</f>
        <v>0</v>
      </c>
      <c r="DC174">
        <f>IF(circunfpanturr!57:57,"AAAAAHtkdWo=",0)</f>
        <v>0</v>
      </c>
      <c r="DD174">
        <f>IF(circunfpanturr!58:58,"AAAAAHtkdWs=",0)</f>
        <v>0</v>
      </c>
      <c r="DE174">
        <f>IF(circunfpanturr!59:59,"AAAAAHtkdWw=",0)</f>
        <v>0</v>
      </c>
      <c r="DF174">
        <f>IF(circunfpanturr!60:60,"AAAAAHtkdW0=",0)</f>
        <v>0</v>
      </c>
      <c r="DG174">
        <f>IF(circunfpanturr!61:61,"AAAAAHtkdW4=",0)</f>
        <v>0</v>
      </c>
      <c r="DH174">
        <f>IF(circunfpanturr!62:62,"AAAAAHtkdW8=",0)</f>
        <v>0</v>
      </c>
      <c r="DI174">
        <f>IF(circunfpanturr!63:63,"AAAAAHtkdXA=",0)</f>
        <v>0</v>
      </c>
      <c r="DJ174">
        <f>IF(circunfpanturr!64:64,"AAAAAHtkdXE=",0)</f>
        <v>0</v>
      </c>
      <c r="DK174">
        <f>IF(circunfpanturr!65:65,"AAAAAHtkdXI=",0)</f>
        <v>0</v>
      </c>
      <c r="DL174">
        <f>IF(circunfpanturr!66:66,"AAAAAHtkdXM=",0)</f>
        <v>0</v>
      </c>
      <c r="DM174">
        <f>IF(circunfpanturr!67:67,"AAAAAHtkdXQ=",0)</f>
        <v>0</v>
      </c>
      <c r="DN174">
        <f>IF(circunfpanturr!68:68,"AAAAAHtkdXU=",0)</f>
        <v>0</v>
      </c>
      <c r="DO174">
        <f>IF(circunfpanturr!69:69,"AAAAAHtkdXY=",0)</f>
        <v>0</v>
      </c>
      <c r="DP174">
        <f>IF(circunfpanturr!70:70,"AAAAAHtkdXc=",0)</f>
        <v>0</v>
      </c>
      <c r="DQ174">
        <f>IF(circunfpanturr!71:71,"AAAAAHtkdXg=",0)</f>
        <v>0</v>
      </c>
      <c r="DR174">
        <f>IF(circunfpanturr!72:72,"AAAAAHtkdXk=",0)</f>
        <v>0</v>
      </c>
      <c r="DS174">
        <f>IF(circunfpanturr!73:73,"AAAAAHtkdXo=",0)</f>
        <v>0</v>
      </c>
      <c r="DT174">
        <f>IF(circunfpanturr!74:74,"AAAAAHtkdXs=",0)</f>
        <v>0</v>
      </c>
      <c r="DU174">
        <f>IF(circunfpanturr!75:75,"AAAAAHtkdXw=",0)</f>
        <v>0</v>
      </c>
      <c r="DV174">
        <f>IF(circunfpanturr!76:76,"AAAAAHtkdX0=",0)</f>
        <v>0</v>
      </c>
      <c r="DW174">
        <f>IF(circunfpanturr!77:77,"AAAAAHtkdX4=",0)</f>
        <v>0</v>
      </c>
      <c r="DX174">
        <f>IF(circunfpanturr!78:78,"AAAAAHtkdX8=",0)</f>
        <v>0</v>
      </c>
      <c r="DY174">
        <f>IF(circunfpanturr!79:79,"AAAAAHtkdYA=",0)</f>
        <v>0</v>
      </c>
      <c r="DZ174">
        <f>IF(circunfpanturr!80:80,"AAAAAHtkdYE=",0)</f>
        <v>0</v>
      </c>
      <c r="EA174">
        <f>IF(circunfpanturr!81:81,"AAAAAHtkdYI=",0)</f>
        <v>0</v>
      </c>
      <c r="EB174">
        <f>IF(circunfpanturr!82:82,"AAAAAHtkdYM=",0)</f>
        <v>0</v>
      </c>
      <c r="EC174">
        <f>IF(circunfpanturr!83:83,"AAAAAHtkdYQ=",0)</f>
        <v>0</v>
      </c>
      <c r="ED174">
        <f>IF(circunfpanturr!84:84,"AAAAAHtkdYU=",0)</f>
        <v>0</v>
      </c>
      <c r="EE174">
        <f>IF(circunfpanturr!85:85,"AAAAAHtkdYY=",0)</f>
        <v>0</v>
      </c>
      <c r="EF174">
        <f>IF(circunfpanturr!86:86,"AAAAAHtkdYc=",0)</f>
        <v>0</v>
      </c>
      <c r="EG174">
        <f>IF(circunfpanturr!87:87,"AAAAAHtkdYg=",0)</f>
        <v>0</v>
      </c>
      <c r="EH174">
        <f>IF(circunfpanturr!88:88,"AAAAAHtkdYk=",0)</f>
        <v>0</v>
      </c>
      <c r="EI174">
        <f>IF(circunfpanturr!89:89,"AAAAAHtkdYo=",0)</f>
        <v>0</v>
      </c>
      <c r="EJ174">
        <f>IF(circunfpanturr!90:90,"AAAAAHtkdYs=",0)</f>
        <v>0</v>
      </c>
      <c r="EK174">
        <f>IF(circunfpanturr!91:91,"AAAAAHtkdYw=",0)</f>
        <v>0</v>
      </c>
      <c r="EL174">
        <f>IF(circunfpanturr!92:92,"AAAAAHtkdY0=",0)</f>
        <v>0</v>
      </c>
      <c r="EM174">
        <f>IF(circunfpanturr!93:93,"AAAAAHtkdY4=",0)</f>
        <v>0</v>
      </c>
      <c r="EN174">
        <f>IF(circunfpanturr!94:94,"AAAAAHtkdY8=",0)</f>
        <v>0</v>
      </c>
      <c r="EO174">
        <f>IF(circunfpanturr!95:95,"AAAAAHtkdZA=",0)</f>
        <v>0</v>
      </c>
      <c r="EP174">
        <f>IF(circunfpanturr!96:96,"AAAAAHtkdZE=",0)</f>
        <v>0</v>
      </c>
      <c r="EQ174">
        <f>IF(circunfpanturr!97:97,"AAAAAHtkdZI=",0)</f>
        <v>0</v>
      </c>
      <c r="ER174">
        <f>IF(circunfpanturr!98:98,"AAAAAHtkdZM=",0)</f>
        <v>0</v>
      </c>
      <c r="ES174">
        <f>IF(circunfpanturr!99:99,"AAAAAHtkdZQ=",0)</f>
        <v>0</v>
      </c>
      <c r="ET174">
        <f>IF(circunfpanturr!100:100,"AAAAAHtkdZU=",0)</f>
        <v>0</v>
      </c>
      <c r="EU174">
        <f>IF(circunfpanturr!101:101,"AAAAAHtkdZY=",0)</f>
        <v>0</v>
      </c>
      <c r="EV174">
        <f>IF(circunfpanturr!102:102,"AAAAAHtkdZc=",0)</f>
        <v>0</v>
      </c>
      <c r="EW174">
        <f>IF(circunfpanturr!103:103,"AAAAAHtkdZg=",0)</f>
        <v>0</v>
      </c>
      <c r="EX174">
        <f>IF(circunfpanturr!104:104,"AAAAAHtkdZk=",0)</f>
        <v>0</v>
      </c>
      <c r="EY174">
        <f>IF(circunfpanturr!105:105,"AAAAAHtkdZo=",0)</f>
        <v>0</v>
      </c>
      <c r="EZ174">
        <f>IF(circunfpanturr!106:106,"AAAAAHtkdZs=",0)</f>
        <v>0</v>
      </c>
      <c r="FA174">
        <f>IF(circunfpanturr!107:107,"AAAAAHtkdZw=",0)</f>
        <v>0</v>
      </c>
      <c r="FB174">
        <f>IF(circunfpanturr!108:108,"AAAAAHtkdZ0=",0)</f>
        <v>0</v>
      </c>
      <c r="FC174">
        <f>IF(circunfpanturr!109:109,"AAAAAHtkdZ4=",0)</f>
        <v>0</v>
      </c>
      <c r="FD174">
        <f>IF(circunfpanturr!110:110,"AAAAAHtkdZ8=",0)</f>
        <v>0</v>
      </c>
      <c r="FE174">
        <f>IF(circunfpanturr!111:111,"AAAAAHtkdaA=",0)</f>
        <v>0</v>
      </c>
      <c r="FF174">
        <f>IF(circunfpanturr!112:112,"AAAAAHtkdaE=",0)</f>
        <v>0</v>
      </c>
      <c r="FG174">
        <f>IF(circunfpanturr!113:113,"AAAAAHtkdaI=",0)</f>
        <v>0</v>
      </c>
      <c r="FH174">
        <f>IF(circunfpanturr!114:114,"AAAAAHtkdaM=",0)</f>
        <v>0</v>
      </c>
      <c r="FI174">
        <f>IF(circunfpanturr!115:115,"AAAAAHtkdaQ=",0)</f>
        <v>0</v>
      </c>
      <c r="FJ174">
        <f>IF(circunfpanturr!116:116,"AAAAAHtkdaU=",0)</f>
        <v>0</v>
      </c>
      <c r="FK174">
        <f>IF(circunfpanturr!117:117,"AAAAAHtkdaY=",0)</f>
        <v>0</v>
      </c>
      <c r="FL174">
        <f>IF(circunfpanturr!118:118,"AAAAAHtkdac=",0)</f>
        <v>0</v>
      </c>
      <c r="FM174">
        <f>IF(circunfpanturr!119:119,"AAAAAHtkdag=",0)</f>
        <v>0</v>
      </c>
      <c r="FN174">
        <f>IF(circunfpanturr!120:120,"AAAAAHtkdak=",0)</f>
        <v>0</v>
      </c>
      <c r="FO174">
        <f>IF(circunfpanturr!121:121,"AAAAAHtkdao=",0)</f>
        <v>0</v>
      </c>
      <c r="FP174">
        <f>IF(circunfpanturr!122:122,"AAAAAHtkdas=",0)</f>
        <v>0</v>
      </c>
      <c r="FQ174">
        <f>IF(circunfpanturr!123:123,"AAAAAHtkdaw=",0)</f>
        <v>0</v>
      </c>
      <c r="FR174">
        <f>IF(circunfpanturr!124:124,"AAAAAHtkda0=",0)</f>
        <v>0</v>
      </c>
      <c r="FS174">
        <f>IF(circunfpanturr!125:125,"AAAAAHtkda4=",0)</f>
        <v>0</v>
      </c>
      <c r="FT174">
        <f>IF(circunfpanturr!126:126,"AAAAAHtkda8=",0)</f>
        <v>0</v>
      </c>
      <c r="FU174">
        <f>IF(circunfpanturr!127:127,"AAAAAHtkdbA=",0)</f>
        <v>0</v>
      </c>
      <c r="FV174">
        <f>IF(circunfpanturr!128:128,"AAAAAHtkdbE=",0)</f>
        <v>0</v>
      </c>
      <c r="FW174">
        <f>IF(circunfpanturr!129:129,"AAAAAHtkdbI=",0)</f>
        <v>0</v>
      </c>
      <c r="FX174">
        <f>IF(circunfpanturr!130:130,"AAAAAHtkdbM=",0)</f>
        <v>0</v>
      </c>
      <c r="FY174">
        <f>IF(circunfpanturr!131:131,"AAAAAHtkdbQ=",0)</f>
        <v>0</v>
      </c>
      <c r="FZ174">
        <f>IF(circunfpanturr!132:132,"AAAAAHtkdbU=",0)</f>
        <v>0</v>
      </c>
      <c r="GA174">
        <f>IF(circunfpanturr!133:133,"AAAAAHtkdbY=",0)</f>
        <v>0</v>
      </c>
      <c r="GB174">
        <f>IF(circunfpanturr!134:134,"AAAAAHtkdbc=",0)</f>
        <v>0</v>
      </c>
      <c r="GC174">
        <f>IF(circunfpanturr!135:135,"AAAAAHtkdbg=",0)</f>
        <v>0</v>
      </c>
      <c r="GD174">
        <f>IF(circunfpanturr!136:136,"AAAAAHtkdbk=",0)</f>
        <v>0</v>
      </c>
      <c r="GE174">
        <f>IF(circunfpanturr!137:137,"AAAAAHtkdbo=",0)</f>
        <v>0</v>
      </c>
      <c r="GF174">
        <f>IF(circunfpanturr!138:138,"AAAAAHtkdbs=",0)</f>
        <v>0</v>
      </c>
      <c r="GG174">
        <f>IF(circunfpanturr!139:139,"AAAAAHtkdbw=",0)</f>
        <v>0</v>
      </c>
      <c r="GH174">
        <f>IF(circunfpanturr!140:140,"AAAAAHtkdb0=",0)</f>
        <v>0</v>
      </c>
      <c r="GI174">
        <f>IF(circunfpanturr!141:141,"AAAAAHtkdb4=",0)</f>
        <v>0</v>
      </c>
      <c r="GJ174">
        <f>IF(circunfpanturr!142:142,"AAAAAHtkdb8=",0)</f>
        <v>0</v>
      </c>
      <c r="GK174">
        <f>IF(circunfpanturr!143:143,"AAAAAHtkdcA=",0)</f>
        <v>0</v>
      </c>
      <c r="GL174">
        <f>IF(circunfpanturr!144:144,"AAAAAHtkdcE=",0)</f>
        <v>0</v>
      </c>
      <c r="GM174">
        <f>IF(circunfpanturr!145:145,"AAAAAHtkdcI=",0)</f>
        <v>0</v>
      </c>
      <c r="GN174">
        <f>IF(circunfpanturr!146:146,"AAAAAHtkdcM=",0)</f>
        <v>0</v>
      </c>
      <c r="GO174">
        <f>IF(circunfpanturr!147:147,"AAAAAHtkdcQ=",0)</f>
        <v>0</v>
      </c>
      <c r="GP174">
        <f>IF(circunfpanturr!148:148,"AAAAAHtkdcU=",0)</f>
        <v>0</v>
      </c>
      <c r="GQ174">
        <f>IF(circunfpanturr!149:149,"AAAAAHtkdcY=",0)</f>
        <v>0</v>
      </c>
      <c r="GR174">
        <f>IF(circunfpanturr!150:150,"AAAAAHtkdcc=",0)</f>
        <v>0</v>
      </c>
      <c r="GS174">
        <f>IF(circunfpanturr!151:151,"AAAAAHtkdcg=",0)</f>
        <v>0</v>
      </c>
      <c r="GT174">
        <f>IF(circunfpanturr!152:152,"AAAAAHtkdck=",0)</f>
        <v>0</v>
      </c>
      <c r="GU174">
        <f>IF(circunfpanturr!153:153,"AAAAAHtkdco=",0)</f>
        <v>0</v>
      </c>
      <c r="GV174">
        <f>IF(circunfpanturr!154:154,"AAAAAHtkdcs=",0)</f>
        <v>0</v>
      </c>
      <c r="GW174">
        <f>IF(circunfpanturr!155:155,"AAAAAHtkdcw=",0)</f>
        <v>0</v>
      </c>
      <c r="GX174">
        <f>IF(circunfpanturr!156:156,"AAAAAHtkdc0=",0)</f>
        <v>0</v>
      </c>
      <c r="GY174">
        <f>IF(circunfpanturr!157:157,"AAAAAHtkdc4=",0)</f>
        <v>0</v>
      </c>
      <c r="GZ174">
        <f>IF(circunfpanturr!158:158,"AAAAAHtkdc8=",0)</f>
        <v>0</v>
      </c>
      <c r="HA174">
        <f>IF(circunfpanturr!159:159,"AAAAAHtkddA=",0)</f>
        <v>0</v>
      </c>
      <c r="HB174">
        <f>IF(circunfpanturr!160:160,"AAAAAHtkddE=",0)</f>
        <v>0</v>
      </c>
      <c r="HC174">
        <f>IF(circunfpanturr!161:161,"AAAAAHtkddI=",0)</f>
        <v>0</v>
      </c>
      <c r="HD174">
        <f>IF(circunfpanturr!162:162,"AAAAAHtkddM=",0)</f>
        <v>0</v>
      </c>
      <c r="HE174">
        <f>IF(circunfpanturr!163:163,"AAAAAHtkddQ=",0)</f>
        <v>0</v>
      </c>
      <c r="HF174">
        <f>IF(circunfpanturr!164:164,"AAAAAHtkddU=",0)</f>
        <v>0</v>
      </c>
      <c r="HG174">
        <f>IF(circunfpanturr!165:165,"AAAAAHtkddY=",0)</f>
        <v>0</v>
      </c>
      <c r="HH174">
        <f>IF(circunfpanturr!166:166,"AAAAAHtkddc=",0)</f>
        <v>0</v>
      </c>
      <c r="HI174">
        <f>IF(circunfpanturr!167:167,"AAAAAHtkddg=",0)</f>
        <v>0</v>
      </c>
      <c r="HJ174">
        <f>IF(circunfpanturr!168:168,"AAAAAHtkddk=",0)</f>
        <v>0</v>
      </c>
      <c r="HK174">
        <f>IF(circunfpanturr!169:169,"AAAAAHtkddo=",0)</f>
        <v>0</v>
      </c>
      <c r="HL174">
        <f>IF(circunfpanturr!170:170,"AAAAAHtkdds=",0)</f>
        <v>0</v>
      </c>
      <c r="HM174">
        <f>IF(circunfpanturr!171:171,"AAAAAHtkddw=",0)</f>
        <v>0</v>
      </c>
      <c r="HN174">
        <f>IF(circunfpanturr!172:172,"AAAAAHtkdd0=",0)</f>
        <v>0</v>
      </c>
      <c r="HO174">
        <f>IF(circunfpanturr!173:173,"AAAAAHtkdd4=",0)</f>
        <v>0</v>
      </c>
      <c r="HP174">
        <f>IF(circunfpanturr!174:174,"AAAAAHtkdd8=",0)</f>
        <v>0</v>
      </c>
      <c r="HQ174">
        <f>IF(circunfpanturr!175:175,"AAAAAHtkdeA=",0)</f>
        <v>0</v>
      </c>
      <c r="HR174">
        <f>IF(circunfpanturr!176:176,"AAAAAHtkdeE=",0)</f>
        <v>0</v>
      </c>
      <c r="HS174">
        <f>IF(circunfpanturr!177:177,"AAAAAHtkdeI=",0)</f>
        <v>0</v>
      </c>
      <c r="HT174">
        <f>IF(circunfpanturr!178:178,"AAAAAHtkdeM=",0)</f>
        <v>0</v>
      </c>
      <c r="HU174">
        <f>IF(circunfpanturr!179:179,"AAAAAHtkdeQ=",0)</f>
        <v>0</v>
      </c>
      <c r="HV174">
        <f>IF(circunfpanturr!180:180,"AAAAAHtkdeU=",0)</f>
        <v>0</v>
      </c>
      <c r="HW174">
        <f>IF(circunfpanturr!181:181,"AAAAAHtkdeY=",0)</f>
        <v>0</v>
      </c>
      <c r="HX174">
        <f>IF(circunfpanturr!182:182,"AAAAAHtkdec=",0)</f>
        <v>0</v>
      </c>
      <c r="HY174">
        <f>IF(circunfpanturr!183:183,"AAAAAHtkdeg=",0)</f>
        <v>0</v>
      </c>
      <c r="HZ174">
        <f>IF(circunfpanturr!184:184,"AAAAAHtkdek=",0)</f>
        <v>0</v>
      </c>
      <c r="IA174">
        <f>IF(circunfpanturr!185:185,"AAAAAHtkdeo=",0)</f>
        <v>0</v>
      </c>
      <c r="IB174">
        <f>IF(circunfpanturr!186:186,"AAAAAHtkdes=",0)</f>
        <v>0</v>
      </c>
      <c r="IC174">
        <f>IF(circunfpanturr!187:187,"AAAAAHtkdew=",0)</f>
        <v>0</v>
      </c>
      <c r="ID174">
        <f>IF(circunfpanturr!188:188,"AAAAAHtkde0=",0)</f>
        <v>0</v>
      </c>
      <c r="IE174">
        <f>IF(circunfpanturr!189:189,"AAAAAHtkde4=",0)</f>
        <v>0</v>
      </c>
      <c r="IF174">
        <f>IF(circunfpanturr!190:190,"AAAAAHtkde8=",0)</f>
        <v>0</v>
      </c>
      <c r="IG174">
        <f>IF(circunfpanturr!191:191,"AAAAAHtkdfA=",0)</f>
        <v>0</v>
      </c>
      <c r="IH174">
        <f>IF(circunfpanturr!192:192,"AAAAAHtkdfE=",0)</f>
        <v>0</v>
      </c>
      <c r="II174">
        <f>IF(circunfpanturr!193:193,"AAAAAHtkdfI=",0)</f>
        <v>0</v>
      </c>
      <c r="IJ174">
        <f>IF(circunfpanturr!194:194,"AAAAAHtkdfM=",0)</f>
        <v>0</v>
      </c>
      <c r="IK174">
        <f>IF(circunfpanturr!195:195,"AAAAAHtkdfQ=",0)</f>
        <v>0</v>
      </c>
      <c r="IL174">
        <f>IF(circunfpanturr!196:196,"AAAAAHtkdfU=",0)</f>
        <v>0</v>
      </c>
      <c r="IM174">
        <f>IF(circunfpanturr!197:197,"AAAAAHtkdfY=",0)</f>
        <v>0</v>
      </c>
      <c r="IN174">
        <f>IF(circunfpanturr!198:198,"AAAAAHtkdfc=",0)</f>
        <v>0</v>
      </c>
      <c r="IO174">
        <f>IF(circunfpanturr!199:199,"AAAAAHtkdfg=",0)</f>
        <v>0</v>
      </c>
      <c r="IP174">
        <f>IF(circunfpanturr!200:200,"AAAAAHtkdfk=",0)</f>
        <v>0</v>
      </c>
      <c r="IQ174">
        <f>IF(circunfpanturr!201:201,"AAAAAHtkdfo=",0)</f>
        <v>0</v>
      </c>
      <c r="IR174">
        <f>IF(circunfpanturr!202:202,"AAAAAHtkdfs=",0)</f>
        <v>0</v>
      </c>
      <c r="IS174">
        <f>IF(circunfpanturr!203:203,"AAAAAHtkdfw=",0)</f>
        <v>0</v>
      </c>
      <c r="IT174">
        <f>IF(circunfpanturr!204:204,"AAAAAHtkdf0=",0)</f>
        <v>0</v>
      </c>
      <c r="IU174">
        <f>IF(circunfpanturr!205:205,"AAAAAHtkdf4=",0)</f>
        <v>0</v>
      </c>
      <c r="IV174">
        <f>IF(circunfpanturr!A:A,"AAAAAHtkdf8=",0)</f>
        <v>0</v>
      </c>
    </row>
    <row r="175" spans="1:256" x14ac:dyDescent="0.2">
      <c r="A175">
        <f>IF(circunfpanturr!B:B,"AAAAAHeuywA=",0)</f>
        <v>0</v>
      </c>
      <c r="B175">
        <f>IF(circunfpanturr!C:C,"AAAAAHeuywE=",0)</f>
        <v>0</v>
      </c>
      <c r="C175">
        <f>IF(circunfpanturr!D:D,"AAAAAHeuywI=",0)</f>
        <v>0</v>
      </c>
      <c r="D175">
        <f>IF(circunfpanturr!E:E,"AAAAAHeuywM=",0)</f>
        <v>0</v>
      </c>
      <c r="E175">
        <f>IF(circunfpanturr!F:F,"AAAAAHeuywQ=",0)</f>
        <v>0</v>
      </c>
      <c r="F175">
        <f>IF(circunfpanturr!G:G,"AAAAAHeuywU=",0)</f>
        <v>0</v>
      </c>
      <c r="G175">
        <f>IF(circunfpanturr!H:H,"AAAAAHeuywY=",0)</f>
        <v>0</v>
      </c>
      <c r="H175">
        <f>IF(circunfpanturr!I:I,"AAAAAHeuywc=",0)</f>
        <v>0</v>
      </c>
      <c r="I175">
        <f>IF(circunfpanturr!J:J,"AAAAAHeuywg=",0)</f>
        <v>0</v>
      </c>
      <c r="J175">
        <f>IF(circunfpanturr!K:K,"AAAAAHeuywk=",0)</f>
        <v>0</v>
      </c>
      <c r="K175">
        <f>IF(circunfpanturr!L:L,"AAAAAHeuywo=",0)</f>
        <v>0</v>
      </c>
      <c r="L175">
        <f>IF(circunfpanturr!M:M,"AAAAAHeuyws=",0)</f>
        <v>0</v>
      </c>
      <c r="M175">
        <f>IF(circunfpanturr!N:N,"AAAAAHeuyww=",0)</f>
        <v>0</v>
      </c>
      <c r="N175">
        <f>IF(circunfpanturr!O:O,"AAAAAHeuyw0=",0)</f>
        <v>0</v>
      </c>
      <c r="O175">
        <f>IF(circunfpanturr!P:P,"AAAAAHeuyw4=",0)</f>
        <v>0</v>
      </c>
      <c r="P175">
        <f>IF(circunfpanturr!Q:Q,"AAAAAHeuyw8=",0)</f>
        <v>0</v>
      </c>
      <c r="Q175">
        <f>IF(circunfpanturr!R:R,"AAAAAHeuyxA=",0)</f>
        <v>0</v>
      </c>
      <c r="R175">
        <f>IF(circunfpanturr!S:S,"AAAAAHeuyxE=",0)</f>
        <v>0</v>
      </c>
      <c r="S175">
        <f>IF(circunfpanturr!T:T,"AAAAAHeuyxI=",0)</f>
        <v>0</v>
      </c>
      <c r="T175">
        <f>IF('altura do joelho'!1:1,"AAAAAHeuyxM=",0)</f>
        <v>0</v>
      </c>
      <c r="U175">
        <f>IF('altura do joelho'!2:2,"AAAAAHeuyxQ=",0)</f>
        <v>0</v>
      </c>
      <c r="V175">
        <f>IF('altura do joelho'!3:3,"AAAAAHeuyxU=",0)</f>
        <v>0</v>
      </c>
      <c r="W175">
        <f>IF('altura do joelho'!4:4,"AAAAAHeuyxY=",0)</f>
        <v>0</v>
      </c>
      <c r="X175">
        <f>IF('altura do joelho'!5:5,"AAAAAHeuyxc=",0)</f>
        <v>0</v>
      </c>
      <c r="Y175">
        <f>IF('altura do joelho'!6:6,"AAAAAHeuyxg=",0)</f>
        <v>0</v>
      </c>
      <c r="Z175">
        <f>IF('altura do joelho'!7:7,"AAAAAHeuyxk=",0)</f>
        <v>0</v>
      </c>
      <c r="AA175">
        <f>IF('altura do joelho'!8:8,"AAAAAHeuyxo=",0)</f>
        <v>0</v>
      </c>
      <c r="AB175">
        <f>IF('altura do joelho'!9:9,"AAAAAHeuyxs=",0)</f>
        <v>0</v>
      </c>
      <c r="AC175">
        <f>IF('altura do joelho'!10:10,"AAAAAHeuyxw=",0)</f>
        <v>0</v>
      </c>
      <c r="AD175">
        <f>IF('altura do joelho'!11:11,"AAAAAHeuyx0=",0)</f>
        <v>0</v>
      </c>
      <c r="AE175">
        <f>IF('altura do joelho'!12:12,"AAAAAHeuyx4=",0)</f>
        <v>0</v>
      </c>
      <c r="AF175">
        <f>IF('altura do joelho'!13:13,"AAAAAHeuyx8=",0)</f>
        <v>0</v>
      </c>
      <c r="AG175">
        <f>IF('altura do joelho'!14:14,"AAAAAHeuyyA=",0)</f>
        <v>0</v>
      </c>
      <c r="AH175">
        <f>IF('altura do joelho'!15:15,"AAAAAHeuyyE=",0)</f>
        <v>0</v>
      </c>
      <c r="AI175">
        <f>IF('altura do joelho'!16:16,"AAAAAHeuyyI=",0)</f>
        <v>0</v>
      </c>
      <c r="AJ175">
        <f>IF('altura do joelho'!17:17,"AAAAAHeuyyM=",0)</f>
        <v>0</v>
      </c>
      <c r="AK175">
        <f>IF('altura do joelho'!18:18,"AAAAAHeuyyQ=",0)</f>
        <v>0</v>
      </c>
      <c r="AL175">
        <f>IF('altura do joelho'!19:19,"AAAAAHeuyyU=",0)</f>
        <v>0</v>
      </c>
      <c r="AM175">
        <f>IF('altura do joelho'!20:20,"AAAAAHeuyyY=",0)</f>
        <v>0</v>
      </c>
      <c r="AN175">
        <f>IF('altura do joelho'!21:21,"AAAAAHeuyyc=",0)</f>
        <v>0</v>
      </c>
      <c r="AO175">
        <f>IF('altura do joelho'!22:22,"AAAAAHeuyyg=",0)</f>
        <v>0</v>
      </c>
      <c r="AP175">
        <f>IF('altura do joelho'!23:23,"AAAAAHeuyyk=",0)</f>
        <v>0</v>
      </c>
      <c r="AQ175">
        <f>IF('altura do joelho'!24:24,"AAAAAHeuyyo=",0)</f>
        <v>0</v>
      </c>
      <c r="AR175">
        <f>IF('altura do joelho'!25:25,"AAAAAHeuyys=",0)</f>
        <v>0</v>
      </c>
      <c r="AS175">
        <f>IF('altura do joelho'!26:26,"AAAAAHeuyyw=",0)</f>
        <v>0</v>
      </c>
      <c r="AT175">
        <f>IF('altura do joelho'!27:27,"AAAAAHeuyy0=",0)</f>
        <v>0</v>
      </c>
      <c r="AU175">
        <f>IF('altura do joelho'!28:28,"AAAAAHeuyy4=",0)</f>
        <v>0</v>
      </c>
      <c r="AV175">
        <f>IF('altura do joelho'!29:29,"AAAAAHeuyy8=",0)</f>
        <v>0</v>
      </c>
      <c r="AW175">
        <f>IF('altura do joelho'!30:30,"AAAAAHeuyzA=",0)</f>
        <v>0</v>
      </c>
      <c r="AX175">
        <f>IF('altura do joelho'!31:31,"AAAAAHeuyzE=",0)</f>
        <v>0</v>
      </c>
      <c r="AY175">
        <f>IF('altura do joelho'!32:32,"AAAAAHeuyzI=",0)</f>
        <v>0</v>
      </c>
      <c r="AZ175">
        <f>IF('altura do joelho'!33:33,"AAAAAHeuyzM=",0)</f>
        <v>0</v>
      </c>
      <c r="BA175">
        <f>IF('altura do joelho'!34:34,"AAAAAHeuyzQ=",0)</f>
        <v>0</v>
      </c>
      <c r="BB175">
        <f>IF('altura do joelho'!35:35,"AAAAAHeuyzU=",0)</f>
        <v>0</v>
      </c>
      <c r="BC175">
        <f>IF('altura do joelho'!36:36,"AAAAAHeuyzY=",0)</f>
        <v>0</v>
      </c>
      <c r="BD175">
        <f>IF('altura do joelho'!37:37,"AAAAAHeuyzc=",0)</f>
        <v>0</v>
      </c>
      <c r="BE175">
        <f>IF('altura do joelho'!38:38,"AAAAAHeuyzg=",0)</f>
        <v>0</v>
      </c>
      <c r="BF175">
        <f>IF('altura do joelho'!39:39,"AAAAAHeuyzk=",0)</f>
        <v>0</v>
      </c>
      <c r="BG175">
        <f>IF('altura do joelho'!40:40,"AAAAAHeuyzo=",0)</f>
        <v>0</v>
      </c>
      <c r="BH175">
        <f>IF('altura do joelho'!41:41,"AAAAAHeuyzs=",0)</f>
        <v>0</v>
      </c>
      <c r="BI175">
        <f>IF('altura do joelho'!42:42,"AAAAAHeuyzw=",0)</f>
        <v>0</v>
      </c>
      <c r="BJ175">
        <f>IF('altura do joelho'!43:43,"AAAAAHeuyz0=",0)</f>
        <v>0</v>
      </c>
      <c r="BK175">
        <f>IF('altura do joelho'!44:44,"AAAAAHeuyz4=",0)</f>
        <v>0</v>
      </c>
      <c r="BL175">
        <f>IF('altura do joelho'!45:45,"AAAAAHeuyz8=",0)</f>
        <v>0</v>
      </c>
      <c r="BM175">
        <f>IF('altura do joelho'!46:46,"AAAAAHeuy0A=",0)</f>
        <v>0</v>
      </c>
      <c r="BN175">
        <f>IF('altura do joelho'!47:47,"AAAAAHeuy0E=",0)</f>
        <v>0</v>
      </c>
      <c r="BO175">
        <f>IF('altura do joelho'!48:48,"AAAAAHeuy0I=",0)</f>
        <v>0</v>
      </c>
      <c r="BP175">
        <f>IF('altura do joelho'!49:49,"AAAAAHeuy0M=",0)</f>
        <v>0</v>
      </c>
      <c r="BQ175">
        <f>IF('altura do joelho'!50:50,"AAAAAHeuy0Q=",0)</f>
        <v>0</v>
      </c>
      <c r="BR175">
        <f>IF('altura do joelho'!51:51,"AAAAAHeuy0U=",0)</f>
        <v>0</v>
      </c>
      <c r="BS175">
        <f>IF('altura do joelho'!52:52,"AAAAAHeuy0Y=",0)</f>
        <v>0</v>
      </c>
      <c r="BT175">
        <f>IF('altura do joelho'!53:53,"AAAAAHeuy0c=",0)</f>
        <v>0</v>
      </c>
      <c r="BU175">
        <f>IF('altura do joelho'!54:54,"AAAAAHeuy0g=",0)</f>
        <v>0</v>
      </c>
      <c r="BV175">
        <f>IF('altura do joelho'!55:55,"AAAAAHeuy0k=",0)</f>
        <v>0</v>
      </c>
      <c r="BW175">
        <f>IF('altura do joelho'!56:56,"AAAAAHeuy0o=",0)</f>
        <v>0</v>
      </c>
      <c r="BX175">
        <f>IF('altura do joelho'!57:57,"AAAAAHeuy0s=",0)</f>
        <v>0</v>
      </c>
      <c r="BY175">
        <f>IF('altura do joelho'!58:58,"AAAAAHeuy0w=",0)</f>
        <v>0</v>
      </c>
      <c r="BZ175">
        <f>IF('altura do joelho'!59:59,"AAAAAHeuy00=",0)</f>
        <v>0</v>
      </c>
      <c r="CA175">
        <f>IF('altura do joelho'!60:60,"AAAAAHeuy04=",0)</f>
        <v>0</v>
      </c>
      <c r="CB175">
        <f>IF('altura do joelho'!61:61,"AAAAAHeuy08=",0)</f>
        <v>0</v>
      </c>
      <c r="CC175">
        <f>IF('altura do joelho'!62:62,"AAAAAHeuy1A=",0)</f>
        <v>0</v>
      </c>
      <c r="CD175">
        <f>IF('altura do joelho'!63:63,"AAAAAHeuy1E=",0)</f>
        <v>0</v>
      </c>
      <c r="CE175">
        <f>IF('altura do joelho'!A:A,"AAAAAHeuy1I=",0)</f>
        <v>0</v>
      </c>
      <c r="CF175">
        <f>IF('altura do joelho'!B:B,"AAAAAHeuy1M=",0)</f>
        <v>0</v>
      </c>
      <c r="CG175">
        <f>IF('altura do joelho'!C:C,"AAAAAHeuy1Q=",0)</f>
        <v>0</v>
      </c>
      <c r="CH175">
        <f>IF('altura do joelho'!D:D,"AAAAAHeuy1U=",0)</f>
        <v>0</v>
      </c>
      <c r="CI175">
        <f>IF('altura do joelho'!E:E,"AAAAAHeuy1Y=",0)</f>
        <v>0</v>
      </c>
      <c r="CJ175">
        <f>IF('altura do joelho'!F:F,"AAAAAHeuy1c=",0)</f>
        <v>0</v>
      </c>
      <c r="CK175">
        <f>IF('altura do joelho'!G:G,"AAAAAHeuy1g=",0)</f>
        <v>0</v>
      </c>
      <c r="CL175">
        <f>IF('altura do joelho'!H:H,"AAAAAHeuy1k=",0)</f>
        <v>0</v>
      </c>
      <c r="CM175">
        <f>IF('altura do joelho'!I:I,"AAAAAHeuy1o=",0)</f>
        <v>0</v>
      </c>
      <c r="CN175">
        <f>IF('altura do joelho'!J:J,"AAAAAHeuy1s=",0)</f>
        <v>0</v>
      </c>
      <c r="CO175">
        <f>IF('altura do joelho'!K:K,"AAAAAHeuy1w=",0)</f>
        <v>0</v>
      </c>
      <c r="CP175">
        <f>IF('altura do joelho'!L:L,"AAAAAHeuy10=",0)</f>
        <v>0</v>
      </c>
      <c r="CQ175">
        <f>IF('altura do joelho'!M:M,"AAAAAHeuy14=",0)</f>
        <v>0</v>
      </c>
      <c r="CR175">
        <f>IF('altura do joelho'!N:N,"AAAAAHeuy18=",0)</f>
        <v>0</v>
      </c>
      <c r="CS175">
        <f>IF('altura do joelho'!O:O,"AAAAAHeuy2A=",0)</f>
        <v>0</v>
      </c>
      <c r="CT175">
        <f>IF('altura do joelho'!P:P,"AAAAAHeuy2E=",0)</f>
        <v>0</v>
      </c>
      <c r="CU175">
        <f>IF('altura do joelho'!Q:Q,"AAAAAHeuy2I=",0)</f>
        <v>0</v>
      </c>
      <c r="CV175">
        <f>IF('altura do joelho'!R:R,"AAAAAHeuy2M=",0)</f>
        <v>0</v>
      </c>
      <c r="CW175">
        <f>IF('altura do joelho'!S:S,"AAAAAHeuy2Q=",0)</f>
        <v>0</v>
      </c>
      <c r="CX175">
        <f>IF('altura do joelho'!T:T,"AAAAAHeuy2U=",0)</f>
        <v>0</v>
      </c>
      <c r="CY175">
        <f>IF('altura do joelho'!U:U,"AAAAAHeuy2Y=",0)</f>
        <v>0</v>
      </c>
      <c r="CZ175">
        <f>IF('altura do joelho'!V:V,"AAAAAHeuy2c=",0)</f>
        <v>0</v>
      </c>
      <c r="DA175">
        <f>IF('altura do joelho'!W:W,"AAAAAHeuy2g=",0)</f>
        <v>0</v>
      </c>
      <c r="DB175">
        <f>IF('altura do joelho'!X:X,"AAAAAHeuy2k=",0)</f>
        <v>0</v>
      </c>
      <c r="DC175">
        <f>IF('altura do joelho'!Y:Y,"AAAAAHeuy2o=",0)</f>
        <v>0</v>
      </c>
      <c r="DD175">
        <f>IF('altura do joelho'!Z:Z,"AAAAAHeuy2s=",0)</f>
        <v>0</v>
      </c>
      <c r="DE175">
        <f>IF('altura do joelho'!AA:AA,"AAAAAHeuy2w=",0)</f>
        <v>0</v>
      </c>
      <c r="DF175">
        <f>IF('altura do joelho'!AB:AB,"AAAAAHeuy20=",0)</f>
        <v>0</v>
      </c>
      <c r="DG175">
        <f>IF('altura do joelho'!AC:AC,"AAAAAHeuy24=",0)</f>
        <v>0</v>
      </c>
      <c r="DH175">
        <f>IF('altura do joelho'!AD:AD,"AAAAAHeuy28=",0)</f>
        <v>0</v>
      </c>
      <c r="DI175">
        <f>IF('altura do joelho'!AE:AE,"AAAAAHeuy3A=",0)</f>
        <v>0</v>
      </c>
      <c r="DJ175">
        <f>IF('altura do joelho'!AF:AF,"AAAAAHeuy3E=",0)</f>
        <v>0</v>
      </c>
      <c r="DK175">
        <f>IF('altura do joelho'!AG:AG,"AAAAAHeuy3I=",0)</f>
        <v>0</v>
      </c>
      <c r="DL175">
        <f>IF('altura do joelho'!AH:AH,"AAAAAHeuy3M=",0)</f>
        <v>0</v>
      </c>
      <c r="DM175">
        <f>IF('altura do joelho'!AI:AI,"AAAAAHeuy3Q=",0)</f>
        <v>0</v>
      </c>
      <c r="DN175">
        <f>IF('altura do joelho'!AJ:AJ,"AAAAAHeuy3U=",0)</f>
        <v>0</v>
      </c>
      <c r="DO175">
        <f>IF('altura do joelho'!AK:AK,"AAAAAHeuy3Y=",0)</f>
        <v>0</v>
      </c>
      <c r="DP175">
        <f>IF('altura do joelho'!AL:AL,"AAAAAHeuy3c=",0)</f>
        <v>0</v>
      </c>
      <c r="DQ175">
        <f>IF('altura do joelho'!AM:AM,"AAAAAHeuy3g=",0)</f>
        <v>0</v>
      </c>
      <c r="DR175">
        <f>IF('altura do joelho'!AN:AN,"AAAAAHeuy3k=",0)</f>
        <v>0</v>
      </c>
      <c r="DS175">
        <f>IF(outra!1:1,"AAAAAHeuy3o=",0)</f>
        <v>0</v>
      </c>
      <c r="DT175">
        <f>IF(outra!2:2,"AAAAAHeuy3s=",0)</f>
        <v>0</v>
      </c>
      <c r="DU175">
        <f>IF(outra!3:3,"AAAAAHeuy3w=",0)</f>
        <v>0</v>
      </c>
      <c r="DV175">
        <f>IF(outra!4:4,"AAAAAHeuy30=",0)</f>
        <v>0</v>
      </c>
      <c r="DW175">
        <f>IF(outra!5:5,"AAAAAHeuy34=",0)</f>
        <v>0</v>
      </c>
      <c r="DX175">
        <f>IF(outra!6:6,"AAAAAHeuy38=",0)</f>
        <v>0</v>
      </c>
      <c r="DY175">
        <f>IF(outra!7:7,"AAAAAHeuy4A=",0)</f>
        <v>0</v>
      </c>
      <c r="DZ175">
        <f>IF(outra!8:8,"AAAAAHeuy4E=",0)</f>
        <v>0</v>
      </c>
      <c r="EA175">
        <f>IF(outra!9:9,"AAAAAHeuy4I=",0)</f>
        <v>0</v>
      </c>
      <c r="EB175">
        <f>IF(outra!10:10,"AAAAAHeuy4M=",0)</f>
        <v>0</v>
      </c>
      <c r="EC175">
        <f>IF(outra!11:11,"AAAAAHeuy4Q=",0)</f>
        <v>0</v>
      </c>
      <c r="ED175">
        <f>IF(outra!12:12,"AAAAAHeuy4U=",0)</f>
        <v>0</v>
      </c>
      <c r="EE175">
        <f>IF(outra!13:13,"AAAAAHeuy4Y=",0)</f>
        <v>0</v>
      </c>
      <c r="EF175">
        <f>IF(outra!14:14,"AAAAAHeuy4c=",0)</f>
        <v>0</v>
      </c>
      <c r="EG175">
        <f>IF(outra!15:15,"AAAAAHeuy4g=",0)</f>
        <v>0</v>
      </c>
      <c r="EH175">
        <f>IF(outra!16:16,"AAAAAHeuy4k=",0)</f>
        <v>0</v>
      </c>
      <c r="EI175">
        <f>IF(outra!17:17,"AAAAAHeuy4o=",0)</f>
        <v>0</v>
      </c>
      <c r="EJ175">
        <f>IF(outra!18:18,"AAAAAHeuy4s=",0)</f>
        <v>0</v>
      </c>
      <c r="EK175">
        <f>IF(outra!19:19,"AAAAAHeuy4w=",0)</f>
        <v>0</v>
      </c>
      <c r="EL175">
        <f>IF(outra!20:20,"AAAAAHeuy40=",0)</f>
        <v>0</v>
      </c>
      <c r="EM175">
        <f>IF(outra!21:21,"AAAAAHeuy44=",0)</f>
        <v>0</v>
      </c>
      <c r="EN175">
        <f>IF(outra!22:22,"AAAAAHeuy48=",0)</f>
        <v>0</v>
      </c>
      <c r="EO175">
        <f>IF(outra!23:23,"AAAAAHeuy5A=",0)</f>
        <v>0</v>
      </c>
      <c r="EP175">
        <f>IF(outra!24:24,"AAAAAHeuy5E=",0)</f>
        <v>0</v>
      </c>
      <c r="EQ175">
        <f>IF(outra!25:25,"AAAAAHeuy5I=",0)</f>
        <v>0</v>
      </c>
      <c r="ER175">
        <f>IF(outra!26:26,"AAAAAHeuy5M=",0)</f>
        <v>0</v>
      </c>
      <c r="ES175">
        <f>IF(outra!27:27,"AAAAAHeuy5Q=",0)</f>
        <v>0</v>
      </c>
      <c r="ET175">
        <f>IF(outra!28:28,"AAAAAHeuy5U=",0)</f>
        <v>0</v>
      </c>
      <c r="EU175">
        <f>IF(outra!29:29,"AAAAAHeuy5Y=",0)</f>
        <v>0</v>
      </c>
      <c r="EV175">
        <f>IF(outra!30:30,"AAAAAHeuy5c=",0)</f>
        <v>0</v>
      </c>
      <c r="EW175">
        <f>IF(outra!31:31,"AAAAAHeuy5g=",0)</f>
        <v>0</v>
      </c>
      <c r="EX175">
        <f>IF(outra!32:32,"AAAAAHeuy5k=",0)</f>
        <v>0</v>
      </c>
      <c r="EY175">
        <f>IF(outra!33:33,"AAAAAHeuy5o=",0)</f>
        <v>0</v>
      </c>
      <c r="EZ175">
        <f>IF(outra!34:34,"AAAAAHeuy5s=",0)</f>
        <v>0</v>
      </c>
      <c r="FA175">
        <f>IF(outra!35:35,"AAAAAHeuy5w=",0)</f>
        <v>0</v>
      </c>
      <c r="FB175">
        <f>IF(outra!36:36,"AAAAAHeuy50=",0)</f>
        <v>0</v>
      </c>
      <c r="FC175">
        <f>IF(outra!37:37,"AAAAAHeuy54=",0)</f>
        <v>0</v>
      </c>
      <c r="FD175">
        <f>IF(outra!38:38,"AAAAAHeuy58=",0)</f>
        <v>0</v>
      </c>
      <c r="FE175">
        <f>IF(outra!39:39,"AAAAAHeuy6A=",0)</f>
        <v>0</v>
      </c>
      <c r="FF175">
        <f>IF(outra!40:40,"AAAAAHeuy6E=",0)</f>
        <v>0</v>
      </c>
      <c r="FG175">
        <f>IF(outra!41:41,"AAAAAHeuy6I=",0)</f>
        <v>0</v>
      </c>
      <c r="FH175">
        <f>IF(outra!42:42,"AAAAAHeuy6M=",0)</f>
        <v>0</v>
      </c>
      <c r="FI175">
        <f>IF(outra!43:43,"AAAAAHeuy6Q=",0)</f>
        <v>0</v>
      </c>
      <c r="FJ175">
        <f>IF(outra!44:44,"AAAAAHeuy6U=",0)</f>
        <v>0</v>
      </c>
      <c r="FK175">
        <f>IF(outra!45:45,"AAAAAHeuy6Y=",0)</f>
        <v>0</v>
      </c>
      <c r="FL175">
        <f>IF(outra!46:46,"AAAAAHeuy6c=",0)</f>
        <v>0</v>
      </c>
      <c r="FM175">
        <f>IF(outra!47:47,"AAAAAHeuy6g=",0)</f>
        <v>0</v>
      </c>
      <c r="FN175">
        <f>IF(outra!48:48,"AAAAAHeuy6k=",0)</f>
        <v>0</v>
      </c>
      <c r="FO175">
        <f>IF(outra!49:49,"AAAAAHeuy6o=",0)</f>
        <v>0</v>
      </c>
      <c r="FP175">
        <f>IF(outra!50:50,"AAAAAHeuy6s=",0)</f>
        <v>0</v>
      </c>
      <c r="FQ175">
        <f>IF(outra!51:51,"AAAAAHeuy6w=",0)</f>
        <v>0</v>
      </c>
      <c r="FR175">
        <f>IF(outra!52:52,"AAAAAHeuy60=",0)</f>
        <v>0</v>
      </c>
      <c r="FS175">
        <f>IF(outra!53:53,"AAAAAHeuy64=",0)</f>
        <v>0</v>
      </c>
      <c r="FT175">
        <f>IF(outra!54:54,"AAAAAHeuy68=",0)</f>
        <v>0</v>
      </c>
      <c r="FU175">
        <f>IF(outra!55:55,"AAAAAHeuy7A=",0)</f>
        <v>0</v>
      </c>
      <c r="FV175">
        <f>IF(outra!56:56,"AAAAAHeuy7E=",0)</f>
        <v>0</v>
      </c>
      <c r="FW175">
        <f>IF(outra!57:57,"AAAAAHeuy7I=",0)</f>
        <v>0</v>
      </c>
      <c r="FX175">
        <f>IF(outra!58:58,"AAAAAHeuy7M=",0)</f>
        <v>0</v>
      </c>
      <c r="FY175">
        <f>IF(outra!59:59,"AAAAAHeuy7Q=",0)</f>
        <v>0</v>
      </c>
      <c r="FZ175">
        <f>IF(outra!60:60,"AAAAAHeuy7U=",0)</f>
        <v>0</v>
      </c>
      <c r="GA175">
        <f>IF(outra!61:61,"AAAAAHeuy7Y=",0)</f>
        <v>0</v>
      </c>
      <c r="GB175">
        <f>IF(outra!62:62,"AAAAAHeuy7c=",0)</f>
        <v>0</v>
      </c>
      <c r="GC175">
        <f>IF(outra!63:63,"AAAAAHeuy7g=",0)</f>
        <v>0</v>
      </c>
      <c r="GD175">
        <f>IF(outra!64:64,"AAAAAHeuy7k=",0)</f>
        <v>0</v>
      </c>
      <c r="GE175">
        <f>IF(outra!65:65,"AAAAAHeuy7o=",0)</f>
        <v>0</v>
      </c>
      <c r="GF175">
        <f>IF(outra!66:66,"AAAAAHeuy7s=",0)</f>
        <v>0</v>
      </c>
      <c r="GG175">
        <f>IF(outra!67:67,"AAAAAHeuy7w=",0)</f>
        <v>0</v>
      </c>
      <c r="GH175">
        <f>IF(outra!68:68,"AAAAAHeuy70=",0)</f>
        <v>0</v>
      </c>
      <c r="GI175">
        <f>IF(outra!69:69,"AAAAAHeuy74=",0)</f>
        <v>0</v>
      </c>
      <c r="GJ175">
        <f>IF(outra!70:70,"AAAAAHeuy78=",0)</f>
        <v>0</v>
      </c>
      <c r="GK175">
        <f>IF(outra!71:71,"AAAAAHeuy8A=",0)</f>
        <v>0</v>
      </c>
      <c r="GL175">
        <f>IF(outra!72:72,"AAAAAHeuy8E=",0)</f>
        <v>0</v>
      </c>
      <c r="GM175">
        <f>IF(outra!73:73,"AAAAAHeuy8I=",0)</f>
        <v>0</v>
      </c>
      <c r="GN175">
        <f>IF(outra!74:74,"AAAAAHeuy8M=",0)</f>
        <v>0</v>
      </c>
      <c r="GO175">
        <f>IF(outra!75:75,"AAAAAHeuy8Q=",0)</f>
        <v>0</v>
      </c>
      <c r="GP175">
        <f>IF(outra!76:76,"AAAAAHeuy8U=",0)</f>
        <v>0</v>
      </c>
      <c r="GQ175">
        <f>IF(outra!77:77,"AAAAAHeuy8Y=",0)</f>
        <v>0</v>
      </c>
      <c r="GR175">
        <f>IF(outra!78:78,"AAAAAHeuy8c=",0)</f>
        <v>0</v>
      </c>
      <c r="GS175">
        <f>IF(outra!79:79,"AAAAAHeuy8g=",0)</f>
        <v>0</v>
      </c>
      <c r="GT175">
        <f>IF(outra!80:80,"AAAAAHeuy8k=",0)</f>
        <v>0</v>
      </c>
      <c r="GU175">
        <f>IF(outra!81:81,"AAAAAHeuy8o=",0)</f>
        <v>0</v>
      </c>
      <c r="GV175">
        <f>IF(outra!82:82,"AAAAAHeuy8s=",0)</f>
        <v>0</v>
      </c>
      <c r="GW175">
        <f>IF(outra!83:83,"AAAAAHeuy8w=",0)</f>
        <v>0</v>
      </c>
      <c r="GX175">
        <f>IF(outra!84:84,"AAAAAHeuy80=",0)</f>
        <v>0</v>
      </c>
      <c r="GY175">
        <f>IF(outra!85:85,"AAAAAHeuy84=",0)</f>
        <v>0</v>
      </c>
      <c r="GZ175">
        <f>IF(outra!86:86,"AAAAAHeuy88=",0)</f>
        <v>0</v>
      </c>
      <c r="HA175">
        <f>IF(outra!87:87,"AAAAAHeuy9A=",0)</f>
        <v>0</v>
      </c>
      <c r="HB175">
        <f>IF(outra!88:88,"AAAAAHeuy9E=",0)</f>
        <v>0</v>
      </c>
      <c r="HC175">
        <f>IF(outra!89:89,"AAAAAHeuy9I=",0)</f>
        <v>0</v>
      </c>
      <c r="HD175">
        <f>IF(outra!90:90,"AAAAAHeuy9M=",0)</f>
        <v>0</v>
      </c>
      <c r="HE175">
        <f>IF(outra!91:91,"AAAAAHeuy9Q=",0)</f>
        <v>0</v>
      </c>
      <c r="HF175">
        <f>IF(outra!92:92,"AAAAAHeuy9U=",0)</f>
        <v>0</v>
      </c>
      <c r="HG175">
        <f>IF(outra!93:93,"AAAAAHeuy9Y=",0)</f>
        <v>0</v>
      </c>
      <c r="HH175">
        <f>IF(outra!94:94,"AAAAAHeuy9c=",0)</f>
        <v>0</v>
      </c>
      <c r="HI175">
        <f>IF(outra!95:95,"AAAAAHeuy9g=",0)</f>
        <v>0</v>
      </c>
      <c r="HJ175">
        <f>IF(outra!96:96,"AAAAAHeuy9k=",0)</f>
        <v>0</v>
      </c>
      <c r="HK175">
        <f>IF(outra!97:97,"AAAAAHeuy9o=",0)</f>
        <v>0</v>
      </c>
      <c r="HL175">
        <f>IF(outra!98:98,"AAAAAHeuy9s=",0)</f>
        <v>0</v>
      </c>
      <c r="HM175">
        <f>IF(outra!99:99,"AAAAAHeuy9w=",0)</f>
        <v>0</v>
      </c>
      <c r="HN175">
        <f>IF(outra!100:100,"AAAAAHeuy90=",0)</f>
        <v>0</v>
      </c>
      <c r="HO175">
        <f>IF(outra!101:101,"AAAAAHeuy94=",0)</f>
        <v>0</v>
      </c>
      <c r="HP175">
        <f>IF(outra!102:102,"AAAAAHeuy98=",0)</f>
        <v>0</v>
      </c>
      <c r="HQ175">
        <f>IF(outra!103:103,"AAAAAHeuy+A=",0)</f>
        <v>0</v>
      </c>
      <c r="HR175">
        <f>IF(outra!104:104,"AAAAAHeuy+E=",0)</f>
        <v>0</v>
      </c>
      <c r="HS175">
        <f>IF(outra!105:105,"AAAAAHeuy+I=",0)</f>
        <v>0</v>
      </c>
      <c r="HT175">
        <f>IF(outra!106:106,"AAAAAHeuy+M=",0)</f>
        <v>0</v>
      </c>
      <c r="HU175">
        <f>IF(outra!107:107,"AAAAAHeuy+Q=",0)</f>
        <v>0</v>
      </c>
      <c r="HV175">
        <f>IF(outra!108:108,"AAAAAHeuy+U=",0)</f>
        <v>0</v>
      </c>
      <c r="HW175">
        <f>IF(outra!109:109,"AAAAAHeuy+Y=",0)</f>
        <v>0</v>
      </c>
      <c r="HX175">
        <f>IF(outra!110:110,"AAAAAHeuy+c=",0)</f>
        <v>0</v>
      </c>
      <c r="HY175">
        <f>IF(outra!111:111,"AAAAAHeuy+g=",0)</f>
        <v>0</v>
      </c>
      <c r="HZ175">
        <f>IF(outra!112:112,"AAAAAHeuy+k=",0)</f>
        <v>0</v>
      </c>
      <c r="IA175">
        <f>IF(outra!113:113,"AAAAAHeuy+o=",0)</f>
        <v>0</v>
      </c>
      <c r="IB175">
        <f>IF(outra!114:114,"AAAAAHeuy+s=",0)</f>
        <v>0</v>
      </c>
      <c r="IC175">
        <f>IF(outra!115:115,"AAAAAHeuy+w=",0)</f>
        <v>0</v>
      </c>
      <c r="ID175">
        <f>IF(outra!116:116,"AAAAAHeuy+0=",0)</f>
        <v>0</v>
      </c>
      <c r="IE175">
        <f>IF(outra!117:117,"AAAAAHeuy+4=",0)</f>
        <v>0</v>
      </c>
      <c r="IF175">
        <f>IF(outra!118:118,"AAAAAHeuy+8=",0)</f>
        <v>0</v>
      </c>
      <c r="IG175">
        <f>IF(outra!119:119,"AAAAAHeuy/A=",0)</f>
        <v>0</v>
      </c>
      <c r="IH175">
        <f>IF(outra!120:120,"AAAAAHeuy/E=",0)</f>
        <v>0</v>
      </c>
      <c r="II175">
        <f>IF(outra!121:121,"AAAAAHeuy/I=",0)</f>
        <v>0</v>
      </c>
      <c r="IJ175">
        <f>IF(outra!122:122,"AAAAAHeuy/M=",0)</f>
        <v>0</v>
      </c>
      <c r="IK175">
        <f>IF(outra!123:123,"AAAAAHeuy/Q=",0)</f>
        <v>0</v>
      </c>
      <c r="IL175">
        <f>IF(outra!124:124,"AAAAAHeuy/U=",0)</f>
        <v>0</v>
      </c>
      <c r="IM175">
        <f>IF(outra!125:125,"AAAAAHeuy/Y=",0)</f>
        <v>0</v>
      </c>
      <c r="IN175">
        <f>IF(outra!126:126,"AAAAAHeuy/c=",0)</f>
        <v>0</v>
      </c>
      <c r="IO175">
        <f>IF(outra!127:127,"AAAAAHeuy/g=",0)</f>
        <v>0</v>
      </c>
      <c r="IP175">
        <f>IF(outra!128:128,"AAAAAHeuy/k=",0)</f>
        <v>0</v>
      </c>
      <c r="IQ175">
        <f>IF(outra!129:129,"AAAAAHeuy/o=",0)</f>
        <v>0</v>
      </c>
      <c r="IR175">
        <f>IF(outra!130:130,"AAAAAHeuy/s=",0)</f>
        <v>0</v>
      </c>
      <c r="IS175">
        <f>IF(outra!131:131,"AAAAAHeuy/w=",0)</f>
        <v>0</v>
      </c>
      <c r="IT175">
        <f>IF(outra!132:132,"AAAAAHeuy/0=",0)</f>
        <v>0</v>
      </c>
      <c r="IU175">
        <f>IF(outra!133:133,"AAAAAHeuy/4=",0)</f>
        <v>0</v>
      </c>
      <c r="IV175">
        <f>IF(outra!134:134,"AAAAAHeuy/8=",0)</f>
        <v>0</v>
      </c>
    </row>
    <row r="176" spans="1:256" ht="14.25" x14ac:dyDescent="0.2">
      <c r="A176">
        <f>IF(outra!135:135,"AAAAAD7udQA=",0)</f>
        <v>0</v>
      </c>
      <c r="B176">
        <f>IF(outra!A:A,"AAAAAD7udQE=",0)</f>
        <v>0</v>
      </c>
      <c r="C176">
        <f>IF(outra!B:B,"AAAAAD7udQI=",0)</f>
        <v>0</v>
      </c>
      <c r="D176">
        <f>IF(outra!C:C,"AAAAAD7udQM=",0)</f>
        <v>0</v>
      </c>
      <c r="E176">
        <f>IF(outra!D:D,"AAAAAD7udQQ=",0)</f>
        <v>0</v>
      </c>
      <c r="F176">
        <f>IF(outra!E:E,"AAAAAD7udQU=",0)</f>
        <v>0</v>
      </c>
      <c r="G176">
        <f>IF(outra!F:F,"AAAAAD7udQY=",0)</f>
        <v>0</v>
      </c>
      <c r="H176">
        <f>IF(outra!G:G,"AAAAAD7udQc=",0)</f>
        <v>0</v>
      </c>
      <c r="I176">
        <f>IF(outra!H:H,"AAAAAD7udQg=",0)</f>
        <v>0</v>
      </c>
      <c r="J176">
        <f>IF(outra!I:I,"AAAAAD7udQk=",0)</f>
        <v>0</v>
      </c>
      <c r="K176">
        <f>IF(outra!J:J,"AAAAAD7udQo=",0)</f>
        <v>0</v>
      </c>
      <c r="L176">
        <f>IF(outra!K:K,"AAAAAD7udQs=",0)</f>
        <v>0</v>
      </c>
      <c r="M176">
        <f>IF(outra!L:L,"AAAAAD7udQw=",0)</f>
        <v>0</v>
      </c>
      <c r="N176">
        <f>IF(outra!M:M,"AAAAAD7udQ0=",0)</f>
        <v>0</v>
      </c>
      <c r="O176">
        <f>IF(outra!N:N,"AAAAAD7udQ4=",0)</f>
        <v>0</v>
      </c>
      <c r="P176">
        <f>IF(outra!O:O,"AAAAAD7udQ8=",0)</f>
        <v>0</v>
      </c>
      <c r="Q176">
        <f>IF(outra!P:P,"AAAAAD7udRA=",0)</f>
        <v>0</v>
      </c>
      <c r="R176">
        <f>IF(outra!Q:Q,"AAAAAD7udRE=",0)</f>
        <v>0</v>
      </c>
      <c r="S176">
        <f>IF(outra!R:R,"AAAAAD7udRI=",0)</f>
        <v>0</v>
      </c>
      <c r="T176">
        <f>IF(outra!S:S,"AAAAAD7udRM=",0)</f>
        <v>0</v>
      </c>
      <c r="U176">
        <f>IF(outra!T:T,"AAAAAD7udRQ=",0)</f>
        <v>0</v>
      </c>
      <c r="V176">
        <f>IF(Plan2!1:1,"AAAAAD7udRU=",0)</f>
        <v>0</v>
      </c>
      <c r="W176" t="e">
        <f>AND(Plan2!A1,"AAAAAD7udRY=")</f>
        <v>#VALUE!</v>
      </c>
      <c r="X176">
        <f>IF(Plan2!A:A,"AAAAAD7udRc=",0)</f>
        <v>0</v>
      </c>
      <c r="Y176" s="35" t="s">
        <v>33</v>
      </c>
      <c r="Z176" t="s">
        <v>34</v>
      </c>
      <c r="AA176" s="36" t="s">
        <v>35</v>
      </c>
      <c r="AB176" t="e">
        <f>IF("N",resultados!_xlnm._FilterDatabase,"AAAAAD7udRs=")</f>
        <v>#VALUE!</v>
      </c>
    </row>
    <row r="177" spans="1:1" x14ac:dyDescent="0.2">
      <c r="A177" t="e">
        <f>IF("N",resultados!_xlnm._FilterDatabase,"AAAAAHn2twA=")</f>
        <v>#VALUE!</v>
      </c>
    </row>
    <row r="178" spans="1:1" x14ac:dyDescent="0.2">
      <c r="A178" t="e">
        <f>IF("N",resultados!_xlnm._FilterDatabase,"AAAAAD9fewA=")</f>
        <v>#VALUE!</v>
      </c>
    </row>
    <row r="179" spans="1:1" x14ac:dyDescent="0.2">
      <c r="A179" t="e">
        <f>IF("N",resultados!_xlnm._FilterDatabase,"AAAAAHbcuwA=")</f>
        <v>#VALUE!</v>
      </c>
    </row>
    <row r="180" spans="1:1" x14ac:dyDescent="0.2">
      <c r="A180" t="e">
        <f>IF("N",resultados!_xlnm._FilterDatabase,"AAAAAF3ufwA=")</f>
        <v>#VALUE!</v>
      </c>
    </row>
    <row r="181" spans="1:1" x14ac:dyDescent="0.2">
      <c r="A181" t="e">
        <f>IF("N",resultados!_xlnm._FilterDatabase,"AAAAAD8f8QA=")</f>
        <v>#VALUE!</v>
      </c>
    </row>
    <row r="182" spans="1:1" x14ac:dyDescent="0.2">
      <c r="A182" t="e">
        <f>IF("N",resultados!_xlnm._FilterDatabase,"AAAAAC7v/wA=")</f>
        <v>#VALUE!</v>
      </c>
    </row>
    <row r="183" spans="1:1" x14ac:dyDescent="0.2">
      <c r="A183" t="e">
        <f>IF("N",resultados!_xlnm._FilterDatabase,"AAAAAH/maQA=")</f>
        <v>#VALUE!</v>
      </c>
    </row>
    <row r="184" spans="1:1" x14ac:dyDescent="0.2">
      <c r="A184" t="e">
        <f>IF("N",resultados!_xlnm._FilterDatabase,"AAAAABf1HwA=")</f>
        <v>#VALUE!</v>
      </c>
    </row>
    <row r="185" spans="1:1" x14ac:dyDescent="0.2">
      <c r="A185" t="e">
        <f>IF("N",resultados!_xlnm._FilterDatabase,"AAAAADvcXwA=")</f>
        <v>#VALUE!</v>
      </c>
    </row>
  </sheetData>
  <pageMargins left="0.511811024" right="0.511811024" top="0.78740157499999996" bottom="0.78740157499999996" header="0.31496062000000002" footer="0.31496062000000002"/>
  <customProperties>
    <customPr name="DVSECTION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A96"/>
  <sheetViews>
    <sheetView workbookViewId="0"/>
  </sheetViews>
  <sheetFormatPr defaultRowHeight="12.75" x14ac:dyDescent="0.2"/>
  <sheetData>
    <row r="1" s="1" customFormat="1" x14ac:dyDescent="0.2"/>
    <row r="2" s="1" customFormat="1" x14ac:dyDescent="0.2"/>
    <row r="3" s="1" customFormat="1" x14ac:dyDescent="0.2"/>
    <row r="4" s="1" customFormat="1" x14ac:dyDescent="0.2"/>
    <row r="5" s="1" customFormat="1" x14ac:dyDescent="0.2"/>
    <row r="6" s="1" customFormat="1" x14ac:dyDescent="0.2"/>
    <row r="7" s="1" customFormat="1" x14ac:dyDescent="0.2"/>
    <row r="8" s="1" customFormat="1" x14ac:dyDescent="0.2"/>
    <row r="9" s="1" customFormat="1" x14ac:dyDescent="0.2"/>
    <row r="10" s="1" customFormat="1" x14ac:dyDescent="0.2"/>
    <row r="11" s="1" customFormat="1" x14ac:dyDescent="0.2"/>
    <row r="12" s="1" customFormat="1" x14ac:dyDescent="0.2"/>
    <row r="13" s="1" customFormat="1" x14ac:dyDescent="0.2"/>
    <row r="14" s="1" customFormat="1" x14ac:dyDescent="0.2"/>
    <row r="15" s="1" customFormat="1" x14ac:dyDescent="0.2"/>
    <row r="16" s="1" customFormat="1" x14ac:dyDescent="0.2"/>
    <row r="17" s="1" customFormat="1" x14ac:dyDescent="0.2"/>
    <row r="18" s="1" customFormat="1" x14ac:dyDescent="0.2"/>
    <row r="19" s="1" customFormat="1" x14ac:dyDescent="0.2"/>
    <row r="20" s="1" customFormat="1" x14ac:dyDescent="0.2"/>
    <row r="21" s="1" customFormat="1" x14ac:dyDescent="0.2"/>
    <row r="22" s="1" customFormat="1" x14ac:dyDescent="0.2"/>
    <row r="23" s="1" customFormat="1" x14ac:dyDescent="0.2"/>
    <row r="24" s="1" customFormat="1" x14ac:dyDescent="0.2"/>
    <row r="25" s="1" customFormat="1" x14ac:dyDescent="0.2"/>
    <row r="26" s="1" customFormat="1" x14ac:dyDescent="0.2"/>
    <row r="27" s="1" customFormat="1" x14ac:dyDescent="0.2"/>
    <row r="28" s="1" customFormat="1" x14ac:dyDescent="0.2"/>
    <row r="29" s="1" customFormat="1" x14ac:dyDescent="0.2"/>
    <row r="30" s="1" customFormat="1" x14ac:dyDescent="0.2"/>
    <row r="31" s="1" customFormat="1" x14ac:dyDescent="0.2"/>
    <row r="32" s="1" customFormat="1" x14ac:dyDescent="0.2"/>
    <row r="33" s="1" customFormat="1" x14ac:dyDescent="0.2"/>
    <row r="34" s="1" customFormat="1" x14ac:dyDescent="0.2"/>
    <row r="35" s="1" customFormat="1" x14ac:dyDescent="0.2"/>
    <row r="36" s="1" customFormat="1" x14ac:dyDescent="0.2"/>
    <row r="37" s="1" customFormat="1" x14ac:dyDescent="0.2"/>
    <row r="38" s="1" customFormat="1" x14ac:dyDescent="0.2"/>
    <row r="39" s="1" customFormat="1" x14ac:dyDescent="0.2"/>
    <row r="40" s="1" customFormat="1" x14ac:dyDescent="0.2"/>
    <row r="41" s="1" customFormat="1" x14ac:dyDescent="0.2"/>
    <row r="42" s="1" customFormat="1" x14ac:dyDescent="0.2"/>
    <row r="43" s="1" customFormat="1" x14ac:dyDescent="0.2"/>
    <row r="44" s="1" customFormat="1" x14ac:dyDescent="0.2"/>
    <row r="45" s="1" customFormat="1" x14ac:dyDescent="0.2"/>
    <row r="46" s="1" customFormat="1" x14ac:dyDescent="0.2"/>
    <row r="47" s="1" customFormat="1" x14ac:dyDescent="0.2"/>
    <row r="48" s="1" customFormat="1" x14ac:dyDescent="0.2"/>
    <row r="49" s="1" customFormat="1" x14ac:dyDescent="0.2"/>
    <row r="50" s="1" customFormat="1" x14ac:dyDescent="0.2"/>
    <row r="51" s="1" customFormat="1" x14ac:dyDescent="0.2"/>
    <row r="52" s="1" customFormat="1" x14ac:dyDescent="0.2"/>
    <row r="53" s="1" customFormat="1" x14ac:dyDescent="0.2"/>
    <row r="54" s="1" customFormat="1" x14ac:dyDescent="0.2"/>
    <row r="55" s="1" customFormat="1" x14ac:dyDescent="0.2"/>
    <row r="56" s="1" customFormat="1" x14ac:dyDescent="0.2"/>
    <row r="57" s="1" customFormat="1" x14ac:dyDescent="0.2"/>
    <row r="58" s="1" customFormat="1" x14ac:dyDescent="0.2"/>
    <row r="59" s="1" customFormat="1" x14ac:dyDescent="0.2"/>
    <row r="60" s="1" customFormat="1" x14ac:dyDescent="0.2"/>
    <row r="61" s="1" customFormat="1" x14ac:dyDescent="0.2"/>
    <row r="62" s="1" customFormat="1" x14ac:dyDescent="0.2"/>
    <row r="63" s="1" customFormat="1" x14ac:dyDescent="0.2"/>
    <row r="64" s="1" customFormat="1" x14ac:dyDescent="0.2"/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  <row r="94" s="1" customFormat="1" x14ac:dyDescent="0.2"/>
    <row r="95" s="1" customFormat="1" x14ac:dyDescent="0.2"/>
    <row r="96" s="1" customFormat="1" x14ac:dyDescent="0.2"/>
  </sheetData>
  <phoneticPr fontId="4" type="noConversion"/>
  <pageMargins left="0.78740157499999996" right="0.78740157499999996" top="0.984251969" bottom="0.984251969" header="0.5" footer="0.5"/>
  <headerFooter alignWithMargins="0"/>
  <customProperties>
    <customPr name="DVSECTIONID" r:id="rId1"/>
  </customPropertie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AL153"/>
  <sheetViews>
    <sheetView workbookViewId="0"/>
  </sheetViews>
  <sheetFormatPr defaultRowHeight="12.75" x14ac:dyDescent="0.2"/>
  <cols>
    <col min="1" max="1" width="9.140625" style="1"/>
    <col min="29" max="38" width="9.140625" style="1"/>
  </cols>
  <sheetData>
    <row r="1" spans="2:28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2:28" x14ac:dyDescent="0.2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2:28" x14ac:dyDescent="0.2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2:28" x14ac:dyDescent="0.2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2:28" x14ac:dyDescent="0.2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2:28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2:28" x14ac:dyDescent="0.2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2:28" x14ac:dyDescent="0.2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2:28" x14ac:dyDescent="0.2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2:28" x14ac:dyDescent="0.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2:28" x14ac:dyDescent="0.2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2:28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2:28" x14ac:dyDescent="0.2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2:28" x14ac:dyDescent="0.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2:28" x14ac:dyDescent="0.2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2:28" x14ac:dyDescent="0.2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2:28" x14ac:dyDescent="0.2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2:28" x14ac:dyDescent="0.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2:28" x14ac:dyDescent="0.2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2:28" x14ac:dyDescent="0.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2:28" x14ac:dyDescent="0.2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2:28" x14ac:dyDescent="0.2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2:28" x14ac:dyDescent="0.2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2:28" x14ac:dyDescent="0.2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2:28" x14ac:dyDescent="0.2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2:28" x14ac:dyDescent="0.2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2:28" x14ac:dyDescent="0.2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2:28" x14ac:dyDescent="0.2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2:28" x14ac:dyDescent="0.2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2:28" x14ac:dyDescent="0.2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2:28" x14ac:dyDescent="0.2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2:28" x14ac:dyDescent="0.2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2:28" x14ac:dyDescent="0.2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2:28" x14ac:dyDescent="0.2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2:28" x14ac:dyDescent="0.2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2:28" x14ac:dyDescent="0.2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2:28" x14ac:dyDescent="0.2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2:28" x14ac:dyDescent="0.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2:28" x14ac:dyDescent="0.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2:28" x14ac:dyDescent="0.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2:28" x14ac:dyDescent="0.2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2:28" x14ac:dyDescent="0.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2:28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2:28" x14ac:dyDescent="0.2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2:28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2:28" x14ac:dyDescent="0.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2:28" x14ac:dyDescent="0.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2:28" x14ac:dyDescent="0.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2:28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2:28" x14ac:dyDescent="0.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2:28" x14ac:dyDescent="0.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2:28" x14ac:dyDescent="0.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2:28" x14ac:dyDescent="0.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2:28" x14ac:dyDescent="0.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2:28" x14ac:dyDescent="0.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2:28" x14ac:dyDescent="0.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2:28" x14ac:dyDescent="0.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2:28" x14ac:dyDescent="0.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2:28" x14ac:dyDescent="0.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2:28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2:28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2:28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2:28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2:28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2:28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2:28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2:28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2:28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2:28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2:28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2:28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2:28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2:28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2:28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2:28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2:28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2:28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2:28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2:28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2:28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2:28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2:28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2:28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2:28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2:28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2:28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2:28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2:28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2:28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2:28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2:28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2:28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2:28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2:28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2:28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2:28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2:28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2:28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2:28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2:28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2:28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2:28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2:28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2:28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2:28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2:28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2:28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2:28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2:28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2:28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2:28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2:28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2:28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2:28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2:28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2:28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2:28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2:28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2:28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2:28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2:28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2:28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2:28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2:28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2:28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2:28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2:28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2:28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2:28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2:28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2:28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2:28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2:28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2:28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2:28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2:28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2:28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2:28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2:28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2:28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2:28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2:28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2:28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2:28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2:28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2:28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2:28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2:28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2:28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2:28" x14ac:dyDescent="0.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2:28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2:28" x14ac:dyDescent="0.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2:28" x14ac:dyDescent="0.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</sheetData>
  <phoneticPr fontId="4" type="noConversion"/>
  <pageMargins left="0.78740157499999996" right="0.78740157499999996" top="0.984251969" bottom="0.984251969" header="0.5" footer="0.5"/>
  <headerFooter alignWithMargins="0"/>
  <customProperties>
    <customPr name="DVSECTION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L330"/>
  <sheetViews>
    <sheetView workbookViewId="0"/>
  </sheetViews>
  <sheetFormatPr defaultRowHeight="12.75" x14ac:dyDescent="0.2"/>
  <sheetData>
    <row r="1" spans="1:12" s="1" customFormat="1" x14ac:dyDescent="0.2"/>
    <row r="2" spans="1:12" s="1" customFormat="1" x14ac:dyDescent="0.2">
      <c r="A2" s="2"/>
    </row>
    <row r="3" spans="1:12" s="1" customFormat="1" x14ac:dyDescent="0.2"/>
    <row r="4" spans="1:12" s="1" customFormat="1" x14ac:dyDescent="0.2"/>
    <row r="5" spans="1:12" s="1" customFormat="1" x14ac:dyDescent="0.2">
      <c r="D5" s="3"/>
      <c r="E5" s="3"/>
      <c r="F5" s="3"/>
      <c r="G5" s="3"/>
    </row>
    <row r="6" spans="1:12" s="1" customFormat="1" x14ac:dyDescent="0.2">
      <c r="D6" s="3"/>
      <c r="E6" s="3"/>
      <c r="F6" s="3"/>
      <c r="G6" s="3"/>
      <c r="H6" s="3"/>
    </row>
    <row r="7" spans="1:12" s="1" customFormat="1" x14ac:dyDescent="0.2">
      <c r="D7" s="3"/>
      <c r="E7" s="3"/>
      <c r="F7" s="3"/>
      <c r="G7" s="3"/>
      <c r="H7" s="3"/>
      <c r="I7" s="3"/>
      <c r="J7" s="3"/>
      <c r="K7" s="3"/>
      <c r="L7" s="3"/>
    </row>
    <row r="8" spans="1:12" s="1" customFormat="1" x14ac:dyDescent="0.2">
      <c r="D8" s="3"/>
      <c r="E8" s="3"/>
      <c r="F8" s="3"/>
      <c r="G8" s="3"/>
      <c r="H8" s="3"/>
      <c r="I8" s="3"/>
      <c r="J8" s="3"/>
      <c r="K8" s="3"/>
      <c r="L8" s="3"/>
    </row>
    <row r="9" spans="1:12" s="1" customFormat="1" x14ac:dyDescent="0.2">
      <c r="D9" s="3"/>
      <c r="E9" s="3"/>
      <c r="F9" s="3"/>
      <c r="G9" s="3"/>
      <c r="H9" s="3"/>
      <c r="I9" s="3"/>
      <c r="J9" s="3"/>
      <c r="K9" s="3"/>
      <c r="L9" s="3"/>
    </row>
    <row r="10" spans="1:12" s="1" customFormat="1" x14ac:dyDescent="0.2">
      <c r="D10" s="3"/>
      <c r="E10" s="3"/>
      <c r="F10" s="3"/>
      <c r="G10" s="3"/>
      <c r="H10" s="3"/>
      <c r="I10" s="3"/>
      <c r="J10" s="3"/>
      <c r="K10" s="3"/>
      <c r="L10" s="3"/>
    </row>
    <row r="11" spans="1:12" s="1" customFormat="1" x14ac:dyDescent="0.2"/>
    <row r="12" spans="1:12" s="1" customFormat="1" x14ac:dyDescent="0.2"/>
    <row r="13" spans="1:12" s="1" customFormat="1" x14ac:dyDescent="0.2"/>
    <row r="14" spans="1:12" s="1" customFormat="1" x14ac:dyDescent="0.2"/>
    <row r="15" spans="1:12" s="1" customFormat="1" x14ac:dyDescent="0.2"/>
    <row r="16" spans="1:12" s="1" customFormat="1" x14ac:dyDescent="0.2"/>
    <row r="17" s="1" customFormat="1" x14ac:dyDescent="0.2"/>
    <row r="18" s="1" customFormat="1" x14ac:dyDescent="0.2"/>
    <row r="19" s="1" customFormat="1" x14ac:dyDescent="0.2"/>
    <row r="20" s="1" customFormat="1" x14ac:dyDescent="0.2"/>
    <row r="21" s="1" customFormat="1" x14ac:dyDescent="0.2"/>
    <row r="22" s="1" customFormat="1" x14ac:dyDescent="0.2"/>
    <row r="23" s="1" customFormat="1" x14ac:dyDescent="0.2"/>
    <row r="24" s="1" customFormat="1" x14ac:dyDescent="0.2"/>
    <row r="25" s="1" customFormat="1" x14ac:dyDescent="0.2"/>
    <row r="26" s="1" customFormat="1" x14ac:dyDescent="0.2"/>
    <row r="27" s="1" customFormat="1" x14ac:dyDescent="0.2"/>
    <row r="28" s="1" customFormat="1" x14ac:dyDescent="0.2"/>
    <row r="29" s="1" customFormat="1" x14ac:dyDescent="0.2"/>
    <row r="30" s="1" customFormat="1" x14ac:dyDescent="0.2"/>
    <row r="31" s="1" customFormat="1" x14ac:dyDescent="0.2"/>
    <row r="32" s="1" customFormat="1" x14ac:dyDescent="0.2"/>
    <row r="33" s="1" customFormat="1" x14ac:dyDescent="0.2"/>
    <row r="34" s="1" customFormat="1" x14ac:dyDescent="0.2"/>
    <row r="35" s="1" customFormat="1" x14ac:dyDescent="0.2"/>
    <row r="36" s="1" customFormat="1" x14ac:dyDescent="0.2"/>
    <row r="37" s="1" customFormat="1" x14ac:dyDescent="0.2"/>
    <row r="38" s="1" customFormat="1" x14ac:dyDescent="0.2"/>
    <row r="39" s="1" customFormat="1" x14ac:dyDescent="0.2"/>
    <row r="40" s="1" customFormat="1" x14ac:dyDescent="0.2"/>
    <row r="41" s="1" customFormat="1" x14ac:dyDescent="0.2"/>
    <row r="42" s="1" customFormat="1" x14ac:dyDescent="0.2"/>
    <row r="43" s="1" customFormat="1" x14ac:dyDescent="0.2"/>
    <row r="44" s="1" customFormat="1" x14ac:dyDescent="0.2"/>
    <row r="45" s="1" customFormat="1" x14ac:dyDescent="0.2"/>
    <row r="46" s="1" customFormat="1" x14ac:dyDescent="0.2"/>
    <row r="47" s="1" customFormat="1" x14ac:dyDescent="0.2"/>
    <row r="48" s="1" customFormat="1" x14ac:dyDescent="0.2"/>
    <row r="49" s="1" customFormat="1" x14ac:dyDescent="0.2"/>
    <row r="50" s="1" customFormat="1" x14ac:dyDescent="0.2"/>
    <row r="51" s="1" customFormat="1" x14ac:dyDescent="0.2"/>
    <row r="52" s="1" customFormat="1" x14ac:dyDescent="0.2"/>
    <row r="53" s="1" customFormat="1" x14ac:dyDescent="0.2"/>
    <row r="54" s="1" customFormat="1" x14ac:dyDescent="0.2"/>
    <row r="55" s="1" customFormat="1" x14ac:dyDescent="0.2"/>
    <row r="56" s="1" customFormat="1" x14ac:dyDescent="0.2"/>
    <row r="57" s="1" customFormat="1" x14ac:dyDescent="0.2"/>
    <row r="58" s="1" customFormat="1" x14ac:dyDescent="0.2"/>
    <row r="59" s="1" customFormat="1" x14ac:dyDescent="0.2"/>
    <row r="60" s="1" customFormat="1" x14ac:dyDescent="0.2"/>
    <row r="61" s="1" customFormat="1" x14ac:dyDescent="0.2"/>
    <row r="62" s="1" customFormat="1" x14ac:dyDescent="0.2"/>
    <row r="63" s="1" customFormat="1" x14ac:dyDescent="0.2"/>
    <row r="64" s="1" customFormat="1" x14ac:dyDescent="0.2"/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  <row r="94" s="1" customFormat="1" x14ac:dyDescent="0.2"/>
    <row r="95" s="1" customFormat="1" x14ac:dyDescent="0.2"/>
    <row r="96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  <row r="102" s="1" customFormat="1" x14ac:dyDescent="0.2"/>
    <row r="103" s="1" customFormat="1" x14ac:dyDescent="0.2"/>
    <row r="104" s="1" customFormat="1" x14ac:dyDescent="0.2"/>
    <row r="105" s="1" customFormat="1" x14ac:dyDescent="0.2"/>
    <row r="106" s="1" customFormat="1" x14ac:dyDescent="0.2"/>
    <row r="107" s="1" customFormat="1" x14ac:dyDescent="0.2"/>
    <row r="108" s="1" customFormat="1" x14ac:dyDescent="0.2"/>
    <row r="109" s="1" customFormat="1" x14ac:dyDescent="0.2"/>
    <row r="110" s="1" customFormat="1" x14ac:dyDescent="0.2"/>
    <row r="111" s="1" customFormat="1" x14ac:dyDescent="0.2"/>
    <row r="112" s="1" customFormat="1" x14ac:dyDescent="0.2"/>
    <row r="113" s="1" customFormat="1" x14ac:dyDescent="0.2"/>
    <row r="114" s="1" customFormat="1" x14ac:dyDescent="0.2"/>
    <row r="115" s="1" customFormat="1" x14ac:dyDescent="0.2"/>
    <row r="116" s="1" customFormat="1" x14ac:dyDescent="0.2"/>
    <row r="117" s="1" customFormat="1" x14ac:dyDescent="0.2"/>
    <row r="118" s="1" customFormat="1" x14ac:dyDescent="0.2"/>
    <row r="119" s="1" customFormat="1" x14ac:dyDescent="0.2"/>
    <row r="120" s="1" customFormat="1" x14ac:dyDescent="0.2"/>
    <row r="121" s="1" customFormat="1" x14ac:dyDescent="0.2"/>
    <row r="122" s="1" customFormat="1" x14ac:dyDescent="0.2"/>
    <row r="123" s="1" customFormat="1" x14ac:dyDescent="0.2"/>
    <row r="124" s="1" customFormat="1" x14ac:dyDescent="0.2"/>
    <row r="125" s="1" customFormat="1" x14ac:dyDescent="0.2"/>
    <row r="126" s="1" customFormat="1" x14ac:dyDescent="0.2"/>
    <row r="127" s="1" customFormat="1" x14ac:dyDescent="0.2"/>
    <row r="128" s="1" customFormat="1" x14ac:dyDescent="0.2"/>
    <row r="129" s="1" customFormat="1" x14ac:dyDescent="0.2"/>
    <row r="130" s="1" customFormat="1" x14ac:dyDescent="0.2"/>
    <row r="131" s="1" customFormat="1" x14ac:dyDescent="0.2"/>
    <row r="132" s="1" customFormat="1" x14ac:dyDescent="0.2"/>
    <row r="133" s="1" customFormat="1" x14ac:dyDescent="0.2"/>
    <row r="134" s="1" customFormat="1" x14ac:dyDescent="0.2"/>
    <row r="135" s="1" customFormat="1" x14ac:dyDescent="0.2"/>
    <row r="136" s="1" customFormat="1" x14ac:dyDescent="0.2"/>
    <row r="137" s="1" customFormat="1" x14ac:dyDescent="0.2"/>
    <row r="138" s="1" customFormat="1" x14ac:dyDescent="0.2"/>
    <row r="139" s="1" customFormat="1" x14ac:dyDescent="0.2"/>
    <row r="140" s="1" customFormat="1" x14ac:dyDescent="0.2"/>
    <row r="141" s="1" customFormat="1" x14ac:dyDescent="0.2"/>
    <row r="142" s="1" customFormat="1" x14ac:dyDescent="0.2"/>
    <row r="143" s="1" customFormat="1" x14ac:dyDescent="0.2"/>
    <row r="144" s="1" customFormat="1" x14ac:dyDescent="0.2"/>
    <row r="145" s="1" customFormat="1" x14ac:dyDescent="0.2"/>
    <row r="146" s="1" customFormat="1" x14ac:dyDescent="0.2"/>
    <row r="147" s="1" customFormat="1" x14ac:dyDescent="0.2"/>
    <row r="148" s="1" customFormat="1" x14ac:dyDescent="0.2"/>
    <row r="149" s="1" customFormat="1" x14ac:dyDescent="0.2"/>
    <row r="150" s="1" customFormat="1" x14ac:dyDescent="0.2"/>
    <row r="151" s="1" customFormat="1" x14ac:dyDescent="0.2"/>
    <row r="152" s="1" customFormat="1" x14ac:dyDescent="0.2"/>
    <row r="153" s="1" customFormat="1" x14ac:dyDescent="0.2"/>
    <row r="154" s="1" customFormat="1" x14ac:dyDescent="0.2"/>
    <row r="155" s="1" customFormat="1" x14ac:dyDescent="0.2"/>
    <row r="156" s="1" customFormat="1" x14ac:dyDescent="0.2"/>
    <row r="157" s="1" customFormat="1" x14ac:dyDescent="0.2"/>
    <row r="158" s="1" customFormat="1" x14ac:dyDescent="0.2"/>
    <row r="159" s="1" customFormat="1" x14ac:dyDescent="0.2"/>
    <row r="160" s="1" customFormat="1" x14ac:dyDescent="0.2"/>
    <row r="161" s="1" customFormat="1" x14ac:dyDescent="0.2"/>
    <row r="162" s="1" customFormat="1" x14ac:dyDescent="0.2"/>
    <row r="163" s="1" customFormat="1" x14ac:dyDescent="0.2"/>
    <row r="164" s="1" customFormat="1" x14ac:dyDescent="0.2"/>
    <row r="165" s="1" customFormat="1" x14ac:dyDescent="0.2"/>
    <row r="166" s="1" customFormat="1" x14ac:dyDescent="0.2"/>
    <row r="167" s="1" customFormat="1" x14ac:dyDescent="0.2"/>
    <row r="168" s="1" customFormat="1" x14ac:dyDescent="0.2"/>
    <row r="169" s="1" customFormat="1" x14ac:dyDescent="0.2"/>
    <row r="170" s="1" customFormat="1" x14ac:dyDescent="0.2"/>
    <row r="171" s="1" customFormat="1" x14ac:dyDescent="0.2"/>
    <row r="172" s="1" customFormat="1" x14ac:dyDescent="0.2"/>
    <row r="173" s="1" customFormat="1" x14ac:dyDescent="0.2"/>
    <row r="174" s="1" customFormat="1" x14ac:dyDescent="0.2"/>
    <row r="175" s="1" customFormat="1" x14ac:dyDescent="0.2"/>
    <row r="176" s="1" customFormat="1" x14ac:dyDescent="0.2"/>
    <row r="177" s="1" customFormat="1" x14ac:dyDescent="0.2"/>
    <row r="178" s="1" customFormat="1" x14ac:dyDescent="0.2"/>
    <row r="179" s="1" customFormat="1" x14ac:dyDescent="0.2"/>
    <row r="180" s="1" customFormat="1" x14ac:dyDescent="0.2"/>
    <row r="181" s="1" customFormat="1" x14ac:dyDescent="0.2"/>
    <row r="182" s="1" customFormat="1" x14ac:dyDescent="0.2"/>
    <row r="183" s="1" customFormat="1" x14ac:dyDescent="0.2"/>
    <row r="184" s="1" customFormat="1" x14ac:dyDescent="0.2"/>
    <row r="185" s="1" customFormat="1" x14ac:dyDescent="0.2"/>
    <row r="186" s="1" customFormat="1" x14ac:dyDescent="0.2"/>
    <row r="187" s="1" customFormat="1" x14ac:dyDescent="0.2"/>
    <row r="188" s="1" customFormat="1" x14ac:dyDescent="0.2"/>
    <row r="189" s="1" customFormat="1" x14ac:dyDescent="0.2"/>
    <row r="190" s="1" customFormat="1" x14ac:dyDescent="0.2"/>
    <row r="191" s="1" customFormat="1" x14ac:dyDescent="0.2"/>
    <row r="192" s="1" customFormat="1" x14ac:dyDescent="0.2"/>
    <row r="193" s="1" customFormat="1" x14ac:dyDescent="0.2"/>
    <row r="194" s="1" customFormat="1" x14ac:dyDescent="0.2"/>
    <row r="195" s="1" customFormat="1" x14ac:dyDescent="0.2"/>
    <row r="196" s="1" customFormat="1" x14ac:dyDescent="0.2"/>
    <row r="197" s="1" customFormat="1" x14ac:dyDescent="0.2"/>
    <row r="198" s="1" customFormat="1" x14ac:dyDescent="0.2"/>
    <row r="199" s="1" customFormat="1" x14ac:dyDescent="0.2"/>
    <row r="200" s="1" customFormat="1" x14ac:dyDescent="0.2"/>
    <row r="201" s="1" customFormat="1" x14ac:dyDescent="0.2"/>
    <row r="202" s="1" customFormat="1" x14ac:dyDescent="0.2"/>
    <row r="203" s="1" customFormat="1" x14ac:dyDescent="0.2"/>
    <row r="204" s="1" customFormat="1" x14ac:dyDescent="0.2"/>
    <row r="205" s="1" customFormat="1" x14ac:dyDescent="0.2"/>
    <row r="206" s="1" customFormat="1" x14ac:dyDescent="0.2"/>
    <row r="207" s="1" customFormat="1" x14ac:dyDescent="0.2"/>
    <row r="208" s="1" customFormat="1" x14ac:dyDescent="0.2"/>
    <row r="209" s="1" customFormat="1" x14ac:dyDescent="0.2"/>
    <row r="210" s="1" customFormat="1" x14ac:dyDescent="0.2"/>
    <row r="211" s="1" customFormat="1" x14ac:dyDescent="0.2"/>
    <row r="212" s="1" customFormat="1" x14ac:dyDescent="0.2"/>
    <row r="213" s="1" customFormat="1" x14ac:dyDescent="0.2"/>
    <row r="214" s="1" customFormat="1" x14ac:dyDescent="0.2"/>
    <row r="215" s="1" customFormat="1" x14ac:dyDescent="0.2"/>
    <row r="216" s="1" customFormat="1" x14ac:dyDescent="0.2"/>
    <row r="217" s="1" customFormat="1" x14ac:dyDescent="0.2"/>
    <row r="218" s="1" customFormat="1" x14ac:dyDescent="0.2"/>
    <row r="219" s="1" customFormat="1" x14ac:dyDescent="0.2"/>
    <row r="220" s="1" customFormat="1" x14ac:dyDescent="0.2"/>
    <row r="221" s="1" customFormat="1" x14ac:dyDescent="0.2"/>
    <row r="222" s="1" customFormat="1" x14ac:dyDescent="0.2"/>
    <row r="223" s="1" customFormat="1" x14ac:dyDescent="0.2"/>
    <row r="224" s="1" customFormat="1" x14ac:dyDescent="0.2"/>
    <row r="225" s="1" customFormat="1" x14ac:dyDescent="0.2"/>
    <row r="226" s="1" customFormat="1" x14ac:dyDescent="0.2"/>
    <row r="227" s="1" customFormat="1" x14ac:dyDescent="0.2"/>
    <row r="228" s="1" customFormat="1" x14ac:dyDescent="0.2"/>
    <row r="229" s="1" customFormat="1" x14ac:dyDescent="0.2"/>
    <row r="230" s="1" customFormat="1" x14ac:dyDescent="0.2"/>
    <row r="231" s="1" customFormat="1" x14ac:dyDescent="0.2"/>
    <row r="232" s="1" customFormat="1" x14ac:dyDescent="0.2"/>
    <row r="233" s="1" customFormat="1" x14ac:dyDescent="0.2"/>
    <row r="234" s="1" customFormat="1" x14ac:dyDescent="0.2"/>
    <row r="235" s="1" customFormat="1" x14ac:dyDescent="0.2"/>
    <row r="236" s="1" customFormat="1" x14ac:dyDescent="0.2"/>
    <row r="237" s="1" customFormat="1" x14ac:dyDescent="0.2"/>
    <row r="238" s="1" customFormat="1" x14ac:dyDescent="0.2"/>
    <row r="239" s="1" customFormat="1" x14ac:dyDescent="0.2"/>
    <row r="240" s="1" customFormat="1" x14ac:dyDescent="0.2"/>
    <row r="241" s="1" customFormat="1" x14ac:dyDescent="0.2"/>
    <row r="242" s="1" customFormat="1" x14ac:dyDescent="0.2"/>
    <row r="243" s="1" customFormat="1" x14ac:dyDescent="0.2"/>
    <row r="244" s="1" customFormat="1" x14ac:dyDescent="0.2"/>
    <row r="245" s="1" customFormat="1" x14ac:dyDescent="0.2"/>
    <row r="246" s="1" customFormat="1" x14ac:dyDescent="0.2"/>
    <row r="247" s="1" customFormat="1" x14ac:dyDescent="0.2"/>
    <row r="248" s="1" customFormat="1" x14ac:dyDescent="0.2"/>
    <row r="249" s="1" customFormat="1" x14ac:dyDescent="0.2"/>
    <row r="250" s="1" customFormat="1" x14ac:dyDescent="0.2"/>
    <row r="251" s="1" customFormat="1" x14ac:dyDescent="0.2"/>
    <row r="252" s="1" customFormat="1" x14ac:dyDescent="0.2"/>
    <row r="253" s="1" customFormat="1" x14ac:dyDescent="0.2"/>
    <row r="254" s="1" customFormat="1" x14ac:dyDescent="0.2"/>
    <row r="255" s="1" customFormat="1" x14ac:dyDescent="0.2"/>
    <row r="256" s="1" customFormat="1" x14ac:dyDescent="0.2"/>
    <row r="257" s="1" customFormat="1" x14ac:dyDescent="0.2"/>
    <row r="258" s="1" customFormat="1" x14ac:dyDescent="0.2"/>
    <row r="259" s="1" customFormat="1" x14ac:dyDescent="0.2"/>
    <row r="260" s="1" customFormat="1" x14ac:dyDescent="0.2"/>
    <row r="261" s="1" customFormat="1" x14ac:dyDescent="0.2"/>
    <row r="262" s="1" customFormat="1" x14ac:dyDescent="0.2"/>
    <row r="263" s="1" customFormat="1" x14ac:dyDescent="0.2"/>
    <row r="264" s="1" customFormat="1" x14ac:dyDescent="0.2"/>
    <row r="265" s="1" customFormat="1" x14ac:dyDescent="0.2"/>
    <row r="266" s="1" customFormat="1" x14ac:dyDescent="0.2"/>
    <row r="267" s="1" customFormat="1" x14ac:dyDescent="0.2"/>
    <row r="268" s="1" customFormat="1" x14ac:dyDescent="0.2"/>
    <row r="269" s="1" customFormat="1" x14ac:dyDescent="0.2"/>
    <row r="270" s="1" customFormat="1" x14ac:dyDescent="0.2"/>
    <row r="271" s="1" customFormat="1" x14ac:dyDescent="0.2"/>
    <row r="272" s="1" customFormat="1" x14ac:dyDescent="0.2"/>
    <row r="273" s="1" customFormat="1" x14ac:dyDescent="0.2"/>
    <row r="274" s="1" customFormat="1" x14ac:dyDescent="0.2"/>
    <row r="275" s="1" customFormat="1" x14ac:dyDescent="0.2"/>
    <row r="276" s="1" customFormat="1" x14ac:dyDescent="0.2"/>
    <row r="277" s="1" customFormat="1" x14ac:dyDescent="0.2"/>
    <row r="278" s="1" customFormat="1" x14ac:dyDescent="0.2"/>
    <row r="279" s="1" customFormat="1" x14ac:dyDescent="0.2"/>
    <row r="280" s="1" customFormat="1" x14ac:dyDescent="0.2"/>
    <row r="281" s="1" customFormat="1" x14ac:dyDescent="0.2"/>
    <row r="282" s="1" customFormat="1" x14ac:dyDescent="0.2"/>
    <row r="283" s="1" customFormat="1" x14ac:dyDescent="0.2"/>
    <row r="284" s="1" customFormat="1" x14ac:dyDescent="0.2"/>
    <row r="285" s="1" customFormat="1" x14ac:dyDescent="0.2"/>
    <row r="286" s="1" customFormat="1" x14ac:dyDescent="0.2"/>
    <row r="287" s="1" customFormat="1" x14ac:dyDescent="0.2"/>
    <row r="288" s="1" customFormat="1" x14ac:dyDescent="0.2"/>
    <row r="289" s="1" customFormat="1" x14ac:dyDescent="0.2"/>
    <row r="290" s="1" customFormat="1" x14ac:dyDescent="0.2"/>
    <row r="291" s="1" customFormat="1" x14ac:dyDescent="0.2"/>
    <row r="292" s="1" customFormat="1" x14ac:dyDescent="0.2"/>
    <row r="293" s="1" customFormat="1" x14ac:dyDescent="0.2"/>
    <row r="294" s="1" customFormat="1" x14ac:dyDescent="0.2"/>
    <row r="295" s="1" customFormat="1" x14ac:dyDescent="0.2"/>
    <row r="296" s="1" customFormat="1" x14ac:dyDescent="0.2"/>
    <row r="297" s="1" customFormat="1" x14ac:dyDescent="0.2"/>
    <row r="298" s="1" customFormat="1" x14ac:dyDescent="0.2"/>
    <row r="299" s="1" customFormat="1" x14ac:dyDescent="0.2"/>
    <row r="300" s="1" customFormat="1" x14ac:dyDescent="0.2"/>
    <row r="301" s="1" customFormat="1" x14ac:dyDescent="0.2"/>
    <row r="302" s="1" customFormat="1" x14ac:dyDescent="0.2"/>
    <row r="303" s="1" customFormat="1" x14ac:dyDescent="0.2"/>
    <row r="304" s="1" customFormat="1" x14ac:dyDescent="0.2"/>
    <row r="305" s="1" customFormat="1" x14ac:dyDescent="0.2"/>
    <row r="306" s="1" customFormat="1" x14ac:dyDescent="0.2"/>
    <row r="307" s="1" customFormat="1" x14ac:dyDescent="0.2"/>
    <row r="308" s="1" customFormat="1" x14ac:dyDescent="0.2"/>
    <row r="309" s="1" customFormat="1" x14ac:dyDescent="0.2"/>
    <row r="310" s="1" customFormat="1" x14ac:dyDescent="0.2"/>
    <row r="311" s="1" customFormat="1" x14ac:dyDescent="0.2"/>
    <row r="312" s="1" customFormat="1" x14ac:dyDescent="0.2"/>
    <row r="313" s="1" customFormat="1" x14ac:dyDescent="0.2"/>
    <row r="314" s="1" customFormat="1" x14ac:dyDescent="0.2"/>
    <row r="315" s="1" customFormat="1" x14ac:dyDescent="0.2"/>
    <row r="316" s="1" customFormat="1" x14ac:dyDescent="0.2"/>
    <row r="317" s="1" customFormat="1" x14ac:dyDescent="0.2"/>
    <row r="318" s="1" customFormat="1" x14ac:dyDescent="0.2"/>
    <row r="319" s="1" customFormat="1" x14ac:dyDescent="0.2"/>
    <row r="320" s="1" customFormat="1" x14ac:dyDescent="0.2"/>
    <row r="321" s="1" customFormat="1" x14ac:dyDescent="0.2"/>
    <row r="322" s="1" customFormat="1" x14ac:dyDescent="0.2"/>
    <row r="323" s="1" customFormat="1" x14ac:dyDescent="0.2"/>
    <row r="324" s="1" customFormat="1" x14ac:dyDescent="0.2"/>
    <row r="325" s="1" customFormat="1" x14ac:dyDescent="0.2"/>
    <row r="326" s="1" customFormat="1" x14ac:dyDescent="0.2"/>
    <row r="327" s="1" customFormat="1" x14ac:dyDescent="0.2"/>
    <row r="328" s="1" customFormat="1" x14ac:dyDescent="0.2"/>
    <row r="329" s="1" customFormat="1" x14ac:dyDescent="0.2"/>
    <row r="330" s="1" customFormat="1" x14ac:dyDescent="0.2"/>
  </sheetData>
  <phoneticPr fontId="4" type="noConversion"/>
  <pageMargins left="0.78740157499999996" right="0.78740157499999996" top="0.984251969" bottom="0.984251969" header="0.5" footer="0.5"/>
  <headerFooter alignWithMargins="0"/>
  <customProperties>
    <customPr name="DVSECTION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AP72"/>
  <sheetViews>
    <sheetView workbookViewId="0">
      <selection activeCell="O35" sqref="O35"/>
    </sheetView>
  </sheetViews>
  <sheetFormatPr defaultRowHeight="12.75" x14ac:dyDescent="0.2"/>
  <cols>
    <col min="1" max="1" width="9.140625" style="1"/>
  </cols>
  <sheetData>
    <row r="1" spans="2:42" s="1" customFormat="1" x14ac:dyDescent="0.2"/>
    <row r="2" spans="2:42" s="1" customFormat="1" x14ac:dyDescent="0.2"/>
    <row r="3" spans="2:42" x14ac:dyDescent="0.2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2:42" x14ac:dyDescent="0.2">
      <c r="B4" s="2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2:42" x14ac:dyDescent="0.2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2:42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3"/>
      <c r="N6" s="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2:42" x14ac:dyDescent="0.2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3"/>
      <c r="N7" s="3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2:42" x14ac:dyDescent="0.2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2:42" x14ac:dyDescent="0.2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2:42" x14ac:dyDescent="0.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2:42" x14ac:dyDescent="0.2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2:42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2:42" x14ac:dyDescent="0.2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2:42" x14ac:dyDescent="0.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2:42" x14ac:dyDescent="0.2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2:42" x14ac:dyDescent="0.2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2:42" x14ac:dyDescent="0.2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</row>
    <row r="18" spans="2:42" x14ac:dyDescent="0.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2:42" x14ac:dyDescent="0.2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2:42" x14ac:dyDescent="0.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</row>
    <row r="21" spans="2:42" x14ac:dyDescent="0.2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</row>
    <row r="22" spans="2:42" x14ac:dyDescent="0.2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2:42" x14ac:dyDescent="0.2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</row>
    <row r="24" spans="2:42" x14ac:dyDescent="0.2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</row>
    <row r="25" spans="2:42" x14ac:dyDescent="0.2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</row>
    <row r="26" spans="2:42" x14ac:dyDescent="0.2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</row>
    <row r="27" spans="2:42" x14ac:dyDescent="0.2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</row>
    <row r="28" spans="2:42" x14ac:dyDescent="0.2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</row>
    <row r="29" spans="2:42" x14ac:dyDescent="0.2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2:42" x14ac:dyDescent="0.2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</row>
    <row r="31" spans="2:42" x14ac:dyDescent="0.2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</row>
    <row r="32" spans="2:42" x14ac:dyDescent="0.2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</row>
    <row r="33" spans="2:42" x14ac:dyDescent="0.2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</row>
    <row r="34" spans="2:42" x14ac:dyDescent="0.2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</row>
    <row r="35" spans="2:42" x14ac:dyDescent="0.2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</row>
    <row r="36" spans="2:42" x14ac:dyDescent="0.2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</row>
    <row r="37" spans="2:42" x14ac:dyDescent="0.2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pans="2:42" x14ac:dyDescent="0.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pans="2:42" x14ac:dyDescent="0.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pans="2:42" x14ac:dyDescent="0.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</row>
    <row r="41" spans="2:42" x14ac:dyDescent="0.2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2:42" x14ac:dyDescent="0.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2:42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2:42" x14ac:dyDescent="0.2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2:42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2:42" x14ac:dyDescent="0.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2:42" x14ac:dyDescent="0.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2:42" x14ac:dyDescent="0.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2:42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</row>
    <row r="50" spans="2:42" x14ac:dyDescent="0.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2:42" x14ac:dyDescent="0.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2:42" x14ac:dyDescent="0.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2:42" x14ac:dyDescent="0.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2:42" x14ac:dyDescent="0.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2:42" x14ac:dyDescent="0.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2:42" x14ac:dyDescent="0.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2:42" x14ac:dyDescent="0.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2:42" x14ac:dyDescent="0.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2:42" x14ac:dyDescent="0.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2:42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2:42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2:42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2:42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2:42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2:19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2:19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2:19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2:19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2:19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2:19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2:19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O71" s="1"/>
      <c r="P71" s="1"/>
      <c r="Q71" s="1"/>
      <c r="R71" s="1"/>
      <c r="S71" s="1"/>
    </row>
    <row r="72" spans="2:19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O72" s="1"/>
      <c r="P72" s="1"/>
      <c r="Q72" s="1"/>
      <c r="R72" s="1"/>
      <c r="S72" s="1"/>
    </row>
  </sheetData>
  <sheetProtection password="CF7A" sheet="1" objects="1" scenarios="1"/>
  <phoneticPr fontId="4" type="noConversion"/>
  <pageMargins left="0.78740157499999996" right="0.78740157499999996" top="0.984251969" bottom="0.984251969" header="0.5" footer="0.5"/>
  <headerFooter alignWithMargins="0"/>
  <customProperties>
    <customPr name="DVSECTION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Z267"/>
  <sheetViews>
    <sheetView workbookViewId="0"/>
  </sheetViews>
  <sheetFormatPr defaultRowHeight="12.75" x14ac:dyDescent="0.2"/>
  <cols>
    <col min="1" max="1" width="9.140625" style="1"/>
    <col min="28" max="52" width="9.140625" style="1"/>
  </cols>
  <sheetData>
    <row r="1" spans="2:27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2:27" x14ac:dyDescent="0.2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2:27" x14ac:dyDescent="0.2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2:27" x14ac:dyDescent="0.2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2:27" x14ac:dyDescent="0.2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2:27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2:27" x14ac:dyDescent="0.2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2:27" x14ac:dyDescent="0.2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2:27" x14ac:dyDescent="0.2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2:27" x14ac:dyDescent="0.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2:27" x14ac:dyDescent="0.2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2:27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2:27" x14ac:dyDescent="0.2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2:27" x14ac:dyDescent="0.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2:27" x14ac:dyDescent="0.2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4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2:27" x14ac:dyDescent="0.2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2:27" x14ac:dyDescent="0.2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2:27" x14ac:dyDescent="0.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2:27" x14ac:dyDescent="0.2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2:27" x14ac:dyDescent="0.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2:27" x14ac:dyDescent="0.2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2:27" x14ac:dyDescent="0.2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2:27" x14ac:dyDescent="0.2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2:27" x14ac:dyDescent="0.2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2:27" x14ac:dyDescent="0.2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2:27" x14ac:dyDescent="0.2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2:27" x14ac:dyDescent="0.2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2:27" x14ac:dyDescent="0.2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2:27" x14ac:dyDescent="0.2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2:27" x14ac:dyDescent="0.2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2:27" x14ac:dyDescent="0.2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2:27" x14ac:dyDescent="0.2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2:27" x14ac:dyDescent="0.2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2:27" x14ac:dyDescent="0.2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2:27" x14ac:dyDescent="0.2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2:27" x14ac:dyDescent="0.2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2:27" x14ac:dyDescent="0.2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2:27" x14ac:dyDescent="0.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2:27" x14ac:dyDescent="0.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2:27" x14ac:dyDescent="0.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2:27" x14ac:dyDescent="0.2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2:27" x14ac:dyDescent="0.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2:27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2:27" x14ac:dyDescent="0.2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2:27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2:27" x14ac:dyDescent="0.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2:27" x14ac:dyDescent="0.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2:27" x14ac:dyDescent="0.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2:27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2:27" x14ac:dyDescent="0.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2:27" x14ac:dyDescent="0.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2:27" x14ac:dyDescent="0.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2:27" x14ac:dyDescent="0.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2:27" x14ac:dyDescent="0.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2:27" x14ac:dyDescent="0.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2:27" x14ac:dyDescent="0.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2:27" x14ac:dyDescent="0.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2:27" x14ac:dyDescent="0.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2:27" x14ac:dyDescent="0.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2:27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2:27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2:27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2:27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2:27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2:27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2:27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2:27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2:27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2:27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2:27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2:27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2:27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2:27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2:27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2:27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2:27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2:27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2:27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2:27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2:27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2:27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2:27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2:27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2:27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2:27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2:27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2:27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2:27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2:27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2:27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2:27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2:27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2:27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2:27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2:27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2:27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2:27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2:27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2:27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2:27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2:27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2:27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2:27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2:27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2:27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2:27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2:27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2:27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2:27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2:27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2:27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2:27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2:27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2:27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2:27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2:27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2:27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2:27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2:27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2:27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2:27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2:27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2:27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2:27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2:27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2:27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2:27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2:27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2:27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2:27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2:27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2:27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2:27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2:27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2:27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2:27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2:27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2:27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2:27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2:27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2:27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2:27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2:27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2:27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2:27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2:27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2:27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2:27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2:27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2:27" x14ac:dyDescent="0.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2:27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2:27" x14ac:dyDescent="0.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2:27" x14ac:dyDescent="0.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2:27" x14ac:dyDescent="0.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2:27" x14ac:dyDescent="0.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2:27" x14ac:dyDescent="0.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2:27" x14ac:dyDescent="0.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2:27" x14ac:dyDescent="0.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2:27" x14ac:dyDescent="0.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2:27" x14ac:dyDescent="0.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2:27" x14ac:dyDescent="0.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2:27" x14ac:dyDescent="0.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2:27" x14ac:dyDescent="0.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2:27" x14ac:dyDescent="0.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2:27" x14ac:dyDescent="0.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2:27" x14ac:dyDescent="0.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2:27" x14ac:dyDescent="0.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2:27" x14ac:dyDescent="0.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2:27" x14ac:dyDescent="0.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2:27" x14ac:dyDescent="0.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2:27" x14ac:dyDescent="0.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2:27" x14ac:dyDescent="0.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2:27" x14ac:dyDescent="0.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2:27" x14ac:dyDescent="0.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2:27" x14ac:dyDescent="0.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2:27" x14ac:dyDescent="0.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2:27" x14ac:dyDescent="0.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2:27" x14ac:dyDescent="0.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2:27" x14ac:dyDescent="0.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2:27" x14ac:dyDescent="0.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2:27" x14ac:dyDescent="0.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2:27" x14ac:dyDescent="0.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2:27" x14ac:dyDescent="0.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2:27" x14ac:dyDescent="0.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2:27" x14ac:dyDescent="0.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2:27" x14ac:dyDescent="0.2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2:27" x14ac:dyDescent="0.2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2:27" x14ac:dyDescent="0.2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2:27" x14ac:dyDescent="0.2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2:27" x14ac:dyDescent="0.2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2:27" x14ac:dyDescent="0.2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2:27" x14ac:dyDescent="0.2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2:27" x14ac:dyDescent="0.2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2:27" x14ac:dyDescent="0.2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2:27" x14ac:dyDescent="0.2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2:27" x14ac:dyDescent="0.2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2:27" x14ac:dyDescent="0.2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2:27" x14ac:dyDescent="0.2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2:27" x14ac:dyDescent="0.2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2:27" x14ac:dyDescent="0.2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2:27" x14ac:dyDescent="0.2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2:27" x14ac:dyDescent="0.2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2:27" x14ac:dyDescent="0.2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2:27" x14ac:dyDescent="0.2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2:27" x14ac:dyDescent="0.2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2:27" x14ac:dyDescent="0.2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2:27" x14ac:dyDescent="0.2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2:27" x14ac:dyDescent="0.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2:27" x14ac:dyDescent="0.2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2:27" x14ac:dyDescent="0.2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2:27" x14ac:dyDescent="0.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2:27" x14ac:dyDescent="0.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2:27" x14ac:dyDescent="0.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2:27" x14ac:dyDescent="0.2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2:27" x14ac:dyDescent="0.2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2:27" x14ac:dyDescent="0.2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2:27" x14ac:dyDescent="0.2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2:27" x14ac:dyDescent="0.2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2:27" x14ac:dyDescent="0.2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2:27" x14ac:dyDescent="0.2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2:27" x14ac:dyDescent="0.2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2:27" x14ac:dyDescent="0.2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2:27" x14ac:dyDescent="0.2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2:27" x14ac:dyDescent="0.2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2:27" x14ac:dyDescent="0.2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2:27" x14ac:dyDescent="0.2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2:27" x14ac:dyDescent="0.2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2:27" x14ac:dyDescent="0.2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2:27" x14ac:dyDescent="0.2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2:27" x14ac:dyDescent="0.2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2:27" x14ac:dyDescent="0.2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2:27" x14ac:dyDescent="0.2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2:27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2:27" x14ac:dyDescent="0.2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2:27" x14ac:dyDescent="0.2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2:27" x14ac:dyDescent="0.2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2:27" x14ac:dyDescent="0.2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2:27" x14ac:dyDescent="0.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2:27" x14ac:dyDescent="0.2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2:27" x14ac:dyDescent="0.2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2:27" x14ac:dyDescent="0.2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2:27" x14ac:dyDescent="0.2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2:27" x14ac:dyDescent="0.2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2:27" x14ac:dyDescent="0.2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2:27" x14ac:dyDescent="0.2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2:27" x14ac:dyDescent="0.2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2:27" x14ac:dyDescent="0.2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2:27" x14ac:dyDescent="0.2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2:27" x14ac:dyDescent="0.2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2:27" x14ac:dyDescent="0.2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2:27" x14ac:dyDescent="0.2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2:27" x14ac:dyDescent="0.2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2:27" x14ac:dyDescent="0.2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2:27" x14ac:dyDescent="0.2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2:27" x14ac:dyDescent="0.2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2:27" x14ac:dyDescent="0.2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2:27" x14ac:dyDescent="0.2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2:27" x14ac:dyDescent="0.2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2:27" x14ac:dyDescent="0.2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2:27" x14ac:dyDescent="0.2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2:27" x14ac:dyDescent="0.2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2:27" x14ac:dyDescent="0.2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2:27" x14ac:dyDescent="0.2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2:27" x14ac:dyDescent="0.2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2:27" x14ac:dyDescent="0.2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2:27" x14ac:dyDescent="0.2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2:27" x14ac:dyDescent="0.2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 r:id="rId1"/>
  <customProperties>
    <customPr name="DVSECTION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AK111"/>
  <sheetViews>
    <sheetView workbookViewId="0"/>
  </sheetViews>
  <sheetFormatPr defaultRowHeight="12.75" x14ac:dyDescent="0.2"/>
  <cols>
    <col min="21" max="37" width="9.140625" style="1"/>
  </cols>
  <sheetData>
    <row r="1" spans="1:20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</sheetData>
  <pageMargins left="0.511811024" right="0.511811024" top="0.78740157499999996" bottom="0.78740157499999996" header="0.31496062000000002" footer="0.31496062000000002"/>
  <customProperties>
    <customPr name="DVSECTIONID" r:id="rId1"/>
  </customPropertie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BA221"/>
  <sheetViews>
    <sheetView workbookViewId="0"/>
  </sheetViews>
  <sheetFormatPr defaultRowHeight="12.75" x14ac:dyDescent="0.2"/>
  <cols>
    <col min="22" max="53" width="9.140625" style="1"/>
  </cols>
  <sheetData>
    <row r="1" spans="1:2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</sheetData>
  <pageMargins left="0.511811024" right="0.511811024" top="0.78740157499999996" bottom="0.78740157499999996" header="0.31496062000000002" footer="0.31496062000000002"/>
  <customProperties>
    <customPr name="DVSECTIONID" r:id="rId1"/>
  </customPropertie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20</vt:i4>
      </vt:variant>
    </vt:vector>
  </HeadingPairs>
  <TitlesOfParts>
    <vt:vector size="20" baseType="lpstr">
      <vt:lpstr>apresentação</vt:lpstr>
      <vt:lpstr>instru</vt:lpstr>
      <vt:lpstr>calcest</vt:lpstr>
      <vt:lpstr>inserir_med</vt:lpstr>
      <vt:lpstr>fontes</vt:lpstr>
      <vt:lpstr>créditos</vt:lpstr>
      <vt:lpstr>estado</vt:lpstr>
      <vt:lpstr>compre</vt:lpstr>
      <vt:lpstr>calcu</vt:lpstr>
      <vt:lpstr>class</vt:lpstr>
      <vt:lpstr>medidas</vt:lpstr>
      <vt:lpstr>resultados</vt:lpstr>
      <vt:lpstr>tecantrop</vt:lpstr>
      <vt:lpstr>estatura</vt:lpstr>
      <vt:lpstr>cc</vt:lpstr>
      <vt:lpstr>pregacuta</vt:lpstr>
      <vt:lpstr>circunfpanturr</vt:lpstr>
      <vt:lpstr>altura do joelho</vt:lpstr>
      <vt:lpstr>outra</vt:lpstr>
      <vt:lpstr>Plan2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Lanpop</dc:creator>
  <cp:lastModifiedBy>Viviana de P. Soares</cp:lastModifiedBy>
  <dcterms:created xsi:type="dcterms:W3CDTF">2012-08-03T16:29:50Z</dcterms:created>
  <dcterms:modified xsi:type="dcterms:W3CDTF">2013-04-04T21:57:59Z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oogle.Documents.Tracking">
    <vt:lpwstr>true</vt:lpwstr>
  </property>
  <property fmtid="{D5CDD505-2E9C-101B-9397-08002B2CF9AE}" pid="3" name="Google.Documents.DocumentId">
    <vt:lpwstr>1KgHvhW5ClKxSZFm3hConjsGsc9U_NrhNicOvRtKsvRM</vt:lpwstr>
  </property>
  <property fmtid="{D5CDD505-2E9C-101B-9397-08002B2CF9AE}" pid="4" name="Google.Documents.RevisionId">
    <vt:lpwstr>02504048342689064226</vt:lpwstr>
  </property>
  <property fmtid="{D5CDD505-2E9C-101B-9397-08002B2CF9AE}" pid="5" name="Google.Documents.PreviousRevisionId">
    <vt:lpwstr>16441607555863829056</vt:lpwstr>
  </property>
  <property fmtid="{D5CDD505-2E9C-101B-9397-08002B2CF9AE}" pid="6" name="Google.Documents.PluginVersion">
    <vt:lpwstr>2.0.2662.553</vt:lpwstr>
  </property>
  <property fmtid="{D5CDD505-2E9C-101B-9397-08002B2CF9AE}" pid="7" name="Google.Documents.MergeIncapabilityFlags">
    <vt:i4>0</vt:i4>
  </property>
</Properties>
</file>